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codeName="ThisWorkbook" defaultThemeVersion="124226"/>
  <mc:AlternateContent xmlns:mc="http://schemas.openxmlformats.org/markup-compatibility/2006">
    <mc:Choice Requires="x15">
      <x15ac:absPath xmlns:x15ac="http://schemas.microsoft.com/office/spreadsheetml/2010/11/ac" url="C:\Users\rocio\Desktop\"/>
    </mc:Choice>
  </mc:AlternateContent>
  <xr:revisionPtr revIDLastSave="0" documentId="13_ncr:1_{355C5F5C-9E80-470D-AB7A-FE7C2E426C63}" xr6:coauthVersionLast="47" xr6:coauthVersionMax="47" xr10:uidLastSave="{00000000-0000-0000-0000-000000000000}"/>
  <bookViews>
    <workbookView xWindow="-120" yWindow="-120" windowWidth="20730" windowHeight="11160" xr2:uid="{00000000-000D-0000-FFFF-FFFF0000000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 name="Export Options" sheetId="8" r:id="rId8"/>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L3" i="1" l="1"/>
  <c r="BK3" i="1"/>
  <c r="BP3" i="3"/>
  <c r="C2" i="6"/>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1" i="6"/>
  <c r="C312" i="6"/>
  <c r="C313" i="6"/>
  <c r="C314" i="6"/>
  <c r="C315" i="6"/>
  <c r="C316" i="6"/>
  <c r="C317" i="6"/>
  <c r="C318" i="6"/>
  <c r="C319" i="6"/>
  <c r="C320" i="6"/>
  <c r="C321" i="6"/>
  <c r="C322" i="6"/>
  <c r="C323" i="6"/>
  <c r="C324" i="6"/>
  <c r="C325" i="6"/>
  <c r="C326" i="6"/>
  <c r="C327"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58" i="6"/>
  <c r="C359" i="6"/>
  <c r="C360" i="6"/>
  <c r="C361" i="6"/>
  <c r="C362" i="6"/>
  <c r="C363" i="6"/>
  <c r="C364" i="6"/>
  <c r="C365" i="6"/>
  <c r="C366" i="6"/>
  <c r="C367" i="6"/>
  <c r="C368" i="6"/>
  <c r="C369" i="6"/>
  <c r="C370" i="6"/>
  <c r="C371" i="6"/>
  <c r="C372" i="6"/>
  <c r="C373" i="6"/>
  <c r="C374" i="6"/>
  <c r="C375" i="6"/>
  <c r="C376" i="6"/>
  <c r="C377" i="6"/>
  <c r="C378" i="6"/>
  <c r="C379" i="6"/>
  <c r="C380" i="6"/>
  <c r="C381" i="6"/>
  <c r="C382" i="6"/>
  <c r="C383" i="6"/>
  <c r="C384" i="6"/>
  <c r="C385" i="6"/>
  <c r="C386" i="6"/>
  <c r="C387" i="6"/>
  <c r="C388" i="6"/>
  <c r="C389" i="6"/>
  <c r="C390" i="6"/>
  <c r="C391" i="6"/>
  <c r="C392" i="6"/>
  <c r="C393" i="6"/>
  <c r="C394" i="6"/>
  <c r="C395" i="6"/>
  <c r="C396" i="6"/>
  <c r="C397" i="6"/>
  <c r="C398" i="6"/>
  <c r="C399" i="6"/>
  <c r="C400" i="6"/>
  <c r="C401" i="6"/>
  <c r="C402" i="6"/>
  <c r="C403" i="6"/>
  <c r="C404" i="6"/>
  <c r="C405" i="6"/>
  <c r="C406" i="6"/>
  <c r="C407" i="6"/>
  <c r="C408" i="6"/>
  <c r="C409" i="6"/>
  <c r="C410" i="6"/>
  <c r="C411" i="6"/>
  <c r="C412" i="6"/>
  <c r="C413" i="6"/>
  <c r="C414" i="6"/>
  <c r="C415" i="6"/>
  <c r="C416" i="6"/>
  <c r="C417" i="6"/>
  <c r="C418" i="6"/>
  <c r="C419" i="6"/>
  <c r="C420" i="6"/>
  <c r="C421" i="6"/>
  <c r="C422" i="6"/>
  <c r="C423" i="6"/>
  <c r="C424" i="6"/>
  <c r="C425" i="6"/>
  <c r="C426" i="6"/>
  <c r="C427" i="6"/>
  <c r="C428" i="6"/>
  <c r="C429" i="6"/>
  <c r="C430" i="6"/>
  <c r="C431" i="6"/>
  <c r="C432" i="6"/>
  <c r="C433" i="6"/>
  <c r="C434" i="6"/>
  <c r="C435" i="6"/>
  <c r="C436" i="6"/>
  <c r="C437" i="6"/>
  <c r="C438" i="6"/>
  <c r="C439" i="6"/>
  <c r="C440" i="6"/>
  <c r="C441" i="6"/>
  <c r="C442" i="6"/>
  <c r="C443" i="6"/>
  <c r="C444" i="6"/>
  <c r="C445" i="6"/>
  <c r="C446" i="6"/>
  <c r="C447" i="6"/>
  <c r="C448" i="6"/>
  <c r="C449" i="6"/>
  <c r="C450" i="6"/>
  <c r="C451" i="6"/>
  <c r="C452" i="6"/>
  <c r="C453" i="6"/>
  <c r="C454" i="6"/>
  <c r="C455" i="6"/>
  <c r="C456" i="6"/>
  <c r="C457" i="6"/>
  <c r="C458" i="6"/>
  <c r="C459" i="6"/>
  <c r="C460" i="6"/>
  <c r="C461" i="6"/>
  <c r="C462" i="6"/>
  <c r="C463" i="6"/>
  <c r="C464" i="6"/>
  <c r="C465" i="6"/>
  <c r="C466" i="6"/>
  <c r="C467" i="6"/>
  <c r="C468" i="6"/>
  <c r="C469" i="6"/>
  <c r="C470" i="6"/>
  <c r="C471" i="6"/>
  <c r="C472" i="6"/>
  <c r="C473" i="6"/>
  <c r="C474" i="6"/>
  <c r="C475" i="6"/>
  <c r="C476" i="6"/>
  <c r="C477" i="6"/>
  <c r="C478" i="6"/>
  <c r="C479" i="6"/>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AB3" i="3"/>
  <c r="AB4" i="3"/>
  <c r="AB5" i="3"/>
  <c r="AB6"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AB35" i="3"/>
  <c r="AB36" i="3"/>
  <c r="AB37" i="3"/>
  <c r="AB38" i="3"/>
  <c r="AB39" i="3"/>
  <c r="AB40" i="3"/>
  <c r="AB41" i="3"/>
  <c r="AB42" i="3"/>
  <c r="AB43" i="3"/>
  <c r="AB44" i="3"/>
  <c r="AB45" i="3"/>
  <c r="AB46" i="3"/>
  <c r="AB47" i="3"/>
  <c r="AB48" i="3"/>
  <c r="AB49" i="3"/>
  <c r="AB50" i="3"/>
  <c r="AB51" i="3"/>
  <c r="AB52" i="3"/>
  <c r="AB53" i="3"/>
  <c r="AB54" i="3"/>
  <c r="AB55" i="3"/>
  <c r="AB56" i="3"/>
  <c r="AB57" i="3"/>
  <c r="AB58" i="3"/>
  <c r="AB59" i="3"/>
  <c r="AB60" i="3"/>
  <c r="AB61" i="3"/>
  <c r="AB62" i="3"/>
  <c r="AB63" i="3"/>
  <c r="AB64" i="3"/>
  <c r="AB65" i="3"/>
  <c r="AB66" i="3"/>
  <c r="AB67" i="3"/>
  <c r="AB68" i="3"/>
  <c r="AB69" i="3"/>
  <c r="AB70" i="3"/>
  <c r="AB71" i="3"/>
  <c r="AB72" i="3"/>
  <c r="AB73" i="3"/>
  <c r="AB74" i="3"/>
  <c r="AB75" i="3"/>
  <c r="AB76" i="3"/>
  <c r="AB77" i="3"/>
  <c r="AB78" i="3"/>
  <c r="AB79" i="3"/>
  <c r="AB80" i="3"/>
  <c r="AB81" i="3"/>
  <c r="AB82" i="3"/>
  <c r="AB83" i="3"/>
  <c r="AB84" i="3"/>
  <c r="AB85" i="3"/>
  <c r="AB86" i="3"/>
  <c r="AB87" i="3"/>
  <c r="AB88" i="3"/>
  <c r="AB89" i="3"/>
  <c r="AB90" i="3"/>
  <c r="AB91" i="3"/>
  <c r="AB92" i="3"/>
  <c r="AB93" i="3"/>
  <c r="AB94" i="3"/>
  <c r="AB95" i="3"/>
  <c r="AB96" i="3"/>
  <c r="AB97" i="3"/>
  <c r="AB98" i="3"/>
  <c r="AB99" i="3"/>
  <c r="AB100" i="3"/>
  <c r="AB101" i="3"/>
  <c r="AB102" i="3"/>
  <c r="AB103" i="3"/>
  <c r="AB104" i="3"/>
  <c r="AB105" i="3"/>
  <c r="AB106" i="3"/>
  <c r="AB107" i="3"/>
  <c r="AB108" i="3"/>
  <c r="AB109" i="3"/>
  <c r="AB110" i="3"/>
  <c r="AB111" i="3"/>
  <c r="AB112" i="3"/>
  <c r="AB113" i="3"/>
  <c r="AB114" i="3"/>
  <c r="AB115" i="3"/>
  <c r="AB116" i="3"/>
  <c r="AB117" i="3"/>
  <c r="AB118" i="3"/>
  <c r="AB119" i="3"/>
  <c r="AB120" i="3"/>
  <c r="AB121" i="3"/>
  <c r="AB122" i="3"/>
  <c r="AB123" i="3"/>
  <c r="AB124" i="3"/>
  <c r="AB125" i="3"/>
  <c r="AB126" i="3"/>
  <c r="AB127" i="3"/>
  <c r="AB128" i="3"/>
  <c r="AB129" i="3"/>
  <c r="AB130" i="3"/>
  <c r="AB131" i="3"/>
  <c r="AB132" i="3"/>
  <c r="AB133" i="3"/>
  <c r="AB134" i="3"/>
  <c r="AB135" i="3"/>
  <c r="AB136" i="3"/>
  <c r="AB137" i="3"/>
  <c r="AB138" i="3"/>
  <c r="AB139" i="3"/>
  <c r="AB140" i="3"/>
  <c r="AB141" i="3"/>
  <c r="AB142" i="3"/>
  <c r="AB143" i="3"/>
  <c r="AB144" i="3"/>
  <c r="AB145" i="3"/>
  <c r="AB146" i="3"/>
  <c r="AB147" i="3"/>
  <c r="AB148" i="3"/>
  <c r="AB149" i="3"/>
  <c r="AB150" i="3"/>
  <c r="AB151" i="3"/>
  <c r="AB152" i="3"/>
  <c r="AB153" i="3"/>
  <c r="AB154" i="3"/>
  <c r="AB155" i="3"/>
  <c r="AB156" i="3"/>
  <c r="AB157" i="3"/>
  <c r="AB158" i="3"/>
  <c r="AB159" i="3"/>
  <c r="AB160" i="3"/>
  <c r="AB161" i="3"/>
  <c r="AB162" i="3"/>
  <c r="AB163" i="3"/>
  <c r="AB164" i="3"/>
  <c r="AB165" i="3"/>
  <c r="AB166" i="3"/>
  <c r="AB167" i="3"/>
  <c r="AB168" i="3"/>
  <c r="AB169" i="3"/>
  <c r="AB170" i="3"/>
  <c r="AB171" i="3"/>
  <c r="AB172" i="3"/>
  <c r="AB173" i="3"/>
  <c r="AB174" i="3"/>
  <c r="AB175" i="3"/>
  <c r="AB176" i="3"/>
  <c r="AB177" i="3"/>
  <c r="AB178" i="3"/>
  <c r="AB179" i="3"/>
  <c r="AB180" i="3"/>
  <c r="AB181" i="3"/>
  <c r="AB182" i="3"/>
  <c r="AB183" i="3"/>
  <c r="AB184" i="3"/>
  <c r="AB185" i="3"/>
  <c r="AB186" i="3"/>
  <c r="AB187" i="3"/>
  <c r="AB188" i="3"/>
  <c r="AB189" i="3"/>
  <c r="AB190" i="3"/>
  <c r="AB191" i="3"/>
  <c r="AB192" i="3"/>
  <c r="AB193" i="3"/>
  <c r="AB194" i="3"/>
  <c r="AB195" i="3"/>
  <c r="AB196" i="3"/>
  <c r="AB197" i="3"/>
  <c r="AB198" i="3"/>
  <c r="AB199" i="3"/>
  <c r="AB200" i="3"/>
  <c r="AB201" i="3"/>
  <c r="AB202" i="3"/>
  <c r="AB203" i="3"/>
  <c r="AB204" i="3"/>
  <c r="AB205" i="3"/>
  <c r="AB206" i="3"/>
  <c r="AB207" i="3"/>
  <c r="AB208" i="3"/>
  <c r="AB209" i="3"/>
  <c r="AB210" i="3"/>
  <c r="AB211" i="3"/>
  <c r="AB212" i="3"/>
  <c r="AB213" i="3"/>
  <c r="AB214" i="3"/>
  <c r="AB215" i="3"/>
  <c r="AB216" i="3"/>
  <c r="AB217" i="3"/>
  <c r="AB218" i="3"/>
  <c r="AB219" i="3"/>
  <c r="AB220" i="3"/>
  <c r="AB221" i="3"/>
  <c r="AB222" i="3"/>
  <c r="AB223" i="3"/>
  <c r="AB224" i="3"/>
  <c r="AB225" i="3"/>
  <c r="AB226" i="3"/>
  <c r="AB227" i="3"/>
  <c r="AB228" i="3"/>
  <c r="AB229" i="3"/>
  <c r="AB230" i="3"/>
  <c r="AB231" i="3"/>
  <c r="AB232" i="3"/>
  <c r="AB233" i="3"/>
  <c r="AB234" i="3"/>
  <c r="AB235" i="3"/>
  <c r="AB236" i="3"/>
  <c r="AB237" i="3"/>
  <c r="AB238" i="3"/>
  <c r="AB239" i="3"/>
  <c r="AB240" i="3"/>
  <c r="AB241" i="3"/>
  <c r="AB242" i="3"/>
  <c r="AB243" i="3"/>
  <c r="AB244" i="3"/>
  <c r="AB245" i="3"/>
  <c r="AB246" i="3"/>
  <c r="AB247" i="3"/>
  <c r="AB248" i="3"/>
  <c r="AB249" i="3"/>
  <c r="AB250" i="3"/>
  <c r="AB251" i="3"/>
  <c r="AB252" i="3"/>
  <c r="AB253" i="3"/>
  <c r="AB254" i="3"/>
  <c r="AB255" i="3"/>
  <c r="AB256" i="3"/>
  <c r="AB257" i="3"/>
  <c r="AB258" i="3"/>
  <c r="AB259" i="3"/>
  <c r="AB260" i="3"/>
  <c r="AB261" i="3"/>
  <c r="AB262" i="3"/>
  <c r="AB263" i="3"/>
  <c r="AB264" i="3"/>
  <c r="AB265" i="3"/>
  <c r="AB266" i="3"/>
  <c r="AB267" i="3"/>
  <c r="AB268" i="3"/>
  <c r="AB269" i="3"/>
  <c r="AB270" i="3"/>
  <c r="AB271" i="3"/>
  <c r="AB272" i="3"/>
  <c r="AB273" i="3"/>
  <c r="AB274" i="3"/>
  <c r="AB275" i="3"/>
  <c r="AB276" i="3"/>
  <c r="AB277" i="3"/>
  <c r="AB278" i="3"/>
  <c r="AB279" i="3"/>
  <c r="AB280" i="3"/>
  <c r="AB281" i="3"/>
  <c r="AB282" i="3"/>
  <c r="AB283" i="3"/>
  <c r="AB284" i="3"/>
  <c r="AB285" i="3"/>
  <c r="AB286" i="3"/>
  <c r="AB287" i="3"/>
  <c r="AB288" i="3"/>
  <c r="AB289" i="3"/>
  <c r="AB290" i="3"/>
  <c r="AB291" i="3"/>
  <c r="AB292" i="3"/>
  <c r="AB293" i="3"/>
  <c r="AB294" i="3"/>
  <c r="AB295" i="3"/>
  <c r="AB296" i="3"/>
  <c r="AB297" i="3"/>
  <c r="AB298" i="3"/>
  <c r="AB299" i="3"/>
  <c r="AB300" i="3"/>
  <c r="AB301" i="3"/>
  <c r="AB302" i="3"/>
  <c r="AB303" i="3"/>
  <c r="AB304" i="3"/>
  <c r="AB305" i="3"/>
  <c r="AB306" i="3"/>
  <c r="AB307" i="3"/>
  <c r="AB308" i="3"/>
  <c r="AB309" i="3"/>
  <c r="AB310" i="3"/>
  <c r="AB311" i="3"/>
  <c r="AB312" i="3"/>
  <c r="AB313" i="3"/>
  <c r="AB314" i="3"/>
  <c r="AB315" i="3"/>
  <c r="AB316" i="3"/>
  <c r="AB317" i="3"/>
  <c r="AB318" i="3"/>
  <c r="AB319" i="3"/>
  <c r="AB320" i="3"/>
  <c r="AB321" i="3"/>
  <c r="AB322" i="3"/>
  <c r="AB323" i="3"/>
  <c r="AB324" i="3"/>
  <c r="AB325" i="3"/>
  <c r="AB326" i="3"/>
  <c r="AB327" i="3"/>
  <c r="AB328" i="3"/>
  <c r="AB329" i="3"/>
  <c r="AB330" i="3"/>
  <c r="AB331" i="3"/>
  <c r="AB332" i="3"/>
  <c r="AB333" i="3"/>
  <c r="AB334" i="3"/>
  <c r="AB335" i="3"/>
  <c r="AB336" i="3"/>
  <c r="AB337" i="3"/>
  <c r="AB338" i="3"/>
  <c r="AB339" i="3"/>
  <c r="AB340" i="3"/>
  <c r="AB341" i="3"/>
  <c r="AB342" i="3"/>
  <c r="AB343" i="3"/>
  <c r="AB344" i="3"/>
  <c r="AB345" i="3"/>
  <c r="AB346" i="3"/>
  <c r="AB347" i="3"/>
  <c r="AB348" i="3"/>
  <c r="AB349" i="3"/>
  <c r="AB350" i="3"/>
  <c r="AB351" i="3"/>
  <c r="AB352" i="3"/>
  <c r="AB353" i="3"/>
  <c r="AB354" i="3"/>
  <c r="AB355" i="3"/>
  <c r="AB356" i="3"/>
  <c r="AB357" i="3"/>
  <c r="AB358" i="3"/>
  <c r="AB359" i="3"/>
  <c r="AB360" i="3"/>
  <c r="AB361" i="3"/>
  <c r="AB362" i="3"/>
  <c r="AB363" i="3"/>
  <c r="AB364" i="3"/>
  <c r="AB365" i="3"/>
  <c r="AB366" i="3"/>
  <c r="AB367" i="3"/>
  <c r="AB368" i="3"/>
  <c r="AB369" i="3"/>
  <c r="AB370" i="3"/>
  <c r="AB371" i="3"/>
  <c r="AB372" i="3"/>
  <c r="AB373" i="3"/>
  <c r="AB374" i="3"/>
  <c r="AB375" i="3"/>
  <c r="AB376" i="3"/>
  <c r="AB377" i="3"/>
  <c r="AB378" i="3"/>
  <c r="AB379" i="3"/>
  <c r="AB380" i="3"/>
  <c r="AB381" i="3"/>
  <c r="AB382" i="3"/>
  <c r="AB383" i="3"/>
  <c r="AB384" i="3"/>
  <c r="AB385" i="3"/>
  <c r="AB386" i="3"/>
  <c r="AB387" i="3"/>
  <c r="AB388" i="3"/>
  <c r="AB389" i="3"/>
  <c r="AB390" i="3"/>
  <c r="AB391" i="3"/>
  <c r="AB392" i="3"/>
  <c r="AB393" i="3"/>
  <c r="AB394" i="3"/>
  <c r="AB395" i="3"/>
  <c r="AB396" i="3"/>
  <c r="AB397" i="3"/>
  <c r="AB398" i="3"/>
  <c r="AB399" i="3"/>
  <c r="AB400" i="3"/>
  <c r="AB401" i="3"/>
  <c r="AB402" i="3"/>
  <c r="AB403" i="3"/>
  <c r="AB404" i="3"/>
  <c r="AB405" i="3"/>
  <c r="AB406" i="3"/>
  <c r="AB407" i="3"/>
  <c r="AB408" i="3"/>
  <c r="AB409" i="3"/>
  <c r="AB410" i="3"/>
  <c r="AB411" i="3"/>
  <c r="AB412" i="3"/>
  <c r="AB413" i="3"/>
  <c r="AB414" i="3"/>
  <c r="AB415" i="3"/>
  <c r="AB416" i="3"/>
  <c r="AB417" i="3"/>
  <c r="AB418" i="3"/>
  <c r="AB419" i="3"/>
  <c r="AB420" i="3"/>
  <c r="AB421" i="3"/>
  <c r="AB422" i="3"/>
  <c r="AB423" i="3"/>
  <c r="AB424" i="3"/>
  <c r="AB425" i="3"/>
  <c r="AB426" i="3"/>
  <c r="AB427" i="3"/>
  <c r="AB428" i="3"/>
  <c r="AB429" i="3"/>
  <c r="AB430" i="3"/>
  <c r="AB431" i="3"/>
  <c r="AB432" i="3"/>
  <c r="AB433" i="3"/>
  <c r="AB434" i="3"/>
  <c r="AB435" i="3"/>
  <c r="AB436" i="3"/>
  <c r="AB437" i="3"/>
  <c r="AB438" i="3"/>
  <c r="AB439" i="3"/>
  <c r="AB440" i="3"/>
  <c r="AB441" i="3"/>
  <c r="AB442" i="3"/>
  <c r="AB443" i="3"/>
  <c r="AB444" i="3"/>
  <c r="AB445" i="3"/>
  <c r="AB446" i="3"/>
  <c r="AB447" i="3"/>
  <c r="AB448" i="3"/>
  <c r="AB449" i="3"/>
  <c r="AB450" i="3"/>
  <c r="AB451" i="3"/>
  <c r="AB452" i="3"/>
  <c r="AB453" i="3"/>
  <c r="AB454" i="3"/>
  <c r="AB455" i="3"/>
  <c r="AB456" i="3"/>
  <c r="AB457" i="3"/>
  <c r="AB458" i="3"/>
  <c r="AB459" i="3"/>
  <c r="AB460" i="3"/>
  <c r="AB461" i="3"/>
  <c r="AB462" i="3"/>
  <c r="AB463" i="3"/>
  <c r="AB464" i="3"/>
  <c r="AB465" i="3"/>
  <c r="AB466" i="3"/>
  <c r="AB467" i="3"/>
  <c r="AB468" i="3"/>
  <c r="AB469" i="3"/>
  <c r="AB470" i="3"/>
  <c r="AB471" i="3"/>
  <c r="AB472" i="3"/>
  <c r="AB473" i="3"/>
  <c r="AB474" i="3"/>
  <c r="AB475" i="3"/>
  <c r="AB476" i="3"/>
  <c r="AB477" i="3"/>
  <c r="AB478" i="3"/>
  <c r="AB479" i="3"/>
  <c r="AB480" i="3"/>
  <c r="AB481" i="3"/>
  <c r="AB482" i="3"/>
  <c r="AB483" i="3"/>
  <c r="AB484" i="3"/>
  <c r="BL4" i="1"/>
  <c r="BL5" i="1"/>
  <c r="BL6" i="1"/>
  <c r="BL7" i="1"/>
  <c r="BL8" i="1"/>
  <c r="BL9" i="1"/>
  <c r="BL10" i="1"/>
  <c r="BL11" i="1"/>
  <c r="BL12" i="1"/>
  <c r="BL13" i="1"/>
  <c r="BL14" i="1"/>
  <c r="BL15" i="1"/>
  <c r="BL16" i="1"/>
  <c r="BL17" i="1"/>
  <c r="BL18" i="1"/>
  <c r="BL19" i="1"/>
  <c r="BL20" i="1"/>
  <c r="BL21" i="1"/>
  <c r="BL22" i="1"/>
  <c r="BL23" i="1"/>
  <c r="BL24" i="1"/>
  <c r="BL25" i="1"/>
  <c r="BL26" i="1"/>
  <c r="BL27" i="1"/>
  <c r="BL28" i="1"/>
  <c r="BL29" i="1"/>
  <c r="BL30" i="1"/>
  <c r="BL31" i="1"/>
  <c r="BL32" i="1"/>
  <c r="BL33" i="1"/>
  <c r="BL34" i="1"/>
  <c r="BL35" i="1"/>
  <c r="BL36" i="1"/>
  <c r="BL37" i="1"/>
  <c r="BL38" i="1"/>
  <c r="BL39" i="1"/>
  <c r="BL40" i="1"/>
  <c r="BL41" i="1"/>
  <c r="BL42" i="1"/>
  <c r="BL43" i="1"/>
  <c r="BL44" i="1"/>
  <c r="BL45" i="1"/>
  <c r="BL46" i="1"/>
  <c r="BL47" i="1"/>
  <c r="BL48" i="1"/>
  <c r="BL49" i="1"/>
  <c r="BL50" i="1"/>
  <c r="BL51" i="1"/>
  <c r="BL52" i="1"/>
  <c r="BL53" i="1"/>
  <c r="BL54" i="1"/>
  <c r="BL55" i="1"/>
  <c r="BL56" i="1"/>
  <c r="BL57" i="1"/>
  <c r="BL58" i="1"/>
  <c r="BL59" i="1"/>
  <c r="BL60" i="1"/>
  <c r="BL61" i="1"/>
  <c r="BL62" i="1"/>
  <c r="BL63" i="1"/>
  <c r="BL64" i="1"/>
  <c r="BL65" i="1"/>
  <c r="BL66" i="1"/>
  <c r="BL67" i="1"/>
  <c r="BL68" i="1"/>
  <c r="BL69" i="1"/>
  <c r="BL70" i="1"/>
  <c r="BL71" i="1"/>
  <c r="BL72" i="1"/>
  <c r="BL73" i="1"/>
  <c r="BL74" i="1"/>
  <c r="BL75" i="1"/>
  <c r="BL76" i="1"/>
  <c r="BL77" i="1"/>
  <c r="BL78" i="1"/>
  <c r="BL79" i="1"/>
  <c r="BL80" i="1"/>
  <c r="BL81" i="1"/>
  <c r="BL82" i="1"/>
  <c r="BL83" i="1"/>
  <c r="BL84" i="1"/>
  <c r="BL85" i="1"/>
  <c r="BL86" i="1"/>
  <c r="BL87" i="1"/>
  <c r="BL88" i="1"/>
  <c r="BL89" i="1"/>
  <c r="BL90" i="1"/>
  <c r="BL91" i="1"/>
  <c r="BL92" i="1"/>
  <c r="BL93" i="1"/>
  <c r="BL94" i="1"/>
  <c r="BL95" i="1"/>
  <c r="BL96" i="1"/>
  <c r="BL97" i="1"/>
  <c r="BL98" i="1"/>
  <c r="BL99" i="1"/>
  <c r="BL100" i="1"/>
  <c r="BL101" i="1"/>
  <c r="BL102" i="1"/>
  <c r="BL103" i="1"/>
  <c r="BL104" i="1"/>
  <c r="BL105" i="1"/>
  <c r="BL106" i="1"/>
  <c r="BL107" i="1"/>
  <c r="BL108" i="1"/>
  <c r="BL109" i="1"/>
  <c r="BL110" i="1"/>
  <c r="BL111" i="1"/>
  <c r="BL112" i="1"/>
  <c r="BL113" i="1"/>
  <c r="BL114" i="1"/>
  <c r="BL115" i="1"/>
  <c r="BL116" i="1"/>
  <c r="BL117" i="1"/>
  <c r="BL118" i="1"/>
  <c r="BL119" i="1"/>
  <c r="BL120" i="1"/>
  <c r="BL121" i="1"/>
  <c r="BL122" i="1"/>
  <c r="BL123" i="1"/>
  <c r="BL124" i="1"/>
  <c r="BL125" i="1"/>
  <c r="BL126" i="1"/>
  <c r="BL127" i="1"/>
  <c r="BL128" i="1"/>
  <c r="BL129" i="1"/>
  <c r="BL130" i="1"/>
  <c r="BL131" i="1"/>
  <c r="BL132" i="1"/>
  <c r="BL133" i="1"/>
  <c r="BL134" i="1"/>
  <c r="BL135" i="1"/>
  <c r="BL136" i="1"/>
  <c r="BL137" i="1"/>
  <c r="BL138" i="1"/>
  <c r="BL139" i="1"/>
  <c r="BL140" i="1"/>
  <c r="BL141" i="1"/>
  <c r="BL142" i="1"/>
  <c r="BL143" i="1"/>
  <c r="BL144" i="1"/>
  <c r="BL145" i="1"/>
  <c r="BL146" i="1"/>
  <c r="BL147" i="1"/>
  <c r="BL148" i="1"/>
  <c r="BL149" i="1"/>
  <c r="BL150" i="1"/>
  <c r="BL151" i="1"/>
  <c r="BL152" i="1"/>
  <c r="BL153" i="1"/>
  <c r="BL154" i="1"/>
  <c r="BL155" i="1"/>
  <c r="BL156" i="1"/>
  <c r="BL157" i="1"/>
  <c r="BL158" i="1"/>
  <c r="BL159" i="1"/>
  <c r="BL160" i="1"/>
  <c r="BL161" i="1"/>
  <c r="BL162" i="1"/>
  <c r="BL163" i="1"/>
  <c r="BL164" i="1"/>
  <c r="BL165" i="1"/>
  <c r="BL166" i="1"/>
  <c r="BL167" i="1"/>
  <c r="BL168" i="1"/>
  <c r="BL169" i="1"/>
  <c r="BL170" i="1"/>
  <c r="BL171" i="1"/>
  <c r="BL172" i="1"/>
  <c r="BL173" i="1"/>
  <c r="BL174" i="1"/>
  <c r="BL175" i="1"/>
  <c r="BL176" i="1"/>
  <c r="BL177" i="1"/>
  <c r="BL178" i="1"/>
  <c r="BL179" i="1"/>
  <c r="BL180" i="1"/>
  <c r="BL181" i="1"/>
  <c r="BL182" i="1"/>
  <c r="BL183" i="1"/>
  <c r="BL184" i="1"/>
  <c r="BL185" i="1"/>
  <c r="BL186" i="1"/>
  <c r="BL187" i="1"/>
  <c r="BL188" i="1"/>
  <c r="BL189" i="1"/>
  <c r="BL190" i="1"/>
  <c r="BL191" i="1"/>
  <c r="BL192" i="1"/>
  <c r="BL193" i="1"/>
  <c r="BL194" i="1"/>
  <c r="BL195" i="1"/>
  <c r="BL196" i="1"/>
  <c r="BL197" i="1"/>
  <c r="BL198" i="1"/>
  <c r="BL199" i="1"/>
  <c r="BL200" i="1"/>
  <c r="BL201" i="1"/>
  <c r="BL202" i="1"/>
  <c r="BL203" i="1"/>
  <c r="BL204" i="1"/>
  <c r="BL205" i="1"/>
  <c r="BL206" i="1"/>
  <c r="BL207" i="1"/>
  <c r="BL208" i="1"/>
  <c r="BL209" i="1"/>
  <c r="BL210" i="1"/>
  <c r="BL211" i="1"/>
  <c r="BL212" i="1"/>
  <c r="BL213" i="1"/>
  <c r="BL214" i="1"/>
  <c r="BL215" i="1"/>
  <c r="BL216" i="1"/>
  <c r="BL217" i="1"/>
  <c r="BL218" i="1"/>
  <c r="BL219" i="1"/>
  <c r="BL220" i="1"/>
  <c r="BL221" i="1"/>
  <c r="BL222" i="1"/>
  <c r="BL223" i="1"/>
  <c r="BL224" i="1"/>
  <c r="BL225" i="1"/>
  <c r="BL226" i="1"/>
  <c r="BL227" i="1"/>
  <c r="BL228" i="1"/>
  <c r="BL229" i="1"/>
  <c r="BL230" i="1"/>
  <c r="BL231" i="1"/>
  <c r="BL232" i="1"/>
  <c r="BL233" i="1"/>
  <c r="BL234" i="1"/>
  <c r="BL235" i="1"/>
  <c r="BL236" i="1"/>
  <c r="BL237" i="1"/>
  <c r="BL238" i="1"/>
  <c r="BL239" i="1"/>
  <c r="BL240" i="1"/>
  <c r="BL241" i="1"/>
  <c r="BL242" i="1"/>
  <c r="BL243" i="1"/>
  <c r="BL244" i="1"/>
  <c r="BL245" i="1"/>
  <c r="BL246" i="1"/>
  <c r="BL247" i="1"/>
  <c r="BL248" i="1"/>
  <c r="BL249" i="1"/>
  <c r="BL250" i="1"/>
  <c r="BL251" i="1"/>
  <c r="BL252" i="1"/>
  <c r="BL253" i="1"/>
  <c r="BL254" i="1"/>
  <c r="BL255" i="1"/>
  <c r="BL256" i="1"/>
  <c r="BL257" i="1"/>
  <c r="BL258" i="1"/>
  <c r="BL259" i="1"/>
  <c r="BL260" i="1"/>
  <c r="BL261" i="1"/>
  <c r="BL262" i="1"/>
  <c r="BL263" i="1"/>
  <c r="BL264" i="1"/>
  <c r="BL265" i="1"/>
  <c r="BL266" i="1"/>
  <c r="BL267" i="1"/>
  <c r="BL268" i="1"/>
  <c r="BL269" i="1"/>
  <c r="BL270" i="1"/>
  <c r="BL271" i="1"/>
  <c r="BL272" i="1"/>
  <c r="BL273" i="1"/>
  <c r="BL274" i="1"/>
  <c r="BL275" i="1"/>
  <c r="BL276" i="1"/>
  <c r="BL277" i="1"/>
  <c r="BL278" i="1"/>
  <c r="BL279" i="1"/>
  <c r="BL280" i="1"/>
  <c r="BL281" i="1"/>
  <c r="BL282" i="1"/>
  <c r="BL283" i="1"/>
  <c r="BL284" i="1"/>
  <c r="BL285" i="1"/>
  <c r="BL286" i="1"/>
  <c r="BL287" i="1"/>
  <c r="BL288" i="1"/>
  <c r="BL289" i="1"/>
  <c r="BL290" i="1"/>
  <c r="BL291" i="1"/>
  <c r="BL292" i="1"/>
  <c r="BL293" i="1"/>
  <c r="BL294" i="1"/>
  <c r="BL295" i="1"/>
  <c r="BL296" i="1"/>
  <c r="BL297" i="1"/>
  <c r="BL298" i="1"/>
  <c r="BL299" i="1"/>
  <c r="BL300" i="1"/>
  <c r="BL301" i="1"/>
  <c r="BL302" i="1"/>
  <c r="BL303" i="1"/>
  <c r="BL304" i="1"/>
  <c r="BL305" i="1"/>
  <c r="BL306" i="1"/>
  <c r="BL307" i="1"/>
  <c r="BL308" i="1"/>
  <c r="BL309" i="1"/>
  <c r="BL310" i="1"/>
  <c r="BL311" i="1"/>
  <c r="BL312" i="1"/>
  <c r="BL313" i="1"/>
  <c r="BL314" i="1"/>
  <c r="BL315" i="1"/>
  <c r="BL316" i="1"/>
  <c r="BL317" i="1"/>
  <c r="BL318" i="1"/>
  <c r="BL319" i="1"/>
  <c r="BL320" i="1"/>
  <c r="BL321" i="1"/>
  <c r="BL322" i="1"/>
  <c r="BL323" i="1"/>
  <c r="BL324" i="1"/>
  <c r="BL325" i="1"/>
  <c r="BL326" i="1"/>
  <c r="BL327" i="1"/>
  <c r="BL328" i="1"/>
  <c r="BL329" i="1"/>
  <c r="BL330" i="1"/>
  <c r="BL331" i="1"/>
  <c r="BL332" i="1"/>
  <c r="BL333" i="1"/>
  <c r="BL334" i="1"/>
  <c r="BL335" i="1"/>
  <c r="BL336" i="1"/>
  <c r="BL337" i="1"/>
  <c r="BL338" i="1"/>
  <c r="BL339" i="1"/>
  <c r="BL340" i="1"/>
  <c r="BL341" i="1"/>
  <c r="BL342" i="1"/>
  <c r="BL343" i="1"/>
  <c r="BL344" i="1"/>
  <c r="BL345" i="1"/>
  <c r="BL346" i="1"/>
  <c r="BL347" i="1"/>
  <c r="BL348" i="1"/>
  <c r="BL349" i="1"/>
  <c r="BL350" i="1"/>
  <c r="BL351" i="1"/>
  <c r="BL352" i="1"/>
  <c r="BL353" i="1"/>
  <c r="BL354" i="1"/>
  <c r="BL355" i="1"/>
  <c r="BL356" i="1"/>
  <c r="BL357" i="1"/>
  <c r="BL358" i="1"/>
  <c r="BL359" i="1"/>
  <c r="BL360" i="1"/>
  <c r="BL361" i="1"/>
  <c r="BL362" i="1"/>
  <c r="BL363" i="1"/>
  <c r="BL364" i="1"/>
  <c r="BL365" i="1"/>
  <c r="BL366" i="1"/>
  <c r="BL367" i="1"/>
  <c r="BL368" i="1"/>
  <c r="BL369" i="1"/>
  <c r="BL370" i="1"/>
  <c r="BL371" i="1"/>
  <c r="BL372" i="1"/>
  <c r="BL373" i="1"/>
  <c r="BL374" i="1"/>
  <c r="BL375" i="1"/>
  <c r="BL376" i="1"/>
  <c r="BL377" i="1"/>
  <c r="BL378" i="1"/>
  <c r="BL379" i="1"/>
  <c r="BL380" i="1"/>
  <c r="BL381" i="1"/>
  <c r="BL382" i="1"/>
  <c r="BL383" i="1"/>
  <c r="BL384" i="1"/>
  <c r="BL385" i="1"/>
  <c r="BL386" i="1"/>
  <c r="BL387" i="1"/>
  <c r="BL388" i="1"/>
  <c r="BL389" i="1"/>
  <c r="BL390" i="1"/>
  <c r="BL391" i="1"/>
  <c r="BL392" i="1"/>
  <c r="BL393" i="1"/>
  <c r="BL394" i="1"/>
  <c r="BL395" i="1"/>
  <c r="BL396" i="1"/>
  <c r="BL397" i="1"/>
  <c r="BL398" i="1"/>
  <c r="BL399" i="1"/>
  <c r="BL400" i="1"/>
  <c r="BL401" i="1"/>
  <c r="BL402" i="1"/>
  <c r="BL403" i="1"/>
  <c r="BL404" i="1"/>
  <c r="BL405" i="1"/>
  <c r="BL406" i="1"/>
  <c r="BL407" i="1"/>
  <c r="BL408" i="1"/>
  <c r="BL409" i="1"/>
  <c r="BL410" i="1"/>
  <c r="BL411" i="1"/>
  <c r="BL412" i="1"/>
  <c r="BL413" i="1"/>
  <c r="BL414" i="1"/>
  <c r="BL415" i="1"/>
  <c r="BL416" i="1"/>
  <c r="BL417" i="1"/>
  <c r="BL418" i="1"/>
  <c r="BL419" i="1"/>
  <c r="BL420" i="1"/>
  <c r="BL421" i="1"/>
  <c r="BL422" i="1"/>
  <c r="BL423" i="1"/>
  <c r="BL424" i="1"/>
  <c r="BL425" i="1"/>
  <c r="BL426" i="1"/>
  <c r="BL427" i="1"/>
  <c r="BL428" i="1"/>
  <c r="BL429" i="1"/>
  <c r="BL430" i="1"/>
  <c r="BL431" i="1"/>
  <c r="BL432" i="1"/>
  <c r="BL433" i="1"/>
  <c r="BL434" i="1"/>
  <c r="BL435" i="1"/>
  <c r="BL436" i="1"/>
  <c r="BL437" i="1"/>
  <c r="BL438" i="1"/>
  <c r="BL439" i="1"/>
  <c r="BL440" i="1"/>
  <c r="BL441" i="1"/>
  <c r="BL442" i="1"/>
  <c r="BL443" i="1"/>
  <c r="BL444" i="1"/>
  <c r="BL445" i="1"/>
  <c r="BL446" i="1"/>
  <c r="BL447" i="1"/>
  <c r="BL448" i="1"/>
  <c r="BL449" i="1"/>
  <c r="BL450" i="1"/>
  <c r="BL451" i="1"/>
  <c r="BL452" i="1"/>
  <c r="BL453" i="1"/>
  <c r="BL454" i="1"/>
  <c r="BL455" i="1"/>
  <c r="BL456" i="1"/>
  <c r="BL457" i="1"/>
  <c r="BL458" i="1"/>
  <c r="BL459" i="1"/>
  <c r="BL460" i="1"/>
  <c r="BL461" i="1"/>
  <c r="BL462" i="1"/>
  <c r="BL463" i="1"/>
  <c r="BL464" i="1"/>
  <c r="BL465" i="1"/>
  <c r="BL466" i="1"/>
  <c r="BL467" i="1"/>
  <c r="BL468" i="1"/>
  <c r="BL469" i="1"/>
  <c r="BL470" i="1"/>
  <c r="BL471" i="1"/>
  <c r="BL472" i="1"/>
  <c r="BL473" i="1"/>
  <c r="BL474" i="1"/>
  <c r="BL475" i="1"/>
  <c r="BL476" i="1"/>
  <c r="BL477" i="1"/>
  <c r="BL478" i="1"/>
  <c r="BL479" i="1"/>
  <c r="BL480" i="1"/>
  <c r="BL481" i="1"/>
  <c r="BL482" i="1"/>
  <c r="BL483" i="1"/>
  <c r="BL484" i="1"/>
  <c r="BL485" i="1"/>
  <c r="BL486" i="1"/>
  <c r="BL487" i="1"/>
  <c r="BL488" i="1"/>
  <c r="BL489" i="1"/>
  <c r="BL490" i="1"/>
  <c r="BL491" i="1"/>
  <c r="BL492" i="1"/>
  <c r="BL493" i="1"/>
  <c r="BL494" i="1"/>
  <c r="BL495" i="1"/>
  <c r="BL496" i="1"/>
  <c r="BL497" i="1"/>
  <c r="BL498" i="1"/>
  <c r="BL499" i="1"/>
  <c r="BL500" i="1"/>
  <c r="BK4" i="1"/>
  <c r="BK5" i="1"/>
  <c r="BK6" i="1"/>
  <c r="BK7" i="1"/>
  <c r="BK8" i="1"/>
  <c r="BK9" i="1"/>
  <c r="BK10" i="1"/>
  <c r="BK11" i="1"/>
  <c r="BK12" i="1"/>
  <c r="BK13" i="1"/>
  <c r="BK14" i="1"/>
  <c r="BK15" i="1"/>
  <c r="BK16" i="1"/>
  <c r="BK17" i="1"/>
  <c r="BK18" i="1"/>
  <c r="BK19" i="1"/>
  <c r="BK20" i="1"/>
  <c r="BK21" i="1"/>
  <c r="BK22" i="1"/>
  <c r="BK23" i="1"/>
  <c r="BK24" i="1"/>
  <c r="BK25" i="1"/>
  <c r="BK26" i="1"/>
  <c r="BK27" i="1"/>
  <c r="BK28" i="1"/>
  <c r="BK29" i="1"/>
  <c r="BK30" i="1"/>
  <c r="BK31" i="1"/>
  <c r="BK32" i="1"/>
  <c r="BK33" i="1"/>
  <c r="BK34" i="1"/>
  <c r="BK35" i="1"/>
  <c r="BK36" i="1"/>
  <c r="BK37" i="1"/>
  <c r="BK38" i="1"/>
  <c r="BK39" i="1"/>
  <c r="BK40" i="1"/>
  <c r="BK41" i="1"/>
  <c r="BK42" i="1"/>
  <c r="BK43" i="1"/>
  <c r="BK44" i="1"/>
  <c r="BK45" i="1"/>
  <c r="BK46" i="1"/>
  <c r="BK47" i="1"/>
  <c r="BK48" i="1"/>
  <c r="BK49" i="1"/>
  <c r="BK50" i="1"/>
  <c r="BK51" i="1"/>
  <c r="BK52" i="1"/>
  <c r="BK53" i="1"/>
  <c r="BK54" i="1"/>
  <c r="BK55" i="1"/>
  <c r="BK56" i="1"/>
  <c r="BK57" i="1"/>
  <c r="BK58" i="1"/>
  <c r="BK59" i="1"/>
  <c r="BK60" i="1"/>
  <c r="BK61" i="1"/>
  <c r="BK62" i="1"/>
  <c r="BK63" i="1"/>
  <c r="BK64" i="1"/>
  <c r="BK65" i="1"/>
  <c r="BK66" i="1"/>
  <c r="BK67" i="1"/>
  <c r="BK68" i="1"/>
  <c r="BK69" i="1"/>
  <c r="BK70" i="1"/>
  <c r="BK71" i="1"/>
  <c r="BK72" i="1"/>
  <c r="BK73" i="1"/>
  <c r="BK74" i="1"/>
  <c r="BK75" i="1"/>
  <c r="BK76" i="1"/>
  <c r="BK77" i="1"/>
  <c r="BK78" i="1"/>
  <c r="BK79" i="1"/>
  <c r="BK80" i="1"/>
  <c r="BK81" i="1"/>
  <c r="BK82" i="1"/>
  <c r="BK83" i="1"/>
  <c r="BK84" i="1"/>
  <c r="BK85" i="1"/>
  <c r="BK86" i="1"/>
  <c r="BK87" i="1"/>
  <c r="BK88" i="1"/>
  <c r="BK89" i="1"/>
  <c r="BK90" i="1"/>
  <c r="BK91" i="1"/>
  <c r="BK92" i="1"/>
  <c r="BK93" i="1"/>
  <c r="BK94" i="1"/>
  <c r="BK95" i="1"/>
  <c r="BK96" i="1"/>
  <c r="BK97" i="1"/>
  <c r="BK98" i="1"/>
  <c r="BK99" i="1"/>
  <c r="BK100" i="1"/>
  <c r="BK101" i="1"/>
  <c r="BK102" i="1"/>
  <c r="BK103" i="1"/>
  <c r="BK104" i="1"/>
  <c r="BK105" i="1"/>
  <c r="BK106" i="1"/>
  <c r="BK107" i="1"/>
  <c r="BK108" i="1"/>
  <c r="BK109" i="1"/>
  <c r="BK110" i="1"/>
  <c r="BK111" i="1"/>
  <c r="BK112" i="1"/>
  <c r="BK113" i="1"/>
  <c r="BK114" i="1"/>
  <c r="BK115" i="1"/>
  <c r="BK116" i="1"/>
  <c r="BK117" i="1"/>
  <c r="BK118" i="1"/>
  <c r="BK119" i="1"/>
  <c r="BK120" i="1"/>
  <c r="BK121" i="1"/>
  <c r="BK122" i="1"/>
  <c r="BK123" i="1"/>
  <c r="BK124" i="1"/>
  <c r="BK125" i="1"/>
  <c r="BK126" i="1"/>
  <c r="BK127" i="1"/>
  <c r="BK128" i="1"/>
  <c r="BK129" i="1"/>
  <c r="BK130" i="1"/>
  <c r="BK131" i="1"/>
  <c r="BK132" i="1"/>
  <c r="BK133" i="1"/>
  <c r="BK134" i="1"/>
  <c r="BK135" i="1"/>
  <c r="BK136" i="1"/>
  <c r="BK137" i="1"/>
  <c r="BK138" i="1"/>
  <c r="BK139" i="1"/>
  <c r="BK140" i="1"/>
  <c r="BK141" i="1"/>
  <c r="BK142" i="1"/>
  <c r="BK143" i="1"/>
  <c r="BK144" i="1"/>
  <c r="BK145" i="1"/>
  <c r="BK146" i="1"/>
  <c r="BK147" i="1"/>
  <c r="BK148" i="1"/>
  <c r="BK149" i="1"/>
  <c r="BK150" i="1"/>
  <c r="BK151" i="1"/>
  <c r="BK152" i="1"/>
  <c r="BK153" i="1"/>
  <c r="BK154" i="1"/>
  <c r="BK155" i="1"/>
  <c r="BK156" i="1"/>
  <c r="BK157" i="1"/>
  <c r="BK158" i="1"/>
  <c r="BK159" i="1"/>
  <c r="BK160" i="1"/>
  <c r="BK161" i="1"/>
  <c r="BK162" i="1"/>
  <c r="BK163" i="1"/>
  <c r="BK164" i="1"/>
  <c r="BK165" i="1"/>
  <c r="BK166" i="1"/>
  <c r="BK167" i="1"/>
  <c r="BK168" i="1"/>
  <c r="BK169" i="1"/>
  <c r="BK170" i="1"/>
  <c r="BK171" i="1"/>
  <c r="BK172" i="1"/>
  <c r="BK173" i="1"/>
  <c r="BK174" i="1"/>
  <c r="BK175" i="1"/>
  <c r="BK176" i="1"/>
  <c r="BK177" i="1"/>
  <c r="BK178" i="1"/>
  <c r="BK179" i="1"/>
  <c r="BK180" i="1"/>
  <c r="BK181" i="1"/>
  <c r="BK182" i="1"/>
  <c r="BK183" i="1"/>
  <c r="BK184" i="1"/>
  <c r="BK185" i="1"/>
  <c r="BK186" i="1"/>
  <c r="BK187" i="1"/>
  <c r="BK188" i="1"/>
  <c r="BK189" i="1"/>
  <c r="BK190" i="1"/>
  <c r="BK191" i="1"/>
  <c r="BK192" i="1"/>
  <c r="BK193" i="1"/>
  <c r="BK194" i="1"/>
  <c r="BK195" i="1"/>
  <c r="BK196" i="1"/>
  <c r="BK197" i="1"/>
  <c r="BK198" i="1"/>
  <c r="BK199" i="1"/>
  <c r="BK200" i="1"/>
  <c r="BK201" i="1"/>
  <c r="BK202" i="1"/>
  <c r="BK203" i="1"/>
  <c r="BK204" i="1"/>
  <c r="BK205" i="1"/>
  <c r="BK206" i="1"/>
  <c r="BK207" i="1"/>
  <c r="BK208" i="1"/>
  <c r="BK209" i="1"/>
  <c r="BK210" i="1"/>
  <c r="BK211" i="1"/>
  <c r="BK212" i="1"/>
  <c r="BK213" i="1"/>
  <c r="BK214" i="1"/>
  <c r="BK215" i="1"/>
  <c r="BK216" i="1"/>
  <c r="BK217" i="1"/>
  <c r="BK218" i="1"/>
  <c r="BK219" i="1"/>
  <c r="BK220" i="1"/>
  <c r="BK221" i="1"/>
  <c r="BK222" i="1"/>
  <c r="BK223" i="1"/>
  <c r="BK224" i="1"/>
  <c r="BK225" i="1"/>
  <c r="BK226" i="1"/>
  <c r="BK227" i="1"/>
  <c r="BK228" i="1"/>
  <c r="BK229" i="1"/>
  <c r="BK230" i="1"/>
  <c r="BK231" i="1"/>
  <c r="BK232" i="1"/>
  <c r="BK233" i="1"/>
  <c r="BK234" i="1"/>
  <c r="BK235" i="1"/>
  <c r="BK236" i="1"/>
  <c r="BK237" i="1"/>
  <c r="BK238" i="1"/>
  <c r="BK239" i="1"/>
  <c r="BK240" i="1"/>
  <c r="BK241" i="1"/>
  <c r="BK242" i="1"/>
  <c r="BK243" i="1"/>
  <c r="BK244" i="1"/>
  <c r="BK245" i="1"/>
  <c r="BK246" i="1"/>
  <c r="BK247" i="1"/>
  <c r="BK248" i="1"/>
  <c r="BK249" i="1"/>
  <c r="BK250" i="1"/>
  <c r="BK251" i="1"/>
  <c r="BK252" i="1"/>
  <c r="BK253" i="1"/>
  <c r="BK254" i="1"/>
  <c r="BK255" i="1"/>
  <c r="BK256" i="1"/>
  <c r="BK257" i="1"/>
  <c r="BK258" i="1"/>
  <c r="BK259" i="1"/>
  <c r="BK260" i="1"/>
  <c r="BK261" i="1"/>
  <c r="BK262" i="1"/>
  <c r="BK263" i="1"/>
  <c r="BK264" i="1"/>
  <c r="BK265" i="1"/>
  <c r="BK266" i="1"/>
  <c r="BK267" i="1"/>
  <c r="BK268" i="1"/>
  <c r="BK269" i="1"/>
  <c r="BK270" i="1"/>
  <c r="BK271" i="1"/>
  <c r="BK272" i="1"/>
  <c r="BK273" i="1"/>
  <c r="BK274" i="1"/>
  <c r="BK275" i="1"/>
  <c r="BK276" i="1"/>
  <c r="BK277" i="1"/>
  <c r="BK278" i="1"/>
  <c r="BK279" i="1"/>
  <c r="BK280" i="1"/>
  <c r="BK281" i="1"/>
  <c r="BK282" i="1"/>
  <c r="BK283" i="1"/>
  <c r="BK284" i="1"/>
  <c r="BK285" i="1"/>
  <c r="BK286" i="1"/>
  <c r="BK287" i="1"/>
  <c r="BK288" i="1"/>
  <c r="BK289" i="1"/>
  <c r="BK290" i="1"/>
  <c r="BK291" i="1"/>
  <c r="BK292" i="1"/>
  <c r="BK293" i="1"/>
  <c r="BK294" i="1"/>
  <c r="BK295" i="1"/>
  <c r="BK296" i="1"/>
  <c r="BK297" i="1"/>
  <c r="BK298" i="1"/>
  <c r="BK299" i="1"/>
  <c r="BK300" i="1"/>
  <c r="BK301" i="1"/>
  <c r="BK302" i="1"/>
  <c r="BK303" i="1"/>
  <c r="BK304" i="1"/>
  <c r="BK305" i="1"/>
  <c r="BK306" i="1"/>
  <c r="BK307" i="1"/>
  <c r="BK308" i="1"/>
  <c r="BK309" i="1"/>
  <c r="BK310" i="1"/>
  <c r="BK311" i="1"/>
  <c r="BK312" i="1"/>
  <c r="BK313" i="1"/>
  <c r="BK314" i="1"/>
  <c r="BK315" i="1"/>
  <c r="BK316" i="1"/>
  <c r="BK317" i="1"/>
  <c r="BK318" i="1"/>
  <c r="BK319" i="1"/>
  <c r="BK320" i="1"/>
  <c r="BK321" i="1"/>
  <c r="BK322" i="1"/>
  <c r="BK323" i="1"/>
  <c r="BK324" i="1"/>
  <c r="BK325" i="1"/>
  <c r="BK326" i="1"/>
  <c r="BK327" i="1"/>
  <c r="BK328" i="1"/>
  <c r="BK329" i="1"/>
  <c r="BK330" i="1"/>
  <c r="BK331" i="1"/>
  <c r="BK332" i="1"/>
  <c r="BK333" i="1"/>
  <c r="BK334" i="1"/>
  <c r="BK335" i="1"/>
  <c r="BK336" i="1"/>
  <c r="BK337" i="1"/>
  <c r="BK338" i="1"/>
  <c r="BK339" i="1"/>
  <c r="BK340" i="1"/>
  <c r="BK341" i="1"/>
  <c r="BK342" i="1"/>
  <c r="BK343" i="1"/>
  <c r="BK344" i="1"/>
  <c r="BK345" i="1"/>
  <c r="BK346" i="1"/>
  <c r="BK347" i="1"/>
  <c r="BK348" i="1"/>
  <c r="BK349" i="1"/>
  <c r="BK350" i="1"/>
  <c r="BK351" i="1"/>
  <c r="BK352" i="1"/>
  <c r="BK353" i="1"/>
  <c r="BK354" i="1"/>
  <c r="BK355" i="1"/>
  <c r="BK356" i="1"/>
  <c r="BK357" i="1"/>
  <c r="BK358" i="1"/>
  <c r="BK359" i="1"/>
  <c r="BK360" i="1"/>
  <c r="BK361" i="1"/>
  <c r="BK362" i="1"/>
  <c r="BK363" i="1"/>
  <c r="BK364" i="1"/>
  <c r="BK365" i="1"/>
  <c r="BK366" i="1"/>
  <c r="BK367" i="1"/>
  <c r="BK368" i="1"/>
  <c r="BK369" i="1"/>
  <c r="BK370" i="1"/>
  <c r="BK371" i="1"/>
  <c r="BK372" i="1"/>
  <c r="BK373" i="1"/>
  <c r="BK374" i="1"/>
  <c r="BK375" i="1"/>
  <c r="BK376" i="1"/>
  <c r="BK377" i="1"/>
  <c r="BK378" i="1"/>
  <c r="BK379" i="1"/>
  <c r="BK380" i="1"/>
  <c r="BK381" i="1"/>
  <c r="BK382" i="1"/>
  <c r="BK383" i="1"/>
  <c r="BK384" i="1"/>
  <c r="BK385" i="1"/>
  <c r="BK386" i="1"/>
  <c r="BK387" i="1"/>
  <c r="BK388" i="1"/>
  <c r="BK389" i="1"/>
  <c r="BK390" i="1"/>
  <c r="BK391" i="1"/>
  <c r="BK392" i="1"/>
  <c r="BK393" i="1"/>
  <c r="BK394" i="1"/>
  <c r="BK395" i="1"/>
  <c r="BK396" i="1"/>
  <c r="BK397" i="1"/>
  <c r="BK398" i="1"/>
  <c r="BK399" i="1"/>
  <c r="BK400" i="1"/>
  <c r="BK401" i="1"/>
  <c r="BK402" i="1"/>
  <c r="BK403" i="1"/>
  <c r="BK404" i="1"/>
  <c r="BK405" i="1"/>
  <c r="BK406" i="1"/>
  <c r="BK407" i="1"/>
  <c r="BK408" i="1"/>
  <c r="BK409" i="1"/>
  <c r="BK410" i="1"/>
  <c r="BK411" i="1"/>
  <c r="BK412" i="1"/>
  <c r="BK413" i="1"/>
  <c r="BK414" i="1"/>
  <c r="BK415" i="1"/>
  <c r="BK416" i="1"/>
  <c r="BK417" i="1"/>
  <c r="BK418" i="1"/>
  <c r="BK419" i="1"/>
  <c r="BK420" i="1"/>
  <c r="BK421" i="1"/>
  <c r="BK422" i="1"/>
  <c r="BK423" i="1"/>
  <c r="BK424" i="1"/>
  <c r="BK425" i="1"/>
  <c r="BK426" i="1"/>
  <c r="BK427" i="1"/>
  <c r="BK428" i="1"/>
  <c r="BK429" i="1"/>
  <c r="BK430" i="1"/>
  <c r="BK431" i="1"/>
  <c r="BK432" i="1"/>
  <c r="BK433" i="1"/>
  <c r="BK434" i="1"/>
  <c r="BK435" i="1"/>
  <c r="BK436" i="1"/>
  <c r="BK437" i="1"/>
  <c r="BK438" i="1"/>
  <c r="BK439" i="1"/>
  <c r="BK440" i="1"/>
  <c r="BK441" i="1"/>
  <c r="BK442" i="1"/>
  <c r="BK443" i="1"/>
  <c r="BK444" i="1"/>
  <c r="BK445" i="1"/>
  <c r="BK446" i="1"/>
  <c r="BK447" i="1"/>
  <c r="BK448" i="1"/>
  <c r="BK449" i="1"/>
  <c r="BK450" i="1"/>
  <c r="BK451" i="1"/>
  <c r="BK452" i="1"/>
  <c r="BK453" i="1"/>
  <c r="BK454" i="1"/>
  <c r="BK455" i="1"/>
  <c r="BK456" i="1"/>
  <c r="BK457" i="1"/>
  <c r="BK458" i="1"/>
  <c r="BK459" i="1"/>
  <c r="BK460" i="1"/>
  <c r="BK461" i="1"/>
  <c r="BK462" i="1"/>
  <c r="BK463" i="1"/>
  <c r="BK464" i="1"/>
  <c r="BK465" i="1"/>
  <c r="BK466" i="1"/>
  <c r="BK467" i="1"/>
  <c r="BK468" i="1"/>
  <c r="BK469" i="1"/>
  <c r="BK470" i="1"/>
  <c r="BK471" i="1"/>
  <c r="BK472" i="1"/>
  <c r="BK473" i="1"/>
  <c r="BK474" i="1"/>
  <c r="BK475" i="1"/>
  <c r="BK476" i="1"/>
  <c r="BK477" i="1"/>
  <c r="BK478" i="1"/>
  <c r="BK479" i="1"/>
  <c r="BK480" i="1"/>
  <c r="BK481" i="1"/>
  <c r="BK482" i="1"/>
  <c r="BK483" i="1"/>
  <c r="BK484" i="1"/>
  <c r="BK485" i="1"/>
  <c r="BK486" i="1"/>
  <c r="BK487" i="1"/>
  <c r="BK488" i="1"/>
  <c r="BK489" i="1"/>
  <c r="BK490" i="1"/>
  <c r="BK491" i="1"/>
  <c r="BK492" i="1"/>
  <c r="BK493" i="1"/>
  <c r="BK494" i="1"/>
  <c r="BK495" i="1"/>
  <c r="BK496" i="1"/>
  <c r="BK497" i="1"/>
  <c r="BK498" i="1"/>
  <c r="BK499" i="1"/>
  <c r="BK500" i="1"/>
  <c r="BP4" i="3"/>
  <c r="BP5" i="3"/>
  <c r="BP6" i="3"/>
  <c r="BP7" i="3"/>
  <c r="BP8" i="3"/>
  <c r="BP9" i="3"/>
  <c r="BP10" i="3"/>
  <c r="BP11" i="3"/>
  <c r="BP12" i="3"/>
  <c r="BP13" i="3"/>
  <c r="BP14" i="3"/>
  <c r="BP15" i="3"/>
  <c r="BP16" i="3"/>
  <c r="BP17" i="3"/>
  <c r="BP18" i="3"/>
  <c r="BP19" i="3"/>
  <c r="BP20" i="3"/>
  <c r="BP21" i="3"/>
  <c r="BP22" i="3"/>
  <c r="BP23" i="3"/>
  <c r="BP24" i="3"/>
  <c r="BP25" i="3"/>
  <c r="BP26" i="3"/>
  <c r="BP27" i="3"/>
  <c r="BP28" i="3"/>
  <c r="BP29" i="3"/>
  <c r="BP30" i="3"/>
  <c r="BP31" i="3"/>
  <c r="BP32" i="3"/>
  <c r="BP33" i="3"/>
  <c r="BP34" i="3"/>
  <c r="BP35" i="3"/>
  <c r="BP36" i="3"/>
  <c r="BP37" i="3"/>
  <c r="BP38" i="3"/>
  <c r="BP39" i="3"/>
  <c r="BP40" i="3"/>
  <c r="BP41" i="3"/>
  <c r="BP42" i="3"/>
  <c r="BP43" i="3"/>
  <c r="BP44" i="3"/>
  <c r="BP45" i="3"/>
  <c r="BP46" i="3"/>
  <c r="BP47" i="3"/>
  <c r="BP48" i="3"/>
  <c r="BP49" i="3"/>
  <c r="BP50" i="3"/>
  <c r="BP51" i="3"/>
  <c r="BP52" i="3"/>
  <c r="BP53" i="3"/>
  <c r="BP54" i="3"/>
  <c r="BP55" i="3"/>
  <c r="BP56" i="3"/>
  <c r="BP57" i="3"/>
  <c r="BP58" i="3"/>
  <c r="BP59" i="3"/>
  <c r="BP60" i="3"/>
  <c r="BP61" i="3"/>
  <c r="BP62" i="3"/>
  <c r="BP63" i="3"/>
  <c r="BP64" i="3"/>
  <c r="BP65" i="3"/>
  <c r="BP66" i="3"/>
  <c r="BP67" i="3"/>
  <c r="BP68" i="3"/>
  <c r="BP69" i="3"/>
  <c r="BP70" i="3"/>
  <c r="BP71" i="3"/>
  <c r="BP72" i="3"/>
  <c r="BP73" i="3"/>
  <c r="BP74" i="3"/>
  <c r="BP75" i="3"/>
  <c r="BP76" i="3"/>
  <c r="BP77" i="3"/>
  <c r="BP78" i="3"/>
  <c r="BP79" i="3"/>
  <c r="BP80" i="3"/>
  <c r="BP81" i="3"/>
  <c r="BP82" i="3"/>
  <c r="BP83" i="3"/>
  <c r="BP84" i="3"/>
  <c r="BP85" i="3"/>
  <c r="BP86" i="3"/>
  <c r="BP87" i="3"/>
  <c r="BP88" i="3"/>
  <c r="BP89" i="3"/>
  <c r="BP90" i="3"/>
  <c r="BP91" i="3"/>
  <c r="BP92" i="3"/>
  <c r="BP93" i="3"/>
  <c r="BP94" i="3"/>
  <c r="BP95" i="3"/>
  <c r="BP96" i="3"/>
  <c r="BP97" i="3"/>
  <c r="BP98" i="3"/>
  <c r="BP99" i="3"/>
  <c r="BP100" i="3"/>
  <c r="BP101" i="3"/>
  <c r="BP102" i="3"/>
  <c r="BP103" i="3"/>
  <c r="BP104" i="3"/>
  <c r="BP105" i="3"/>
  <c r="BP106" i="3"/>
  <c r="BP107" i="3"/>
  <c r="BP108" i="3"/>
  <c r="BP109" i="3"/>
  <c r="BP110" i="3"/>
  <c r="BP111" i="3"/>
  <c r="BP112" i="3"/>
  <c r="BP113" i="3"/>
  <c r="BP114" i="3"/>
  <c r="BP115" i="3"/>
  <c r="BP116" i="3"/>
  <c r="BP117" i="3"/>
  <c r="BP118" i="3"/>
  <c r="BP119" i="3"/>
  <c r="BP120" i="3"/>
  <c r="BP121" i="3"/>
  <c r="BP122" i="3"/>
  <c r="BP123" i="3"/>
  <c r="BP124" i="3"/>
  <c r="BP125" i="3"/>
  <c r="BP126" i="3"/>
  <c r="BP127" i="3"/>
  <c r="BP128" i="3"/>
  <c r="BP129" i="3"/>
  <c r="BP130" i="3"/>
  <c r="BP131" i="3"/>
  <c r="BP132" i="3"/>
  <c r="BP133" i="3"/>
  <c r="BP134" i="3"/>
  <c r="BP135" i="3"/>
  <c r="BP136" i="3"/>
  <c r="BP137" i="3"/>
  <c r="BP138" i="3"/>
  <c r="BP139" i="3"/>
  <c r="BP140" i="3"/>
  <c r="BP141" i="3"/>
  <c r="BP142" i="3"/>
  <c r="BP143" i="3"/>
  <c r="BP144" i="3"/>
  <c r="BP145" i="3"/>
  <c r="BP146" i="3"/>
  <c r="BP147" i="3"/>
  <c r="BP148" i="3"/>
  <c r="BP149" i="3"/>
  <c r="BP150" i="3"/>
  <c r="BP151" i="3"/>
  <c r="BP152" i="3"/>
  <c r="BP153" i="3"/>
  <c r="BP154" i="3"/>
  <c r="BP155" i="3"/>
  <c r="BP156" i="3"/>
  <c r="BP157" i="3"/>
  <c r="BP158" i="3"/>
  <c r="BP159" i="3"/>
  <c r="BP160" i="3"/>
  <c r="BP161" i="3"/>
  <c r="BP162" i="3"/>
  <c r="BP163" i="3"/>
  <c r="BP164" i="3"/>
  <c r="BP165" i="3"/>
  <c r="BP166" i="3"/>
  <c r="BP167" i="3"/>
  <c r="BP168" i="3"/>
  <c r="BP169" i="3"/>
  <c r="BP170" i="3"/>
  <c r="BP171" i="3"/>
  <c r="BP172" i="3"/>
  <c r="BP173" i="3"/>
  <c r="BP174" i="3"/>
  <c r="BP175" i="3"/>
  <c r="BP176" i="3"/>
  <c r="BP177" i="3"/>
  <c r="BP178" i="3"/>
  <c r="BP179" i="3"/>
  <c r="BP180" i="3"/>
  <c r="BP181" i="3"/>
  <c r="BP182" i="3"/>
  <c r="BP183" i="3"/>
  <c r="BP184" i="3"/>
  <c r="BP185" i="3"/>
  <c r="BP186" i="3"/>
  <c r="BP187" i="3"/>
  <c r="BP188" i="3"/>
  <c r="BP189" i="3"/>
  <c r="BP190" i="3"/>
  <c r="BP191" i="3"/>
  <c r="BP192" i="3"/>
  <c r="BP193" i="3"/>
  <c r="BP194" i="3"/>
  <c r="BP195" i="3"/>
  <c r="BP196" i="3"/>
  <c r="BP197" i="3"/>
  <c r="BP198" i="3"/>
  <c r="BP199" i="3"/>
  <c r="BP200" i="3"/>
  <c r="BP201" i="3"/>
  <c r="BP202" i="3"/>
  <c r="BP203" i="3"/>
  <c r="BP204" i="3"/>
  <c r="BP205" i="3"/>
  <c r="BP206" i="3"/>
  <c r="BP207" i="3"/>
  <c r="BP208" i="3"/>
  <c r="BP209" i="3"/>
  <c r="BP210" i="3"/>
  <c r="BP211" i="3"/>
  <c r="BP212" i="3"/>
  <c r="BP213" i="3"/>
  <c r="BP214" i="3"/>
  <c r="BP215" i="3"/>
  <c r="BP216" i="3"/>
  <c r="BP217" i="3"/>
  <c r="BP218" i="3"/>
  <c r="BP219" i="3"/>
  <c r="BP220" i="3"/>
  <c r="BP221" i="3"/>
  <c r="BP222" i="3"/>
  <c r="BP223" i="3"/>
  <c r="BP224" i="3"/>
  <c r="BP225" i="3"/>
  <c r="BP226" i="3"/>
  <c r="BP227" i="3"/>
  <c r="BP228" i="3"/>
  <c r="BP229" i="3"/>
  <c r="BP230" i="3"/>
  <c r="BP231" i="3"/>
  <c r="BP232" i="3"/>
  <c r="BP233" i="3"/>
  <c r="BP234" i="3"/>
  <c r="BP235" i="3"/>
  <c r="BP236" i="3"/>
  <c r="BP237" i="3"/>
  <c r="BP238" i="3"/>
  <c r="BP239" i="3"/>
  <c r="BP240" i="3"/>
  <c r="BP241" i="3"/>
  <c r="BP242" i="3"/>
  <c r="BP243" i="3"/>
  <c r="BP244" i="3"/>
  <c r="BP245" i="3"/>
  <c r="BP246" i="3"/>
  <c r="BP247" i="3"/>
  <c r="BP248" i="3"/>
  <c r="BP249" i="3"/>
  <c r="BP250" i="3"/>
  <c r="BP251" i="3"/>
  <c r="BP252" i="3"/>
  <c r="BP253" i="3"/>
  <c r="BP254" i="3"/>
  <c r="BP255" i="3"/>
  <c r="BP256" i="3"/>
  <c r="BP257" i="3"/>
  <c r="BP258" i="3"/>
  <c r="BP259" i="3"/>
  <c r="BP260" i="3"/>
  <c r="BP261" i="3"/>
  <c r="BP262" i="3"/>
  <c r="BP263" i="3"/>
  <c r="BP264" i="3"/>
  <c r="BP265" i="3"/>
  <c r="BP266" i="3"/>
  <c r="BP267" i="3"/>
  <c r="BP268" i="3"/>
  <c r="BP269" i="3"/>
  <c r="BP270" i="3"/>
  <c r="BP271" i="3"/>
  <c r="BP272" i="3"/>
  <c r="BP273" i="3"/>
  <c r="BP274" i="3"/>
  <c r="BP275" i="3"/>
  <c r="BP276" i="3"/>
  <c r="BP277" i="3"/>
  <c r="BP278" i="3"/>
  <c r="BP279" i="3"/>
  <c r="BP280" i="3"/>
  <c r="BP281" i="3"/>
  <c r="BP282" i="3"/>
  <c r="BP283" i="3"/>
  <c r="BP284" i="3"/>
  <c r="BP285" i="3"/>
  <c r="BP286" i="3"/>
  <c r="BP287" i="3"/>
  <c r="BP288" i="3"/>
  <c r="BP289" i="3"/>
  <c r="BP290" i="3"/>
  <c r="BP291" i="3"/>
  <c r="BP292" i="3"/>
  <c r="BP293" i="3"/>
  <c r="BP294" i="3"/>
  <c r="BP295" i="3"/>
  <c r="BP296" i="3"/>
  <c r="BP297" i="3"/>
  <c r="BP298" i="3"/>
  <c r="BP299" i="3"/>
  <c r="BP300" i="3"/>
  <c r="BP301" i="3"/>
  <c r="BP302" i="3"/>
  <c r="BP303" i="3"/>
  <c r="BP304" i="3"/>
  <c r="BP305" i="3"/>
  <c r="BP306" i="3"/>
  <c r="BP307" i="3"/>
  <c r="BP308" i="3"/>
  <c r="BP309" i="3"/>
  <c r="BP310" i="3"/>
  <c r="BP311" i="3"/>
  <c r="BP312" i="3"/>
  <c r="BP313" i="3"/>
  <c r="BP314" i="3"/>
  <c r="BP315" i="3"/>
  <c r="BP316" i="3"/>
  <c r="BP317" i="3"/>
  <c r="BP318" i="3"/>
  <c r="BP319" i="3"/>
  <c r="BP320" i="3"/>
  <c r="BP321" i="3"/>
  <c r="BP322" i="3"/>
  <c r="BP323" i="3"/>
  <c r="BP324" i="3"/>
  <c r="BP325" i="3"/>
  <c r="BP326" i="3"/>
  <c r="BP327" i="3"/>
  <c r="BP328" i="3"/>
  <c r="BP329" i="3"/>
  <c r="BP330" i="3"/>
  <c r="BP331" i="3"/>
  <c r="BP332" i="3"/>
  <c r="BP333" i="3"/>
  <c r="BP334" i="3"/>
  <c r="BP335" i="3"/>
  <c r="BP336" i="3"/>
  <c r="BP337" i="3"/>
  <c r="BP338" i="3"/>
  <c r="BP339" i="3"/>
  <c r="BP340" i="3"/>
  <c r="BP341" i="3"/>
  <c r="BP342" i="3"/>
  <c r="BP343" i="3"/>
  <c r="BP344" i="3"/>
  <c r="BP345" i="3"/>
  <c r="BP346" i="3"/>
  <c r="BP347" i="3"/>
  <c r="BP348" i="3"/>
  <c r="BP349" i="3"/>
  <c r="BP350" i="3"/>
  <c r="BP351" i="3"/>
  <c r="BP352" i="3"/>
  <c r="BP353" i="3"/>
  <c r="BP354" i="3"/>
  <c r="BP355" i="3"/>
  <c r="BP356" i="3"/>
  <c r="BP357" i="3"/>
  <c r="BP358" i="3"/>
  <c r="BP359" i="3"/>
  <c r="BP360" i="3"/>
  <c r="BP361" i="3"/>
  <c r="BP362" i="3"/>
  <c r="BP363" i="3"/>
  <c r="BP364" i="3"/>
  <c r="BP365" i="3"/>
  <c r="BP366" i="3"/>
  <c r="BP367" i="3"/>
  <c r="BP368" i="3"/>
  <c r="BP369" i="3"/>
  <c r="BP370" i="3"/>
  <c r="BP371" i="3"/>
  <c r="BP372" i="3"/>
  <c r="BP373" i="3"/>
  <c r="BP374" i="3"/>
  <c r="BP375" i="3"/>
  <c r="BP376" i="3"/>
  <c r="BP377" i="3"/>
  <c r="BP378" i="3"/>
  <c r="BP379" i="3"/>
  <c r="BP380" i="3"/>
  <c r="BP381" i="3"/>
  <c r="BP382" i="3"/>
  <c r="BP383" i="3"/>
  <c r="BP384" i="3"/>
  <c r="BP385" i="3"/>
  <c r="BP386" i="3"/>
  <c r="BP387" i="3"/>
  <c r="BP388" i="3"/>
  <c r="BP389" i="3"/>
  <c r="BP390" i="3"/>
  <c r="BP391" i="3"/>
  <c r="BP392" i="3"/>
  <c r="BP393" i="3"/>
  <c r="BP394" i="3"/>
  <c r="BP395" i="3"/>
  <c r="BP396" i="3"/>
  <c r="BP397" i="3"/>
  <c r="BP398" i="3"/>
  <c r="BP399" i="3"/>
  <c r="BP400" i="3"/>
  <c r="BP401" i="3"/>
  <c r="BP402" i="3"/>
  <c r="BP403" i="3"/>
  <c r="BP404" i="3"/>
  <c r="BP405" i="3"/>
  <c r="BP406" i="3"/>
  <c r="BP407" i="3"/>
  <c r="BP408" i="3"/>
  <c r="BP409" i="3"/>
  <c r="BP410" i="3"/>
  <c r="BP411" i="3"/>
  <c r="BP412" i="3"/>
  <c r="BP413" i="3"/>
  <c r="BP414" i="3"/>
  <c r="BP415" i="3"/>
  <c r="BP416" i="3"/>
  <c r="BP417" i="3"/>
  <c r="BP418" i="3"/>
  <c r="BP419" i="3"/>
  <c r="BP420" i="3"/>
  <c r="BP421" i="3"/>
  <c r="BP422" i="3"/>
  <c r="BP423" i="3"/>
  <c r="BP424" i="3"/>
  <c r="BP425" i="3"/>
  <c r="BP426" i="3"/>
  <c r="BP427" i="3"/>
  <c r="BP428" i="3"/>
  <c r="BP429" i="3"/>
  <c r="BP430" i="3"/>
  <c r="BP431" i="3"/>
  <c r="BP432" i="3"/>
  <c r="BP433" i="3"/>
  <c r="BP434" i="3"/>
  <c r="BP435" i="3"/>
  <c r="BP436" i="3"/>
  <c r="BP437" i="3"/>
  <c r="BP438" i="3"/>
  <c r="BP439" i="3"/>
  <c r="BP440" i="3"/>
  <c r="BP441" i="3"/>
  <c r="BP442" i="3"/>
  <c r="BP443" i="3"/>
  <c r="BP444" i="3"/>
  <c r="BP445" i="3"/>
  <c r="BP446" i="3"/>
  <c r="BP447" i="3"/>
  <c r="BP448" i="3"/>
  <c r="BP449" i="3"/>
  <c r="BP450" i="3"/>
  <c r="BP451" i="3"/>
  <c r="BP452" i="3"/>
  <c r="BP453" i="3"/>
  <c r="BP454" i="3"/>
  <c r="BP455" i="3"/>
  <c r="BP456" i="3"/>
  <c r="BP457" i="3"/>
  <c r="BP458" i="3"/>
  <c r="BP459" i="3"/>
  <c r="BP460" i="3"/>
  <c r="BP461" i="3"/>
  <c r="BP462" i="3"/>
  <c r="BP463" i="3"/>
  <c r="BP464" i="3"/>
  <c r="BP465" i="3"/>
  <c r="BP466" i="3"/>
  <c r="BP467" i="3"/>
  <c r="BP468" i="3"/>
  <c r="BP469" i="3"/>
  <c r="BP470" i="3"/>
  <c r="BP471" i="3"/>
  <c r="BP472" i="3"/>
  <c r="BP473" i="3"/>
  <c r="BP474" i="3"/>
  <c r="BP475" i="3"/>
  <c r="BP476" i="3"/>
  <c r="BP477" i="3"/>
  <c r="BP478" i="3"/>
  <c r="BP479" i="3"/>
  <c r="BP480" i="3"/>
  <c r="BP481" i="3"/>
  <c r="BP482" i="3"/>
  <c r="BP483" i="3"/>
  <c r="BP484" i="3"/>
  <c r="BO72" i="3"/>
  <c r="BO13" i="3"/>
  <c r="BO73" i="3"/>
  <c r="BO74" i="3"/>
  <c r="BO75" i="3"/>
  <c r="BO76" i="3"/>
  <c r="BO77" i="3"/>
  <c r="BO78" i="3"/>
  <c r="BO79" i="3"/>
  <c r="BO80" i="3"/>
  <c r="BO81" i="3"/>
  <c r="BO82" i="3"/>
  <c r="BO83" i="3"/>
  <c r="BO84" i="3"/>
  <c r="BO85" i="3"/>
  <c r="BO86" i="3"/>
  <c r="BO46" i="3"/>
  <c r="BO87" i="3"/>
  <c r="BO88" i="3"/>
  <c r="BO89" i="3"/>
  <c r="BO21" i="3"/>
  <c r="BO90" i="3"/>
  <c r="BO15" i="3"/>
  <c r="BO91" i="3"/>
  <c r="BO92" i="3"/>
  <c r="BO93" i="3"/>
  <c r="BO94" i="3"/>
  <c r="BO95" i="3"/>
  <c r="BO96" i="3"/>
  <c r="BO10" i="3"/>
  <c r="BO97" i="3"/>
  <c r="BO98" i="3"/>
  <c r="BO99" i="3"/>
  <c r="BO100" i="3"/>
  <c r="BO101" i="3"/>
  <c r="BO102" i="3"/>
  <c r="BO20" i="3"/>
  <c r="BO103" i="3"/>
  <c r="BO104" i="3"/>
  <c r="BO105" i="3"/>
  <c r="BO106" i="3"/>
  <c r="BO107" i="3"/>
  <c r="BO108" i="3"/>
  <c r="BO109" i="3"/>
  <c r="BO110" i="3"/>
  <c r="BO32" i="3"/>
  <c r="BO111" i="3"/>
  <c r="BO112" i="3"/>
  <c r="BO113" i="3"/>
  <c r="BO33" i="3"/>
  <c r="BO114" i="3"/>
  <c r="BO115" i="3"/>
  <c r="BO116" i="3"/>
  <c r="BO117" i="3"/>
  <c r="BO118" i="3"/>
  <c r="BO119" i="3"/>
  <c r="BO120" i="3"/>
  <c r="BO121" i="3"/>
  <c r="BO122" i="3"/>
  <c r="BO123" i="3"/>
  <c r="BO124" i="3"/>
  <c r="BO125" i="3"/>
  <c r="BO126" i="3"/>
  <c r="BO127" i="3"/>
  <c r="BO128" i="3"/>
  <c r="BO129" i="3"/>
  <c r="BO130" i="3"/>
  <c r="BO131" i="3"/>
  <c r="BO132" i="3"/>
  <c r="BO47" i="3"/>
  <c r="BO8" i="3"/>
  <c r="BO133" i="3"/>
  <c r="BO134" i="3"/>
  <c r="BO3" i="3"/>
  <c r="BO18" i="3"/>
  <c r="BO135" i="3"/>
  <c r="BO136" i="3"/>
  <c r="BO62" i="3"/>
  <c r="BO19" i="3"/>
  <c r="BO137" i="3"/>
  <c r="BO138" i="3"/>
  <c r="BO139" i="3"/>
  <c r="BO140" i="3"/>
  <c r="BO141" i="3"/>
  <c r="BO4" i="3"/>
  <c r="BO142" i="3"/>
  <c r="BO143" i="3"/>
  <c r="BO144" i="3"/>
  <c r="BO145" i="3"/>
  <c r="BO146" i="3"/>
  <c r="BO147" i="3"/>
  <c r="BO148" i="3"/>
  <c r="BO149" i="3"/>
  <c r="BO150" i="3"/>
  <c r="BO151" i="3"/>
  <c r="BO152" i="3"/>
  <c r="BO153" i="3"/>
  <c r="BO154" i="3"/>
  <c r="BO34" i="3"/>
  <c r="BO155" i="3"/>
  <c r="BO156" i="3"/>
  <c r="BO157" i="3"/>
  <c r="BO158" i="3"/>
  <c r="BO63" i="3"/>
  <c r="BO42" i="3"/>
  <c r="BO159" i="3"/>
  <c r="BO43" i="3"/>
  <c r="BO160" i="3"/>
  <c r="BO161" i="3"/>
  <c r="BO69" i="3"/>
  <c r="BO29" i="3"/>
  <c r="BO30" i="3"/>
  <c r="BO162" i="3"/>
  <c r="BO163" i="3"/>
  <c r="BO164" i="3"/>
  <c r="BO165" i="3"/>
  <c r="BO166" i="3"/>
  <c r="BO167" i="3"/>
  <c r="BO168" i="3"/>
  <c r="BO169" i="3"/>
  <c r="BO170" i="3"/>
  <c r="BO171" i="3"/>
  <c r="BO172" i="3"/>
  <c r="BO173" i="3"/>
  <c r="BO174" i="3"/>
  <c r="BO175" i="3"/>
  <c r="BO176" i="3"/>
  <c r="BO14" i="3"/>
  <c r="BO177" i="3"/>
  <c r="BO178" i="3"/>
  <c r="BO179" i="3"/>
  <c r="BO180" i="3"/>
  <c r="BO181" i="3"/>
  <c r="BO182" i="3"/>
  <c r="BO183" i="3"/>
  <c r="BO184" i="3"/>
  <c r="BO35" i="3"/>
  <c r="BO185" i="3"/>
  <c r="BO186" i="3"/>
  <c r="BO187" i="3"/>
  <c r="BO188" i="3"/>
  <c r="BO189" i="3"/>
  <c r="BO23" i="3"/>
  <c r="BO190" i="3"/>
  <c r="BO191" i="3"/>
  <c r="BO192" i="3"/>
  <c r="BO193" i="3"/>
  <c r="BO194" i="3"/>
  <c r="BO195" i="3"/>
  <c r="BO196" i="3"/>
  <c r="BO64" i="3"/>
  <c r="BO197" i="3"/>
  <c r="BO198" i="3"/>
  <c r="BO199" i="3"/>
  <c r="BO200" i="3"/>
  <c r="BO48" i="3"/>
  <c r="BO201" i="3"/>
  <c r="BO202" i="3"/>
  <c r="BO203" i="3"/>
  <c r="BO65" i="3"/>
  <c r="BO24" i="3"/>
  <c r="BO204" i="3"/>
  <c r="BO205" i="3"/>
  <c r="BO206" i="3"/>
  <c r="BO207" i="3"/>
  <c r="BO208" i="3"/>
  <c r="BO209" i="3"/>
  <c r="BO210" i="3"/>
  <c r="BO25" i="3"/>
  <c r="BO211" i="3"/>
  <c r="BO212" i="3"/>
  <c r="BO213" i="3"/>
  <c r="BO214" i="3"/>
  <c r="BO215" i="3"/>
  <c r="BO11" i="3"/>
  <c r="BO216" i="3"/>
  <c r="BO217" i="3"/>
  <c r="BO218" i="3"/>
  <c r="BO219" i="3"/>
  <c r="BO220" i="3"/>
  <c r="BO221" i="3"/>
  <c r="BO222" i="3"/>
  <c r="BO223" i="3"/>
  <c r="BO224" i="3"/>
  <c r="BO225" i="3"/>
  <c r="BO226" i="3"/>
  <c r="BO227" i="3"/>
  <c r="BO228" i="3"/>
  <c r="BO229" i="3"/>
  <c r="BO230" i="3"/>
  <c r="BO231" i="3"/>
  <c r="BO232" i="3"/>
  <c r="BO36" i="3"/>
  <c r="BO233" i="3"/>
  <c r="BO5" i="3"/>
  <c r="BO234" i="3"/>
  <c r="BO235" i="3"/>
  <c r="BO236" i="3"/>
  <c r="BO237" i="3"/>
  <c r="BO238" i="3"/>
  <c r="BO239" i="3"/>
  <c r="BO240" i="3"/>
  <c r="BO241" i="3"/>
  <c r="BO242" i="3"/>
  <c r="BO243" i="3"/>
  <c r="BO244" i="3"/>
  <c r="BO245" i="3"/>
  <c r="BO16" i="3"/>
  <c r="BO246" i="3"/>
  <c r="BO12" i="3"/>
  <c r="BO247" i="3"/>
  <c r="BO66" i="3"/>
  <c r="BO248" i="3"/>
  <c r="BO249" i="3"/>
  <c r="BO250" i="3"/>
  <c r="BO251" i="3"/>
  <c r="BO252" i="3"/>
  <c r="BO253" i="3"/>
  <c r="BO254" i="3"/>
  <c r="BO255" i="3"/>
  <c r="BO256" i="3"/>
  <c r="BO257" i="3"/>
  <c r="BO258" i="3"/>
  <c r="BO259" i="3"/>
  <c r="BO260" i="3"/>
  <c r="BO49" i="3"/>
  <c r="BO261" i="3"/>
  <c r="BO50" i="3"/>
  <c r="BO262" i="3"/>
  <c r="BO263" i="3"/>
  <c r="BO264" i="3"/>
  <c r="BO265" i="3"/>
  <c r="BO266" i="3"/>
  <c r="BO267" i="3"/>
  <c r="BO268" i="3"/>
  <c r="BO269" i="3"/>
  <c r="BO270" i="3"/>
  <c r="BO7" i="3"/>
  <c r="BO271" i="3"/>
  <c r="BO272" i="3"/>
  <c r="BO273" i="3"/>
  <c r="BO274" i="3"/>
  <c r="BO275" i="3"/>
  <c r="BO276" i="3"/>
  <c r="BO277" i="3"/>
  <c r="BO278" i="3"/>
  <c r="BO279" i="3"/>
  <c r="BO67" i="3"/>
  <c r="BO280" i="3"/>
  <c r="BO281" i="3"/>
  <c r="BO282" i="3"/>
  <c r="BO283" i="3"/>
  <c r="BO284" i="3"/>
  <c r="BO285" i="3"/>
  <c r="BO286" i="3"/>
  <c r="BO287" i="3"/>
  <c r="BO288" i="3"/>
  <c r="BO289" i="3"/>
  <c r="BO290" i="3"/>
  <c r="BO291" i="3"/>
  <c r="BO292" i="3"/>
  <c r="BO293" i="3"/>
  <c r="BO294" i="3"/>
  <c r="BO295" i="3"/>
  <c r="BO22" i="3"/>
  <c r="BO296" i="3"/>
  <c r="BO297" i="3"/>
  <c r="BO298" i="3"/>
  <c r="BO299" i="3"/>
  <c r="BO300" i="3"/>
  <c r="BO301" i="3"/>
  <c r="BO302" i="3"/>
  <c r="BO59" i="3"/>
  <c r="BO51" i="3"/>
  <c r="BO52" i="3"/>
  <c r="BO303" i="3"/>
  <c r="BO304" i="3"/>
  <c r="BO305" i="3"/>
  <c r="BO26" i="3"/>
  <c r="BO306" i="3"/>
  <c r="BO307" i="3"/>
  <c r="BO308" i="3"/>
  <c r="BO309" i="3"/>
  <c r="BO310" i="3"/>
  <c r="BO311" i="3"/>
  <c r="BO53" i="3"/>
  <c r="BO312" i="3"/>
  <c r="BO313" i="3"/>
  <c r="BO37" i="3"/>
  <c r="BO314" i="3"/>
  <c r="BO315" i="3"/>
  <c r="BO316" i="3"/>
  <c r="BO317" i="3"/>
  <c r="BO318" i="3"/>
  <c r="BO319" i="3"/>
  <c r="BO320" i="3"/>
  <c r="BO321" i="3"/>
  <c r="BO322" i="3"/>
  <c r="BO323" i="3"/>
  <c r="BO324" i="3"/>
  <c r="BO325" i="3"/>
  <c r="BO326" i="3"/>
  <c r="BO327" i="3"/>
  <c r="BO328" i="3"/>
  <c r="BO38" i="3"/>
  <c r="BO329" i="3"/>
  <c r="BO330" i="3"/>
  <c r="BO331" i="3"/>
  <c r="BO332" i="3"/>
  <c r="BO39" i="3"/>
  <c r="BO333" i="3"/>
  <c r="BO334" i="3"/>
  <c r="BO335" i="3"/>
  <c r="BO336" i="3"/>
  <c r="BO337" i="3"/>
  <c r="BO338" i="3"/>
  <c r="BO339" i="3"/>
  <c r="BO60" i="3"/>
  <c r="BO340" i="3"/>
  <c r="BO341" i="3"/>
  <c r="BO61" i="3"/>
  <c r="BO342" i="3"/>
  <c r="BO343" i="3"/>
  <c r="BO344" i="3"/>
  <c r="BO345" i="3"/>
  <c r="BO346" i="3"/>
  <c r="BO347" i="3"/>
  <c r="BO44" i="3"/>
  <c r="BO348" i="3"/>
  <c r="BO45" i="3"/>
  <c r="BO6" i="3"/>
  <c r="BO349" i="3"/>
  <c r="BO350" i="3"/>
  <c r="BO351" i="3"/>
  <c r="BO352" i="3"/>
  <c r="BO353" i="3"/>
  <c r="BO354" i="3"/>
  <c r="BO355" i="3"/>
  <c r="BO356" i="3"/>
  <c r="BO357" i="3"/>
  <c r="BO358" i="3"/>
  <c r="BO359" i="3"/>
  <c r="BO360" i="3"/>
  <c r="BO361" i="3"/>
  <c r="BO362" i="3"/>
  <c r="BO363" i="3"/>
  <c r="BO364" i="3"/>
  <c r="BO54" i="3"/>
  <c r="BO365" i="3"/>
  <c r="BO366" i="3"/>
  <c r="BO367" i="3"/>
  <c r="BO368" i="3"/>
  <c r="BO369" i="3"/>
  <c r="BO370" i="3"/>
  <c r="BO371" i="3"/>
  <c r="BO372" i="3"/>
  <c r="BO40" i="3"/>
  <c r="BO373" i="3"/>
  <c r="BO374" i="3"/>
  <c r="BO375" i="3"/>
  <c r="BO376" i="3"/>
  <c r="BO377" i="3"/>
  <c r="BO378" i="3"/>
  <c r="BO379" i="3"/>
  <c r="BO380" i="3"/>
  <c r="BO28" i="3"/>
  <c r="BO381" i="3"/>
  <c r="BO382" i="3"/>
  <c r="BO383" i="3"/>
  <c r="BO384" i="3"/>
  <c r="BO385" i="3"/>
  <c r="BO55" i="3"/>
  <c r="BO386" i="3"/>
  <c r="BO387" i="3"/>
  <c r="BO388" i="3"/>
  <c r="BO31" i="3"/>
  <c r="BO389" i="3"/>
  <c r="BO390" i="3"/>
  <c r="BO391" i="3"/>
  <c r="BO392" i="3"/>
  <c r="BO393" i="3"/>
  <c r="BO394" i="3"/>
  <c r="BO395" i="3"/>
  <c r="BO396" i="3"/>
  <c r="BO397" i="3"/>
  <c r="BO398" i="3"/>
  <c r="BO399" i="3"/>
  <c r="BO400" i="3"/>
  <c r="BO401" i="3"/>
  <c r="BO402" i="3"/>
  <c r="BO403" i="3"/>
  <c r="BO404" i="3"/>
  <c r="BO405" i="3"/>
  <c r="BO406" i="3"/>
  <c r="BO407" i="3"/>
  <c r="BO408" i="3"/>
  <c r="BO409" i="3"/>
  <c r="BO410" i="3"/>
  <c r="BO411" i="3"/>
  <c r="BO412" i="3"/>
  <c r="BO70" i="3"/>
  <c r="BO413" i="3"/>
  <c r="BO414" i="3"/>
  <c r="BO415" i="3"/>
  <c r="BO416" i="3"/>
  <c r="BO417" i="3"/>
  <c r="BO56" i="3"/>
  <c r="BO418" i="3"/>
  <c r="BO419" i="3"/>
  <c r="BO420" i="3"/>
  <c r="BO421" i="3"/>
  <c r="BO422" i="3"/>
  <c r="BO423" i="3"/>
  <c r="BO424" i="3"/>
  <c r="BO425" i="3"/>
  <c r="BO426" i="3"/>
  <c r="BO427" i="3"/>
  <c r="BO9" i="3"/>
  <c r="BO428" i="3"/>
  <c r="BO429" i="3"/>
  <c r="BO430" i="3"/>
  <c r="BO431" i="3"/>
  <c r="BO432" i="3"/>
  <c r="BO433" i="3"/>
  <c r="BO434" i="3"/>
  <c r="BO435" i="3"/>
  <c r="BO436" i="3"/>
  <c r="BO57" i="3"/>
  <c r="BO437" i="3"/>
  <c r="BO438" i="3"/>
  <c r="BO439" i="3"/>
  <c r="BO17" i="3"/>
  <c r="BO440" i="3"/>
  <c r="BO441" i="3"/>
  <c r="BO442" i="3"/>
  <c r="BO443" i="3"/>
  <c r="BO444" i="3"/>
  <c r="BO445" i="3"/>
  <c r="BO446" i="3"/>
  <c r="BO447" i="3"/>
  <c r="BO448" i="3"/>
  <c r="BO449" i="3"/>
  <c r="BO27" i="3"/>
  <c r="BO450" i="3"/>
  <c r="BO451" i="3"/>
  <c r="BO452" i="3"/>
  <c r="BO453" i="3"/>
  <c r="BO454" i="3"/>
  <c r="BO68" i="3"/>
  <c r="BO455" i="3"/>
  <c r="BO456" i="3"/>
  <c r="BO457" i="3"/>
  <c r="BO458" i="3"/>
  <c r="BO459" i="3"/>
  <c r="BO460" i="3"/>
  <c r="BO58" i="3"/>
  <c r="BO461" i="3"/>
  <c r="BO71" i="3"/>
  <c r="BO462" i="3"/>
  <c r="BO463" i="3"/>
  <c r="BO464" i="3"/>
  <c r="BO465" i="3"/>
  <c r="BO466" i="3"/>
  <c r="BO467" i="3"/>
  <c r="BO41" i="3"/>
  <c r="BO468" i="3"/>
  <c r="BO469" i="3"/>
  <c r="BO470" i="3"/>
  <c r="BO471" i="3"/>
  <c r="BO472" i="3"/>
  <c r="BO473" i="3"/>
  <c r="BO474" i="3"/>
  <c r="BO475" i="3"/>
  <c r="BO476" i="3"/>
  <c r="BO477" i="3"/>
  <c r="BO478" i="3"/>
  <c r="BO479" i="3"/>
  <c r="BO480" i="3"/>
  <c r="BO481" i="3"/>
  <c r="BO482" i="3"/>
  <c r="BO483" i="3"/>
  <c r="BO484" i="3"/>
  <c r="F72" i="3"/>
  <c r="F13" i="3"/>
  <c r="F73" i="3"/>
  <c r="F74" i="3"/>
  <c r="F75" i="3"/>
  <c r="F76" i="3"/>
  <c r="F77" i="3"/>
  <c r="F78" i="3"/>
  <c r="F79" i="3"/>
  <c r="F80" i="3"/>
  <c r="F81" i="3"/>
  <c r="F82" i="3"/>
  <c r="F83" i="3"/>
  <c r="F84" i="3"/>
  <c r="F85" i="3"/>
  <c r="F86" i="3"/>
  <c r="F46" i="3"/>
  <c r="F87" i="3"/>
  <c r="F88" i="3"/>
  <c r="F89" i="3"/>
  <c r="F21" i="3"/>
  <c r="F90" i="3"/>
  <c r="F15" i="3"/>
  <c r="F91" i="3"/>
  <c r="F92" i="3"/>
  <c r="F93" i="3"/>
  <c r="F94" i="3"/>
  <c r="F95" i="3"/>
  <c r="F96" i="3"/>
  <c r="F10" i="3"/>
  <c r="F97" i="3"/>
  <c r="F98" i="3"/>
  <c r="F99" i="3"/>
  <c r="F100" i="3"/>
  <c r="F101" i="3"/>
  <c r="F102" i="3"/>
  <c r="F20" i="3"/>
  <c r="F103" i="3"/>
  <c r="F104" i="3"/>
  <c r="F105" i="3"/>
  <c r="F106" i="3"/>
  <c r="F107" i="3"/>
  <c r="F108" i="3"/>
  <c r="F109" i="3"/>
  <c r="F110" i="3"/>
  <c r="F32" i="3"/>
  <c r="F111" i="3"/>
  <c r="F112" i="3"/>
  <c r="F113" i="3"/>
  <c r="F33" i="3"/>
  <c r="F114" i="3"/>
  <c r="F115" i="3"/>
  <c r="F116" i="3"/>
  <c r="F117" i="3"/>
  <c r="F118" i="3"/>
  <c r="F119" i="3"/>
  <c r="F120" i="3"/>
  <c r="F121" i="3"/>
  <c r="F122" i="3"/>
  <c r="F123" i="3"/>
  <c r="F124" i="3"/>
  <c r="F125" i="3"/>
  <c r="F126" i="3"/>
  <c r="F127" i="3"/>
  <c r="F128" i="3"/>
  <c r="F129" i="3"/>
  <c r="F130" i="3"/>
  <c r="F131" i="3"/>
  <c r="F132" i="3"/>
  <c r="F47" i="3"/>
  <c r="F8" i="3"/>
  <c r="F133" i="3"/>
  <c r="F134" i="3"/>
  <c r="F3" i="3"/>
  <c r="F18" i="3"/>
  <c r="F135" i="3"/>
  <c r="F136" i="3"/>
  <c r="F62" i="3"/>
  <c r="F19" i="3"/>
  <c r="F137" i="3"/>
  <c r="F138" i="3"/>
  <c r="F139" i="3"/>
  <c r="F140" i="3"/>
  <c r="F141" i="3"/>
  <c r="F4" i="3"/>
  <c r="F142" i="3"/>
  <c r="F143" i="3"/>
  <c r="F144" i="3"/>
  <c r="F145" i="3"/>
  <c r="F146" i="3"/>
  <c r="F147" i="3"/>
  <c r="F148" i="3"/>
  <c r="F149" i="3"/>
  <c r="F150" i="3"/>
  <c r="F151" i="3"/>
  <c r="F152" i="3"/>
  <c r="F153" i="3"/>
  <c r="F154" i="3"/>
  <c r="F34" i="3"/>
  <c r="F155" i="3"/>
  <c r="F156" i="3"/>
  <c r="F157" i="3"/>
  <c r="F158" i="3"/>
  <c r="F63" i="3"/>
  <c r="F42" i="3"/>
  <c r="F159" i="3"/>
  <c r="F43" i="3"/>
  <c r="F160" i="3"/>
  <c r="F161" i="3"/>
  <c r="F69" i="3"/>
  <c r="F29" i="3"/>
  <c r="F30" i="3"/>
  <c r="F162" i="3"/>
  <c r="F163" i="3"/>
  <c r="F164" i="3"/>
  <c r="F165" i="3"/>
  <c r="F166" i="3"/>
  <c r="F167" i="3"/>
  <c r="F168" i="3"/>
  <c r="F169" i="3"/>
  <c r="F170" i="3"/>
  <c r="F171" i="3"/>
  <c r="F172" i="3"/>
  <c r="F173" i="3"/>
  <c r="F174" i="3"/>
  <c r="F175" i="3"/>
  <c r="F176" i="3"/>
  <c r="F14" i="3"/>
  <c r="F177" i="3"/>
  <c r="F178" i="3"/>
  <c r="F179" i="3"/>
  <c r="F180" i="3"/>
  <c r="F181" i="3"/>
  <c r="F182" i="3"/>
  <c r="F183" i="3"/>
  <c r="F184" i="3"/>
  <c r="F35" i="3"/>
  <c r="F185" i="3"/>
  <c r="F186" i="3"/>
  <c r="F187" i="3"/>
  <c r="F188" i="3"/>
  <c r="F189" i="3"/>
  <c r="F23" i="3"/>
  <c r="F190" i="3"/>
  <c r="F191" i="3"/>
  <c r="F192" i="3"/>
  <c r="F193" i="3"/>
  <c r="F194" i="3"/>
  <c r="F195" i="3"/>
  <c r="F196" i="3"/>
  <c r="F64" i="3"/>
  <c r="F197" i="3"/>
  <c r="F198" i="3"/>
  <c r="F199" i="3"/>
  <c r="F200" i="3"/>
  <c r="F48" i="3"/>
  <c r="F201" i="3"/>
  <c r="F202" i="3"/>
  <c r="F203" i="3"/>
  <c r="F65" i="3"/>
  <c r="F24" i="3"/>
  <c r="F204" i="3"/>
  <c r="F205" i="3"/>
  <c r="F206" i="3"/>
  <c r="F207" i="3"/>
  <c r="F208" i="3"/>
  <c r="F209" i="3"/>
  <c r="F210" i="3"/>
  <c r="F25" i="3"/>
  <c r="F211" i="3"/>
  <c r="F212" i="3"/>
  <c r="F213" i="3"/>
  <c r="F214" i="3"/>
  <c r="F215" i="3"/>
  <c r="F11" i="3"/>
  <c r="F216" i="3"/>
  <c r="F217" i="3"/>
  <c r="F218" i="3"/>
  <c r="F219" i="3"/>
  <c r="F220" i="3"/>
  <c r="F221" i="3"/>
  <c r="F222" i="3"/>
  <c r="F223" i="3"/>
  <c r="F224" i="3"/>
  <c r="F225" i="3"/>
  <c r="F226" i="3"/>
  <c r="F227" i="3"/>
  <c r="F228" i="3"/>
  <c r="F229" i="3"/>
  <c r="F230" i="3"/>
  <c r="F231" i="3"/>
  <c r="F232" i="3"/>
  <c r="F36" i="3"/>
  <c r="F233" i="3"/>
  <c r="F5" i="3"/>
  <c r="F234" i="3"/>
  <c r="F235" i="3"/>
  <c r="F236" i="3"/>
  <c r="F237" i="3"/>
  <c r="F238" i="3"/>
  <c r="F239" i="3"/>
  <c r="F240" i="3"/>
  <c r="F241" i="3"/>
  <c r="F242" i="3"/>
  <c r="F243" i="3"/>
  <c r="F244" i="3"/>
  <c r="F245" i="3"/>
  <c r="F16" i="3"/>
  <c r="F246" i="3"/>
  <c r="F12" i="3"/>
  <c r="F247" i="3"/>
  <c r="F66" i="3"/>
  <c r="F248" i="3"/>
  <c r="F249" i="3"/>
  <c r="F250" i="3"/>
  <c r="F251" i="3"/>
  <c r="F252" i="3"/>
  <c r="F253" i="3"/>
  <c r="F254" i="3"/>
  <c r="F255" i="3"/>
  <c r="F256" i="3"/>
  <c r="F257" i="3"/>
  <c r="F258" i="3"/>
  <c r="F259" i="3"/>
  <c r="F260" i="3"/>
  <c r="F49" i="3"/>
  <c r="F261" i="3"/>
  <c r="F50" i="3"/>
  <c r="F262" i="3"/>
  <c r="F263" i="3"/>
  <c r="F264" i="3"/>
  <c r="F265" i="3"/>
  <c r="F266" i="3"/>
  <c r="F267" i="3"/>
  <c r="F268" i="3"/>
  <c r="F269" i="3"/>
  <c r="F270" i="3"/>
  <c r="F7" i="3"/>
  <c r="F271" i="3"/>
  <c r="F272" i="3"/>
  <c r="F273" i="3"/>
  <c r="F274" i="3"/>
  <c r="F275" i="3"/>
  <c r="F276" i="3"/>
  <c r="F277" i="3"/>
  <c r="F278" i="3"/>
  <c r="F279" i="3"/>
  <c r="F67" i="3"/>
  <c r="F280" i="3"/>
  <c r="F281" i="3"/>
  <c r="F282" i="3"/>
  <c r="F283" i="3"/>
  <c r="F284" i="3"/>
  <c r="F285" i="3"/>
  <c r="F286" i="3"/>
  <c r="F287" i="3"/>
  <c r="F288" i="3"/>
  <c r="F289" i="3"/>
  <c r="F290" i="3"/>
  <c r="F291" i="3"/>
  <c r="F292" i="3"/>
  <c r="F293" i="3"/>
  <c r="F294" i="3"/>
  <c r="F295" i="3"/>
  <c r="F22" i="3"/>
  <c r="F296" i="3"/>
  <c r="F297" i="3"/>
  <c r="F298" i="3"/>
  <c r="F299" i="3"/>
  <c r="F300" i="3"/>
  <c r="F301" i="3"/>
  <c r="F302" i="3"/>
  <c r="F59" i="3"/>
  <c r="F51" i="3"/>
  <c r="F52" i="3"/>
  <c r="F303" i="3"/>
  <c r="F304" i="3"/>
  <c r="F305" i="3"/>
  <c r="F26" i="3"/>
  <c r="F306" i="3"/>
  <c r="F307" i="3"/>
  <c r="F308" i="3"/>
  <c r="F309" i="3"/>
  <c r="F310" i="3"/>
  <c r="F311" i="3"/>
  <c r="F53" i="3"/>
  <c r="F312" i="3"/>
  <c r="F313" i="3"/>
  <c r="F37" i="3"/>
  <c r="F314" i="3"/>
  <c r="F315" i="3"/>
  <c r="F316" i="3"/>
  <c r="F317" i="3"/>
  <c r="F318" i="3"/>
  <c r="F319" i="3"/>
  <c r="F320" i="3"/>
  <c r="F321" i="3"/>
  <c r="F322" i="3"/>
  <c r="F323" i="3"/>
  <c r="F324" i="3"/>
  <c r="F325" i="3"/>
  <c r="F326" i="3"/>
  <c r="F327" i="3"/>
  <c r="F328" i="3"/>
  <c r="F38" i="3"/>
  <c r="F329" i="3"/>
  <c r="F330" i="3"/>
  <c r="F331" i="3"/>
  <c r="F332" i="3"/>
  <c r="F39" i="3"/>
  <c r="F333" i="3"/>
  <c r="F334" i="3"/>
  <c r="F335" i="3"/>
  <c r="F336" i="3"/>
  <c r="F337" i="3"/>
  <c r="F338" i="3"/>
  <c r="F339" i="3"/>
  <c r="F60" i="3"/>
  <c r="F340" i="3"/>
  <c r="F341" i="3"/>
  <c r="F61" i="3"/>
  <c r="F342" i="3"/>
  <c r="F343" i="3"/>
  <c r="F344" i="3"/>
  <c r="F345" i="3"/>
  <c r="F346" i="3"/>
  <c r="F347" i="3"/>
  <c r="F44" i="3"/>
  <c r="F348" i="3"/>
  <c r="F45" i="3"/>
  <c r="F6" i="3"/>
  <c r="F349" i="3"/>
  <c r="F350" i="3"/>
  <c r="F351" i="3"/>
  <c r="F352" i="3"/>
  <c r="F353" i="3"/>
  <c r="F354" i="3"/>
  <c r="F355" i="3"/>
  <c r="F356" i="3"/>
  <c r="F357" i="3"/>
  <c r="F358" i="3"/>
  <c r="F359" i="3"/>
  <c r="F360" i="3"/>
  <c r="F361" i="3"/>
  <c r="F362" i="3"/>
  <c r="F363" i="3"/>
  <c r="F364" i="3"/>
  <c r="F54" i="3"/>
  <c r="F365" i="3"/>
  <c r="F366" i="3"/>
  <c r="F367" i="3"/>
  <c r="F368" i="3"/>
  <c r="F369" i="3"/>
  <c r="F370" i="3"/>
  <c r="F371" i="3"/>
  <c r="F372" i="3"/>
  <c r="F40" i="3"/>
  <c r="F373" i="3"/>
  <c r="F374" i="3"/>
  <c r="F375" i="3"/>
  <c r="F376" i="3"/>
  <c r="F377" i="3"/>
  <c r="F378" i="3"/>
  <c r="F379" i="3"/>
  <c r="F380" i="3"/>
  <c r="F28" i="3"/>
  <c r="F381" i="3"/>
  <c r="F382" i="3"/>
  <c r="F383" i="3"/>
  <c r="F384" i="3"/>
  <c r="F385" i="3"/>
  <c r="F55" i="3"/>
  <c r="F386" i="3"/>
  <c r="F387" i="3"/>
  <c r="F388" i="3"/>
  <c r="F31" i="3"/>
  <c r="F389" i="3"/>
  <c r="F390" i="3"/>
  <c r="F391" i="3"/>
  <c r="F392" i="3"/>
  <c r="F393" i="3"/>
  <c r="F394" i="3"/>
  <c r="F395" i="3"/>
  <c r="F396" i="3"/>
  <c r="F397" i="3"/>
  <c r="F398" i="3"/>
  <c r="F399" i="3"/>
  <c r="F400" i="3"/>
  <c r="F401" i="3"/>
  <c r="F402" i="3"/>
  <c r="F403" i="3"/>
  <c r="F404" i="3"/>
  <c r="F405" i="3"/>
  <c r="F406" i="3"/>
  <c r="F407" i="3"/>
  <c r="F408" i="3"/>
  <c r="F409" i="3"/>
  <c r="F410" i="3"/>
  <c r="F411" i="3"/>
  <c r="F412" i="3"/>
  <c r="F70" i="3"/>
  <c r="F413" i="3"/>
  <c r="F414" i="3"/>
  <c r="F415" i="3"/>
  <c r="F416" i="3"/>
  <c r="F417" i="3"/>
  <c r="F56" i="3"/>
  <c r="F418" i="3"/>
  <c r="F419" i="3"/>
  <c r="F420" i="3"/>
  <c r="F421" i="3"/>
  <c r="F422" i="3"/>
  <c r="F423" i="3"/>
  <c r="F424" i="3"/>
  <c r="F425" i="3"/>
  <c r="F426" i="3"/>
  <c r="F427" i="3"/>
  <c r="F9" i="3"/>
  <c r="F428" i="3"/>
  <c r="F429" i="3"/>
  <c r="F430" i="3"/>
  <c r="F431" i="3"/>
  <c r="F432" i="3"/>
  <c r="F433" i="3"/>
  <c r="F434" i="3"/>
  <c r="F435" i="3"/>
  <c r="F436" i="3"/>
  <c r="F57" i="3"/>
  <c r="F437" i="3"/>
  <c r="F438" i="3"/>
  <c r="F439" i="3"/>
  <c r="F17" i="3"/>
  <c r="F440" i="3"/>
  <c r="F441" i="3"/>
  <c r="F442" i="3"/>
  <c r="F443" i="3"/>
  <c r="F444" i="3"/>
  <c r="F445" i="3"/>
  <c r="F446" i="3"/>
  <c r="F447" i="3"/>
  <c r="F448" i="3"/>
  <c r="F449" i="3"/>
  <c r="F27" i="3"/>
  <c r="F450" i="3"/>
  <c r="F451" i="3"/>
  <c r="F452" i="3"/>
  <c r="F453" i="3"/>
  <c r="F454" i="3"/>
  <c r="F68" i="3"/>
  <c r="F455" i="3"/>
  <c r="F456" i="3"/>
  <c r="F457" i="3"/>
  <c r="F458" i="3"/>
  <c r="F459" i="3"/>
  <c r="F460" i="3"/>
  <c r="F58" i="3"/>
  <c r="F461" i="3"/>
  <c r="F71" i="3"/>
  <c r="F462" i="3"/>
  <c r="F463" i="3"/>
  <c r="F464" i="3"/>
  <c r="F465" i="3"/>
  <c r="F466" i="3"/>
  <c r="F467" i="3"/>
  <c r="F41" i="3"/>
  <c r="F468" i="3"/>
  <c r="F469" i="3"/>
  <c r="F470" i="3"/>
  <c r="F471" i="3"/>
  <c r="F472" i="3"/>
  <c r="F473" i="3"/>
  <c r="F474" i="3"/>
  <c r="F475" i="3"/>
  <c r="F476" i="3"/>
  <c r="F477" i="3"/>
  <c r="F478" i="3"/>
  <c r="F479" i="3"/>
  <c r="F480" i="3"/>
  <c r="F481" i="3"/>
  <c r="F482" i="3"/>
  <c r="F483" i="3"/>
  <c r="F484" i="3"/>
  <c r="BH72" i="3"/>
  <c r="BH13" i="3"/>
  <c r="BH73" i="3"/>
  <c r="BH74" i="3"/>
  <c r="BH75" i="3"/>
  <c r="BH76" i="3"/>
  <c r="BH77" i="3"/>
  <c r="BH78" i="3"/>
  <c r="BH79" i="3"/>
  <c r="BH82" i="3"/>
  <c r="BH83" i="3"/>
  <c r="BH84" i="3"/>
  <c r="BH85" i="3"/>
  <c r="BH86" i="3"/>
  <c r="BH46" i="3"/>
  <c r="BH87" i="3"/>
  <c r="BH88" i="3"/>
  <c r="BH21" i="3"/>
  <c r="BH90" i="3"/>
  <c r="BH15" i="3"/>
  <c r="BH91" i="3"/>
  <c r="BH92" i="3"/>
  <c r="BH93" i="3"/>
  <c r="BH94" i="3"/>
  <c r="BH95" i="3"/>
  <c r="BH96" i="3"/>
  <c r="BH10" i="3"/>
  <c r="BH97" i="3"/>
  <c r="BH98" i="3"/>
  <c r="BH99" i="3"/>
  <c r="BH100" i="3"/>
  <c r="BH101" i="3"/>
  <c r="BH102" i="3"/>
  <c r="BH103" i="3"/>
  <c r="BH104" i="3"/>
  <c r="BH105" i="3"/>
  <c r="BH106" i="3"/>
  <c r="BH107" i="3"/>
  <c r="BH108" i="3"/>
  <c r="BH110" i="3"/>
  <c r="BH111" i="3"/>
  <c r="BH112" i="3"/>
  <c r="BH113" i="3"/>
  <c r="BH114" i="3"/>
  <c r="BH115" i="3"/>
  <c r="BH116" i="3"/>
  <c r="BH117" i="3"/>
  <c r="BH118" i="3"/>
  <c r="BH119" i="3"/>
  <c r="BH120" i="3"/>
  <c r="BH121" i="3"/>
  <c r="BH122" i="3"/>
  <c r="BH124" i="3"/>
  <c r="BH125" i="3"/>
  <c r="BH126" i="3"/>
  <c r="BH127" i="3"/>
  <c r="BH128" i="3"/>
  <c r="BH129" i="3"/>
  <c r="BH131" i="3"/>
  <c r="BH132" i="3"/>
  <c r="BH47" i="3"/>
  <c r="BH8" i="3"/>
  <c r="BH133" i="3"/>
  <c r="BH134" i="3"/>
  <c r="BH3" i="3"/>
  <c r="BH18" i="3"/>
  <c r="BH135" i="3"/>
  <c r="BH136" i="3"/>
  <c r="BH19" i="3"/>
  <c r="BH138" i="3"/>
  <c r="BH139" i="3"/>
  <c r="BH141" i="3"/>
  <c r="BH4" i="3"/>
  <c r="BH142" i="3"/>
  <c r="BH145" i="3"/>
  <c r="BH146" i="3"/>
  <c r="BH147" i="3"/>
  <c r="BH148" i="3"/>
  <c r="BH149" i="3"/>
  <c r="BH151" i="3"/>
  <c r="BH152" i="3"/>
  <c r="BH153" i="3"/>
  <c r="BH154" i="3"/>
  <c r="BH34" i="3"/>
  <c r="BH156" i="3"/>
  <c r="BH157" i="3"/>
  <c r="BH158" i="3"/>
  <c r="BH42" i="3"/>
  <c r="BH159" i="3"/>
  <c r="BH43" i="3"/>
  <c r="BH160" i="3"/>
  <c r="BH161" i="3"/>
  <c r="BH69" i="3"/>
  <c r="BH29" i="3"/>
  <c r="BH30" i="3"/>
  <c r="BH162" i="3"/>
  <c r="BH164" i="3"/>
  <c r="BH165" i="3"/>
  <c r="BH166" i="3"/>
  <c r="BH167" i="3"/>
  <c r="BH168" i="3"/>
  <c r="BH169" i="3"/>
  <c r="BH170" i="3"/>
  <c r="BH171" i="3"/>
  <c r="BH174" i="3"/>
  <c r="BH175" i="3"/>
  <c r="BH176" i="3"/>
  <c r="BH14" i="3"/>
  <c r="BH177" i="3"/>
  <c r="BH178" i="3"/>
  <c r="BH179" i="3"/>
  <c r="BH180" i="3"/>
  <c r="BH181" i="3"/>
  <c r="BH182" i="3"/>
  <c r="BH184" i="3"/>
  <c r="BH185" i="3"/>
  <c r="BH186" i="3"/>
  <c r="BH188" i="3"/>
  <c r="BH189" i="3"/>
  <c r="BH23" i="3"/>
  <c r="BH191" i="3"/>
  <c r="BH192" i="3"/>
  <c r="BH193" i="3"/>
  <c r="BH194" i="3"/>
  <c r="BH195" i="3"/>
  <c r="BH196" i="3"/>
  <c r="BH64" i="3"/>
  <c r="BH197" i="3"/>
  <c r="BH199" i="3"/>
  <c r="BH200" i="3"/>
  <c r="BH48" i="3"/>
  <c r="BH201" i="3"/>
  <c r="BH202" i="3"/>
  <c r="BH203" i="3"/>
  <c r="BH24" i="3"/>
  <c r="BH204" i="3"/>
  <c r="BH205" i="3"/>
  <c r="BH206" i="3"/>
  <c r="BH207" i="3"/>
  <c r="BH208" i="3"/>
  <c r="BH210" i="3"/>
  <c r="BH25" i="3"/>
  <c r="BH211" i="3"/>
  <c r="BH212" i="3"/>
  <c r="BH213" i="3"/>
  <c r="BH214" i="3"/>
  <c r="BH11" i="3"/>
  <c r="BH217" i="3"/>
  <c r="BH218" i="3"/>
  <c r="BH219" i="3"/>
  <c r="BH220" i="3"/>
  <c r="BH221" i="3"/>
  <c r="BH223" i="3"/>
  <c r="BH224" i="3"/>
  <c r="BH225" i="3"/>
  <c r="BH227" i="3"/>
  <c r="BH228" i="3"/>
  <c r="BH229" i="3"/>
  <c r="BH230" i="3"/>
  <c r="BH231" i="3"/>
  <c r="BH232" i="3"/>
  <c r="BH36" i="3"/>
  <c r="BH233" i="3"/>
  <c r="BH234" i="3"/>
  <c r="BH236" i="3"/>
  <c r="BH237" i="3"/>
  <c r="BH238" i="3"/>
  <c r="BH239" i="3"/>
  <c r="BH240" i="3"/>
  <c r="BH241" i="3"/>
  <c r="BH242" i="3"/>
  <c r="BH243" i="3"/>
  <c r="BH244" i="3"/>
  <c r="BH245" i="3"/>
  <c r="BH16" i="3"/>
  <c r="BH246" i="3"/>
  <c r="BH12" i="3"/>
  <c r="BH247" i="3"/>
  <c r="BH248" i="3"/>
  <c r="BH249" i="3"/>
  <c r="BH250" i="3"/>
  <c r="BH252" i="3"/>
  <c r="BH253" i="3"/>
  <c r="BH254" i="3"/>
  <c r="BH255" i="3"/>
  <c r="BH256" i="3"/>
  <c r="BH257" i="3"/>
  <c r="BH258" i="3"/>
  <c r="BH259" i="3"/>
  <c r="BH49" i="3"/>
  <c r="BH261" i="3"/>
  <c r="BH50" i="3"/>
  <c r="BH262" i="3"/>
  <c r="BH264" i="3"/>
  <c r="BH265" i="3"/>
  <c r="BH266" i="3"/>
  <c r="BH267" i="3"/>
  <c r="BH268" i="3"/>
  <c r="BH269" i="3"/>
  <c r="BH270" i="3"/>
  <c r="BH7" i="3"/>
  <c r="BH271" i="3"/>
  <c r="BH272" i="3"/>
  <c r="BH273" i="3"/>
  <c r="BH274" i="3"/>
  <c r="BH275" i="3"/>
  <c r="BH276" i="3"/>
  <c r="BH277" i="3"/>
  <c r="BH278" i="3"/>
  <c r="BH279" i="3"/>
  <c r="BH67" i="3"/>
  <c r="BH280" i="3"/>
  <c r="BH281" i="3"/>
  <c r="BH283" i="3"/>
  <c r="BH286" i="3"/>
  <c r="BH287" i="3"/>
  <c r="BH288" i="3"/>
  <c r="BH289" i="3"/>
  <c r="BH290" i="3"/>
  <c r="BH291" i="3"/>
  <c r="BH293" i="3"/>
  <c r="BH294" i="3"/>
  <c r="BH295" i="3"/>
  <c r="BH22" i="3"/>
  <c r="BH297" i="3"/>
  <c r="BH298" i="3"/>
  <c r="BH299" i="3"/>
  <c r="BH300" i="3"/>
  <c r="BH301" i="3"/>
  <c r="BH302" i="3"/>
  <c r="BH59" i="3"/>
  <c r="BH51" i="3"/>
  <c r="BH52" i="3"/>
  <c r="BH303" i="3"/>
  <c r="BH304" i="3"/>
  <c r="BH305" i="3"/>
  <c r="BH26" i="3"/>
  <c r="BH306" i="3"/>
  <c r="BH307" i="3"/>
  <c r="BH308" i="3"/>
  <c r="BH309" i="3"/>
  <c r="BH311" i="3"/>
  <c r="BH53" i="3"/>
  <c r="BH312" i="3"/>
  <c r="BH313" i="3"/>
  <c r="BH37" i="3"/>
  <c r="BH314" i="3"/>
  <c r="BH315" i="3"/>
  <c r="BH316" i="3"/>
  <c r="BH317" i="3"/>
  <c r="BH318" i="3"/>
  <c r="BH319" i="3"/>
  <c r="BH320" i="3"/>
  <c r="BH321" i="3"/>
  <c r="BH323" i="3"/>
  <c r="BH324" i="3"/>
  <c r="BH325" i="3"/>
  <c r="BH326" i="3"/>
  <c r="BH327" i="3"/>
  <c r="BH328" i="3"/>
  <c r="BH329" i="3"/>
  <c r="BH330" i="3"/>
  <c r="BH332" i="3"/>
  <c r="BH39" i="3"/>
  <c r="BH333" i="3"/>
  <c r="BH334" i="3"/>
  <c r="BH335" i="3"/>
  <c r="BH336" i="3"/>
  <c r="BH337" i="3"/>
  <c r="BH338" i="3"/>
  <c r="BH339" i="3"/>
  <c r="BH60" i="3"/>
  <c r="BH340" i="3"/>
  <c r="BH341" i="3"/>
  <c r="BH61" i="3"/>
  <c r="BH342" i="3"/>
  <c r="BH343" i="3"/>
  <c r="BH344" i="3"/>
  <c r="BH345" i="3"/>
  <c r="BH346" i="3"/>
  <c r="BH347" i="3"/>
  <c r="BH44" i="3"/>
  <c r="BH348" i="3"/>
  <c r="BH45" i="3"/>
  <c r="BH6" i="3"/>
  <c r="BH350" i="3"/>
  <c r="BH351" i="3"/>
  <c r="BH353" i="3"/>
  <c r="BH354" i="3"/>
  <c r="BH355" i="3"/>
  <c r="BH356" i="3"/>
  <c r="BH357" i="3"/>
  <c r="BH358" i="3"/>
  <c r="BH359" i="3"/>
  <c r="BH360" i="3"/>
  <c r="BH362" i="3"/>
  <c r="BH363" i="3"/>
  <c r="BH364" i="3"/>
  <c r="BH365" i="3"/>
  <c r="BH366" i="3"/>
  <c r="BH367" i="3"/>
  <c r="BH368" i="3"/>
  <c r="BH370" i="3"/>
  <c r="BH371" i="3"/>
  <c r="BH372" i="3"/>
  <c r="BH373" i="3"/>
  <c r="BH374" i="3"/>
  <c r="BH375" i="3"/>
  <c r="BH376" i="3"/>
  <c r="BH377" i="3"/>
  <c r="BH379" i="3"/>
  <c r="BH380" i="3"/>
  <c r="BH28" i="3"/>
  <c r="BH381" i="3"/>
  <c r="BH382" i="3"/>
  <c r="BH383" i="3"/>
  <c r="BH385" i="3"/>
  <c r="BH55" i="3"/>
  <c r="BH386" i="3"/>
  <c r="BH387" i="3"/>
  <c r="BH388" i="3"/>
  <c r="BH31" i="3"/>
  <c r="BH389" i="3"/>
  <c r="BH390" i="3"/>
  <c r="BH391" i="3"/>
  <c r="BH392" i="3"/>
  <c r="BH393" i="3"/>
  <c r="BH394" i="3"/>
  <c r="BH395" i="3"/>
  <c r="BH396" i="3"/>
  <c r="BH397" i="3"/>
  <c r="BH398" i="3"/>
  <c r="BH399" i="3"/>
  <c r="BH400" i="3"/>
  <c r="BH401" i="3"/>
  <c r="BH402" i="3"/>
  <c r="BH403" i="3"/>
  <c r="BH404" i="3"/>
  <c r="BH405" i="3"/>
  <c r="BH406" i="3"/>
  <c r="BH407" i="3"/>
  <c r="BH408" i="3"/>
  <c r="BH409" i="3"/>
  <c r="BH410" i="3"/>
  <c r="BH411" i="3"/>
  <c r="BH412" i="3"/>
  <c r="BH70" i="3"/>
  <c r="BH414" i="3"/>
  <c r="BH415" i="3"/>
  <c r="BH416" i="3"/>
  <c r="BH56" i="3"/>
  <c r="BH418" i="3"/>
  <c r="BH419" i="3"/>
  <c r="BH420" i="3"/>
  <c r="BH421" i="3"/>
  <c r="BH423" i="3"/>
  <c r="BH424" i="3"/>
  <c r="BH425" i="3"/>
  <c r="BH426" i="3"/>
  <c r="BH427" i="3"/>
  <c r="BH9" i="3"/>
  <c r="BH428" i="3"/>
  <c r="BH429" i="3"/>
  <c r="BH430" i="3"/>
  <c r="BH432" i="3"/>
  <c r="BH434" i="3"/>
  <c r="BH435" i="3"/>
  <c r="BH436" i="3"/>
  <c r="BH57" i="3"/>
  <c r="BH437" i="3"/>
  <c r="BH438" i="3"/>
  <c r="BH439" i="3"/>
  <c r="BH17" i="3"/>
  <c r="BH440" i="3"/>
  <c r="BH441" i="3"/>
  <c r="BH442" i="3"/>
  <c r="BH443" i="3"/>
  <c r="BH444" i="3"/>
  <c r="BH445" i="3"/>
  <c r="BH446" i="3"/>
  <c r="BH447" i="3"/>
  <c r="BH448" i="3"/>
  <c r="BH449" i="3"/>
  <c r="BH27" i="3"/>
  <c r="BH451" i="3"/>
  <c r="BH452" i="3"/>
  <c r="BH453" i="3"/>
  <c r="BH68" i="3"/>
  <c r="BH455" i="3"/>
  <c r="BH456" i="3"/>
  <c r="BH457" i="3"/>
  <c r="BH458" i="3"/>
  <c r="BH460" i="3"/>
  <c r="BH58" i="3"/>
  <c r="BH461" i="3"/>
  <c r="BH71" i="3"/>
  <c r="BH463" i="3"/>
  <c r="BH464" i="3"/>
  <c r="BH465" i="3"/>
  <c r="BH467" i="3"/>
  <c r="BH41" i="3"/>
  <c r="BH468" i="3"/>
  <c r="BH469" i="3"/>
  <c r="BH470" i="3"/>
  <c r="BH471" i="3"/>
  <c r="BH472" i="3"/>
  <c r="BH474" i="3"/>
  <c r="BH475" i="3"/>
  <c r="BH476" i="3"/>
  <c r="BH478" i="3"/>
  <c r="BH479" i="3"/>
  <c r="BH480" i="3"/>
  <c r="BH481" i="3"/>
  <c r="BH482" i="3"/>
  <c r="BH483" i="3"/>
  <c r="BH484" i="3"/>
  <c r="AW13" i="3"/>
  <c r="AW73" i="3"/>
  <c r="AW75" i="3"/>
  <c r="AW76" i="3"/>
  <c r="AW78" i="3"/>
  <c r="AW79" i="3"/>
  <c r="AW85" i="3"/>
  <c r="AW86" i="3"/>
  <c r="AW46" i="3"/>
  <c r="AW87" i="3"/>
  <c r="AW90" i="3"/>
  <c r="AW15" i="3"/>
  <c r="AW95" i="3"/>
  <c r="AW10" i="3"/>
  <c r="AW98" i="3"/>
  <c r="AW99" i="3"/>
  <c r="AW100" i="3"/>
  <c r="AW103" i="3"/>
  <c r="AW104" i="3"/>
  <c r="AW105" i="3"/>
  <c r="AW106" i="3"/>
  <c r="AW107" i="3"/>
  <c r="AW113" i="3"/>
  <c r="AW115" i="3"/>
  <c r="AW117" i="3"/>
  <c r="AW119" i="3"/>
  <c r="AW120" i="3"/>
  <c r="AW121" i="3"/>
  <c r="AW125" i="3"/>
  <c r="AW126" i="3"/>
  <c r="AW127" i="3"/>
  <c r="AW131" i="3"/>
  <c r="AW133" i="3"/>
  <c r="AW134" i="3"/>
  <c r="AW3" i="3"/>
  <c r="AW18" i="3"/>
  <c r="AW136" i="3"/>
  <c r="AW19" i="3"/>
  <c r="AW139" i="3"/>
  <c r="AW141" i="3"/>
  <c r="AW4" i="3"/>
  <c r="AW142" i="3"/>
  <c r="AW145" i="3"/>
  <c r="AW147" i="3"/>
  <c r="AW154" i="3"/>
  <c r="AW156" i="3"/>
  <c r="AW158" i="3"/>
  <c r="AW42" i="3"/>
  <c r="AW43" i="3"/>
  <c r="AW29" i="3"/>
  <c r="AW162" i="3"/>
  <c r="AW164" i="3"/>
  <c r="AW166" i="3"/>
  <c r="AW168" i="3"/>
  <c r="AW169" i="3"/>
  <c r="AW170" i="3"/>
  <c r="AW172" i="3"/>
  <c r="AW178" i="3"/>
  <c r="AW184" i="3"/>
  <c r="AW35" i="3"/>
  <c r="AW185" i="3"/>
  <c r="AW186" i="3"/>
  <c r="AW187" i="3"/>
  <c r="AW188" i="3"/>
  <c r="AW189" i="3"/>
  <c r="AW191" i="3"/>
  <c r="AW193" i="3"/>
  <c r="AW195" i="3"/>
  <c r="AW197" i="3"/>
  <c r="AW200" i="3"/>
  <c r="AW201" i="3"/>
  <c r="AW202" i="3"/>
  <c r="AW203" i="3"/>
  <c r="AW208" i="3"/>
  <c r="AW209" i="3"/>
  <c r="AW210" i="3"/>
  <c r="AW211" i="3"/>
  <c r="AW212" i="3"/>
  <c r="AW214" i="3"/>
  <c r="AW215" i="3"/>
  <c r="AW11" i="3"/>
  <c r="AW217" i="3"/>
  <c r="AW218" i="3"/>
  <c r="AW219" i="3"/>
  <c r="AW220" i="3"/>
  <c r="AW223" i="3"/>
  <c r="AW224" i="3"/>
  <c r="AW228" i="3"/>
  <c r="AW229" i="3"/>
  <c r="AW230" i="3"/>
  <c r="AW231" i="3"/>
  <c r="AW36" i="3"/>
  <c r="AW238" i="3"/>
  <c r="AW239" i="3"/>
  <c r="AW242" i="3"/>
  <c r="AW243" i="3"/>
  <c r="AW244" i="3"/>
  <c r="AW245" i="3"/>
  <c r="AW16" i="3"/>
  <c r="AW249" i="3"/>
  <c r="AW250" i="3"/>
  <c r="AW251" i="3"/>
  <c r="AW252" i="3"/>
  <c r="AW256" i="3"/>
  <c r="AW258" i="3"/>
  <c r="AW259" i="3"/>
  <c r="AW261" i="3"/>
  <c r="AW262" i="3"/>
  <c r="AW264" i="3"/>
  <c r="AW266" i="3"/>
  <c r="AW268" i="3"/>
  <c r="AW270" i="3"/>
  <c r="AW271" i="3"/>
  <c r="AW272" i="3"/>
  <c r="AW273" i="3"/>
  <c r="AW274" i="3"/>
  <c r="AW275" i="3"/>
  <c r="AW277" i="3"/>
  <c r="AW279" i="3"/>
  <c r="AW280" i="3"/>
  <c r="AW281" i="3"/>
  <c r="AW283" i="3"/>
  <c r="AW290" i="3"/>
  <c r="AW291" i="3"/>
  <c r="AW293" i="3"/>
  <c r="AW294" i="3"/>
  <c r="AW22" i="3"/>
  <c r="AW297" i="3"/>
  <c r="AW299" i="3"/>
  <c r="AW300" i="3"/>
  <c r="AW301" i="3"/>
  <c r="AW302" i="3"/>
  <c r="AW59" i="3"/>
  <c r="AW51" i="3"/>
  <c r="AW52" i="3"/>
  <c r="AW303" i="3"/>
  <c r="AW304" i="3"/>
  <c r="AW305" i="3"/>
  <c r="AW312" i="3"/>
  <c r="AW313" i="3"/>
  <c r="AW314" i="3"/>
  <c r="AW315" i="3"/>
  <c r="AW316" i="3"/>
  <c r="AW317" i="3"/>
  <c r="AW318" i="3"/>
  <c r="AW320" i="3"/>
  <c r="AW324" i="3"/>
  <c r="AW325" i="3"/>
  <c r="AW327" i="3"/>
  <c r="AW328" i="3"/>
  <c r="AW329" i="3"/>
  <c r="AW330" i="3"/>
  <c r="AW337" i="3"/>
  <c r="AW339" i="3"/>
  <c r="AW341" i="3"/>
  <c r="AW342" i="3"/>
  <c r="AW344" i="3"/>
  <c r="AW348" i="3"/>
  <c r="AW45" i="3"/>
  <c r="AW6" i="3"/>
  <c r="AW353" i="3"/>
  <c r="AW356" i="3"/>
  <c r="AW357" i="3"/>
  <c r="AW358" i="3"/>
  <c r="AW359" i="3"/>
  <c r="AW362" i="3"/>
  <c r="AW363" i="3"/>
  <c r="AW365" i="3"/>
  <c r="AW367" i="3"/>
  <c r="AW371" i="3"/>
  <c r="AW374" i="3"/>
  <c r="AW382" i="3"/>
  <c r="AW383" i="3"/>
  <c r="AW384" i="3"/>
  <c r="AW385" i="3"/>
  <c r="AW55" i="3"/>
  <c r="AW386" i="3"/>
  <c r="AW387" i="3"/>
  <c r="AW31" i="3"/>
  <c r="AW389" i="3"/>
  <c r="AW393" i="3"/>
  <c r="AW395" i="3"/>
  <c r="AW396" i="3"/>
  <c r="AW397" i="3"/>
  <c r="AW400" i="3"/>
  <c r="AW401" i="3"/>
  <c r="AW402" i="3"/>
  <c r="AW403" i="3"/>
  <c r="AW408" i="3"/>
  <c r="AW409" i="3"/>
  <c r="AW410" i="3"/>
  <c r="AW412" i="3"/>
  <c r="AW414" i="3"/>
  <c r="AW415" i="3"/>
  <c r="AW416" i="3"/>
  <c r="AW419" i="3"/>
  <c r="AW420" i="3"/>
  <c r="AW421" i="3"/>
  <c r="AW427" i="3"/>
  <c r="AW428" i="3"/>
  <c r="AW429" i="3"/>
  <c r="AW430" i="3"/>
  <c r="AW432" i="3"/>
  <c r="AW436" i="3"/>
  <c r="AW440" i="3"/>
  <c r="AW443" i="3"/>
  <c r="AW446" i="3"/>
  <c r="AW448" i="3"/>
  <c r="AW449" i="3"/>
  <c r="AW27" i="3"/>
  <c r="AW452" i="3"/>
  <c r="AW68" i="3"/>
  <c r="AW455" i="3"/>
  <c r="AW456" i="3"/>
  <c r="AW457" i="3"/>
  <c r="AW458" i="3"/>
  <c r="AW58" i="3"/>
  <c r="AW461" i="3"/>
  <c r="AW463" i="3"/>
  <c r="AW467" i="3"/>
  <c r="AW41" i="3"/>
  <c r="AW468" i="3"/>
  <c r="AW469" i="3"/>
  <c r="AW474" i="3"/>
  <c r="AW475" i="3"/>
  <c r="AW476" i="3"/>
  <c r="AW478" i="3"/>
  <c r="AW482" i="3"/>
  <c r="AW484" i="3"/>
  <c r="AT77" i="3"/>
  <c r="AT79" i="3"/>
  <c r="AT85" i="3"/>
  <c r="AT87" i="3"/>
  <c r="AT95" i="3"/>
  <c r="AT10" i="3"/>
  <c r="AT111" i="3"/>
  <c r="AT113" i="3"/>
  <c r="AT115" i="3"/>
  <c r="AT118" i="3"/>
  <c r="AT124" i="3"/>
  <c r="AT126" i="3"/>
  <c r="AT147" i="3"/>
  <c r="AT158" i="3"/>
  <c r="AT166" i="3"/>
  <c r="AT172" i="3"/>
  <c r="AT35" i="3"/>
  <c r="AT186" i="3"/>
  <c r="AT187" i="3"/>
  <c r="AT189" i="3"/>
  <c r="AT200" i="3"/>
  <c r="AT203" i="3"/>
  <c r="AT208" i="3"/>
  <c r="AT209" i="3"/>
  <c r="AT214" i="3"/>
  <c r="AT217" i="3"/>
  <c r="AT218" i="3"/>
  <c r="AT223" i="3"/>
  <c r="AT241" i="3"/>
  <c r="AT261" i="3"/>
  <c r="AT266" i="3"/>
  <c r="AT271" i="3"/>
  <c r="AT274" i="3"/>
  <c r="AT276" i="3"/>
  <c r="AT280" i="3"/>
  <c r="AT294" i="3"/>
  <c r="AT22" i="3"/>
  <c r="AT304" i="3"/>
  <c r="AT325" i="3"/>
  <c r="AT61" i="3"/>
  <c r="AT45" i="3"/>
  <c r="AT356" i="3"/>
  <c r="AT362" i="3"/>
  <c r="AT365" i="3"/>
  <c r="AT374" i="3"/>
  <c r="AT393" i="3"/>
  <c r="AT403" i="3"/>
  <c r="AT412" i="3"/>
  <c r="AT446" i="3"/>
  <c r="AT27" i="3"/>
  <c r="AT58" i="3"/>
  <c r="AT469" i="3"/>
  <c r="AT476" i="3"/>
  <c r="AS77" i="3"/>
  <c r="AS79" i="3"/>
  <c r="AS85" i="3"/>
  <c r="AS87" i="3"/>
  <c r="AS95" i="3"/>
  <c r="AS10" i="3"/>
  <c r="AS111" i="3"/>
  <c r="AS113" i="3"/>
  <c r="AS115" i="3"/>
  <c r="AS118" i="3"/>
  <c r="AS124" i="3"/>
  <c r="AS126" i="3"/>
  <c r="AS147" i="3"/>
  <c r="AS158" i="3"/>
  <c r="AS166" i="3"/>
  <c r="AS172" i="3"/>
  <c r="AS35" i="3"/>
  <c r="AS186" i="3"/>
  <c r="AS187" i="3"/>
  <c r="AS189" i="3"/>
  <c r="AS200" i="3"/>
  <c r="AS203" i="3"/>
  <c r="AS208" i="3"/>
  <c r="AS209" i="3"/>
  <c r="AS214" i="3"/>
  <c r="AS217" i="3"/>
  <c r="AS218" i="3"/>
  <c r="AS223" i="3"/>
  <c r="AS241" i="3"/>
  <c r="AS261" i="3"/>
  <c r="AS266" i="3"/>
  <c r="AS271" i="3"/>
  <c r="AS274" i="3"/>
  <c r="AS276" i="3"/>
  <c r="AS280" i="3"/>
  <c r="AS294" i="3"/>
  <c r="AS22" i="3"/>
  <c r="AS304" i="3"/>
  <c r="AS325" i="3"/>
  <c r="AS61" i="3"/>
  <c r="AS45" i="3"/>
  <c r="AS356" i="3"/>
  <c r="AS362" i="3"/>
  <c r="AS365" i="3"/>
  <c r="AS374" i="3"/>
  <c r="AS393" i="3"/>
  <c r="AS403" i="3"/>
  <c r="AS412" i="3"/>
  <c r="AS446" i="3"/>
  <c r="AS27" i="3"/>
  <c r="AS58" i="3"/>
  <c r="AS469" i="3"/>
  <c r="AS476" i="3"/>
  <c r="AQ13" i="3"/>
  <c r="AQ73" i="3"/>
  <c r="AQ75" i="3"/>
  <c r="AQ76" i="3"/>
  <c r="AQ78" i="3"/>
  <c r="AQ79" i="3"/>
  <c r="AQ85" i="3"/>
  <c r="AQ86" i="3"/>
  <c r="AQ46" i="3"/>
  <c r="AQ87" i="3"/>
  <c r="AQ90" i="3"/>
  <c r="AQ15" i="3"/>
  <c r="AQ95" i="3"/>
  <c r="AQ10" i="3"/>
  <c r="AQ98" i="3"/>
  <c r="AQ99" i="3"/>
  <c r="AQ100" i="3"/>
  <c r="AQ103" i="3"/>
  <c r="AQ104" i="3"/>
  <c r="AQ105" i="3"/>
  <c r="AQ106" i="3"/>
  <c r="AQ107" i="3"/>
  <c r="AQ113" i="3"/>
  <c r="AQ115" i="3"/>
  <c r="AQ117" i="3"/>
  <c r="AQ119" i="3"/>
  <c r="AQ120" i="3"/>
  <c r="AQ121" i="3"/>
  <c r="AQ125" i="3"/>
  <c r="AQ126" i="3"/>
  <c r="AQ127" i="3"/>
  <c r="AQ131" i="3"/>
  <c r="AQ133" i="3"/>
  <c r="AQ134" i="3"/>
  <c r="AQ3" i="3"/>
  <c r="AQ18" i="3"/>
  <c r="AQ136" i="3"/>
  <c r="AQ19" i="3"/>
  <c r="AQ139" i="3"/>
  <c r="AQ141" i="3"/>
  <c r="AQ4" i="3"/>
  <c r="AQ142" i="3"/>
  <c r="AQ145" i="3"/>
  <c r="AQ147" i="3"/>
  <c r="AQ154" i="3"/>
  <c r="AQ156" i="3"/>
  <c r="AQ158" i="3"/>
  <c r="AQ42" i="3"/>
  <c r="AQ43" i="3"/>
  <c r="AQ29" i="3"/>
  <c r="AQ162" i="3"/>
  <c r="AQ164" i="3"/>
  <c r="AQ166" i="3"/>
  <c r="AQ168" i="3"/>
  <c r="AQ169" i="3"/>
  <c r="AQ170" i="3"/>
  <c r="AQ172" i="3"/>
  <c r="AQ178" i="3"/>
  <c r="AQ184" i="3"/>
  <c r="AQ35" i="3"/>
  <c r="AQ185" i="3"/>
  <c r="AQ186" i="3"/>
  <c r="AQ187" i="3"/>
  <c r="AQ188" i="3"/>
  <c r="AQ189" i="3"/>
  <c r="AQ191" i="3"/>
  <c r="AQ193" i="3"/>
  <c r="AQ195" i="3"/>
  <c r="AQ197" i="3"/>
  <c r="AQ200" i="3"/>
  <c r="AQ201" i="3"/>
  <c r="AQ202" i="3"/>
  <c r="AQ203" i="3"/>
  <c r="AQ208" i="3"/>
  <c r="AQ209" i="3"/>
  <c r="AQ210" i="3"/>
  <c r="AQ211" i="3"/>
  <c r="AQ212" i="3"/>
  <c r="AQ214" i="3"/>
  <c r="AQ215" i="3"/>
  <c r="AQ11" i="3"/>
  <c r="AQ217" i="3"/>
  <c r="AQ218" i="3"/>
  <c r="AQ219" i="3"/>
  <c r="AQ220" i="3"/>
  <c r="AQ223" i="3"/>
  <c r="AQ224" i="3"/>
  <c r="AQ228" i="3"/>
  <c r="AQ229" i="3"/>
  <c r="AQ230" i="3"/>
  <c r="AQ231" i="3"/>
  <c r="AQ36" i="3"/>
  <c r="AQ238" i="3"/>
  <c r="AQ239" i="3"/>
  <c r="AQ242" i="3"/>
  <c r="AQ243" i="3"/>
  <c r="AQ244" i="3"/>
  <c r="AQ245" i="3"/>
  <c r="AQ16" i="3"/>
  <c r="AQ249" i="3"/>
  <c r="AQ250" i="3"/>
  <c r="AQ251" i="3"/>
  <c r="AQ252" i="3"/>
  <c r="AQ256" i="3"/>
  <c r="AQ258" i="3"/>
  <c r="AQ259" i="3"/>
  <c r="AQ261" i="3"/>
  <c r="AQ262" i="3"/>
  <c r="AQ264" i="3"/>
  <c r="AQ266" i="3"/>
  <c r="AQ268" i="3"/>
  <c r="AQ270" i="3"/>
  <c r="AQ271" i="3"/>
  <c r="AQ272" i="3"/>
  <c r="AQ273" i="3"/>
  <c r="AQ274" i="3"/>
  <c r="AQ275" i="3"/>
  <c r="AQ277" i="3"/>
  <c r="AQ279" i="3"/>
  <c r="AQ280" i="3"/>
  <c r="AQ281" i="3"/>
  <c r="AQ283" i="3"/>
  <c r="AQ290" i="3"/>
  <c r="AQ291" i="3"/>
  <c r="AQ293" i="3"/>
  <c r="AQ294" i="3"/>
  <c r="AQ22" i="3"/>
  <c r="AQ297" i="3"/>
  <c r="AQ299" i="3"/>
  <c r="AQ300" i="3"/>
  <c r="AQ301" i="3"/>
  <c r="AQ302" i="3"/>
  <c r="AQ59" i="3"/>
  <c r="AQ51" i="3"/>
  <c r="AQ52" i="3"/>
  <c r="AQ303" i="3"/>
  <c r="AQ304" i="3"/>
  <c r="AQ305" i="3"/>
  <c r="AQ312" i="3"/>
  <c r="AQ313" i="3"/>
  <c r="AQ314" i="3"/>
  <c r="AQ315" i="3"/>
  <c r="AQ316" i="3"/>
  <c r="AQ317" i="3"/>
  <c r="AQ318" i="3"/>
  <c r="AQ320" i="3"/>
  <c r="AQ324" i="3"/>
  <c r="AQ325" i="3"/>
  <c r="AQ327" i="3"/>
  <c r="AQ328" i="3"/>
  <c r="AQ329" i="3"/>
  <c r="AQ330" i="3"/>
  <c r="AQ337" i="3"/>
  <c r="AQ339" i="3"/>
  <c r="AQ341" i="3"/>
  <c r="AQ342" i="3"/>
  <c r="AQ344" i="3"/>
  <c r="AQ348" i="3"/>
  <c r="AQ45" i="3"/>
  <c r="AQ6" i="3"/>
  <c r="AQ353" i="3"/>
  <c r="AQ356" i="3"/>
  <c r="AQ357" i="3"/>
  <c r="AQ358" i="3"/>
  <c r="AQ359" i="3"/>
  <c r="AQ362" i="3"/>
  <c r="AQ363" i="3"/>
  <c r="AQ365" i="3"/>
  <c r="AQ367" i="3"/>
  <c r="AQ371" i="3"/>
  <c r="AQ374" i="3"/>
  <c r="AQ382" i="3"/>
  <c r="AQ383" i="3"/>
  <c r="AQ384" i="3"/>
  <c r="AQ385" i="3"/>
  <c r="AQ55" i="3"/>
  <c r="AQ386" i="3"/>
  <c r="AQ387" i="3"/>
  <c r="AQ31" i="3"/>
  <c r="AQ389" i="3"/>
  <c r="AQ393" i="3"/>
  <c r="AQ395" i="3"/>
  <c r="AQ396" i="3"/>
  <c r="AQ397" i="3"/>
  <c r="AQ400" i="3"/>
  <c r="AQ401" i="3"/>
  <c r="AQ402" i="3"/>
  <c r="AQ403" i="3"/>
  <c r="AQ408" i="3"/>
  <c r="AQ409" i="3"/>
  <c r="AQ410" i="3"/>
  <c r="AQ412" i="3"/>
  <c r="AQ414" i="3"/>
  <c r="AQ415" i="3"/>
  <c r="AQ416" i="3"/>
  <c r="AQ419" i="3"/>
  <c r="AQ420" i="3"/>
  <c r="AQ421" i="3"/>
  <c r="AQ427" i="3"/>
  <c r="AQ428" i="3"/>
  <c r="AQ429" i="3"/>
  <c r="AQ430" i="3"/>
  <c r="AQ432" i="3"/>
  <c r="AQ436" i="3"/>
  <c r="AQ440" i="3"/>
  <c r="AQ443" i="3"/>
  <c r="AQ446" i="3"/>
  <c r="AQ448" i="3"/>
  <c r="AQ449" i="3"/>
  <c r="AQ27" i="3"/>
  <c r="AQ452" i="3"/>
  <c r="AQ68" i="3"/>
  <c r="AQ455" i="3"/>
  <c r="AQ456" i="3"/>
  <c r="AQ457" i="3"/>
  <c r="AQ458" i="3"/>
  <c r="AQ58" i="3"/>
  <c r="AQ461" i="3"/>
  <c r="AQ463" i="3"/>
  <c r="AQ467" i="3"/>
  <c r="AQ41" i="3"/>
  <c r="AQ468" i="3"/>
  <c r="AQ469" i="3"/>
  <c r="AQ474" i="3"/>
  <c r="AQ475" i="3"/>
  <c r="AQ476" i="3"/>
  <c r="AQ478" i="3"/>
  <c r="AQ482" i="3"/>
  <c r="AQ484" i="3"/>
  <c r="AP13" i="3"/>
  <c r="AP73" i="3"/>
  <c r="AP75" i="3"/>
  <c r="AP76" i="3"/>
  <c r="AP78" i="3"/>
  <c r="AP79" i="3"/>
  <c r="AP85" i="3"/>
  <c r="AP86" i="3"/>
  <c r="AP46" i="3"/>
  <c r="AP87" i="3"/>
  <c r="AP90" i="3"/>
  <c r="AP15" i="3"/>
  <c r="AP95" i="3"/>
  <c r="AP10" i="3"/>
  <c r="AP98" i="3"/>
  <c r="AP99" i="3"/>
  <c r="AP100" i="3"/>
  <c r="AP103" i="3"/>
  <c r="AP104" i="3"/>
  <c r="AP105" i="3"/>
  <c r="AP106" i="3"/>
  <c r="AP107" i="3"/>
  <c r="AP113" i="3"/>
  <c r="AP115" i="3"/>
  <c r="AP117" i="3"/>
  <c r="AP119" i="3"/>
  <c r="AP120" i="3"/>
  <c r="AP121" i="3"/>
  <c r="AP125" i="3"/>
  <c r="AP126" i="3"/>
  <c r="AP127" i="3"/>
  <c r="AP131" i="3"/>
  <c r="AP133" i="3"/>
  <c r="AP134" i="3"/>
  <c r="AP3" i="3"/>
  <c r="AP18" i="3"/>
  <c r="AP136" i="3"/>
  <c r="AP19" i="3"/>
  <c r="AP139" i="3"/>
  <c r="AP141" i="3"/>
  <c r="AP4" i="3"/>
  <c r="AP142" i="3"/>
  <c r="AP145" i="3"/>
  <c r="AP147" i="3"/>
  <c r="AP154" i="3"/>
  <c r="AP156" i="3"/>
  <c r="AP158" i="3"/>
  <c r="AP42" i="3"/>
  <c r="AP43" i="3"/>
  <c r="AP29" i="3"/>
  <c r="AP162" i="3"/>
  <c r="AP164" i="3"/>
  <c r="AP166" i="3"/>
  <c r="AP168" i="3"/>
  <c r="AP169" i="3"/>
  <c r="AP170" i="3"/>
  <c r="AP172" i="3"/>
  <c r="AP178" i="3"/>
  <c r="AP184" i="3"/>
  <c r="AP35" i="3"/>
  <c r="AP185" i="3"/>
  <c r="AP186" i="3"/>
  <c r="AP187" i="3"/>
  <c r="AP188" i="3"/>
  <c r="AP189" i="3"/>
  <c r="AP191" i="3"/>
  <c r="AP193" i="3"/>
  <c r="AP195" i="3"/>
  <c r="AP197" i="3"/>
  <c r="AP200" i="3"/>
  <c r="AP201" i="3"/>
  <c r="AP202" i="3"/>
  <c r="AP203" i="3"/>
  <c r="AP208" i="3"/>
  <c r="AP209" i="3"/>
  <c r="AP210" i="3"/>
  <c r="AP211" i="3"/>
  <c r="AP212" i="3"/>
  <c r="AP214" i="3"/>
  <c r="AP215" i="3"/>
  <c r="AP11" i="3"/>
  <c r="AP217" i="3"/>
  <c r="AP218" i="3"/>
  <c r="AP219" i="3"/>
  <c r="AP220" i="3"/>
  <c r="AP223" i="3"/>
  <c r="AP224" i="3"/>
  <c r="AP228" i="3"/>
  <c r="AP229" i="3"/>
  <c r="AP230" i="3"/>
  <c r="AP231" i="3"/>
  <c r="AP36" i="3"/>
  <c r="AP238" i="3"/>
  <c r="AP239" i="3"/>
  <c r="AP242" i="3"/>
  <c r="AP243" i="3"/>
  <c r="AP244" i="3"/>
  <c r="AP245" i="3"/>
  <c r="AP16" i="3"/>
  <c r="AP249" i="3"/>
  <c r="AP250" i="3"/>
  <c r="AP251" i="3"/>
  <c r="AP252" i="3"/>
  <c r="AP256" i="3"/>
  <c r="AP258" i="3"/>
  <c r="AP259" i="3"/>
  <c r="AP261" i="3"/>
  <c r="AP262" i="3"/>
  <c r="AP264" i="3"/>
  <c r="AP266" i="3"/>
  <c r="AP268" i="3"/>
  <c r="AP270" i="3"/>
  <c r="AP271" i="3"/>
  <c r="AP272" i="3"/>
  <c r="AP273" i="3"/>
  <c r="AP274" i="3"/>
  <c r="AP275" i="3"/>
  <c r="AP277" i="3"/>
  <c r="AP279" i="3"/>
  <c r="AP280" i="3"/>
  <c r="AP281" i="3"/>
  <c r="AP283" i="3"/>
  <c r="AP290" i="3"/>
  <c r="AP291" i="3"/>
  <c r="AP293" i="3"/>
  <c r="AP294" i="3"/>
  <c r="AP22" i="3"/>
  <c r="AP297" i="3"/>
  <c r="AP299" i="3"/>
  <c r="AP300" i="3"/>
  <c r="AP301" i="3"/>
  <c r="AP302" i="3"/>
  <c r="AP59" i="3"/>
  <c r="AP51" i="3"/>
  <c r="AP52" i="3"/>
  <c r="AP303" i="3"/>
  <c r="AP304" i="3"/>
  <c r="AP305" i="3"/>
  <c r="AP312" i="3"/>
  <c r="AP313" i="3"/>
  <c r="AP314" i="3"/>
  <c r="AP315" i="3"/>
  <c r="AP316" i="3"/>
  <c r="AP317" i="3"/>
  <c r="AP318" i="3"/>
  <c r="AP320" i="3"/>
  <c r="AP324" i="3"/>
  <c r="AP325" i="3"/>
  <c r="AP327" i="3"/>
  <c r="AP328" i="3"/>
  <c r="AP329" i="3"/>
  <c r="AP330" i="3"/>
  <c r="AP337" i="3"/>
  <c r="AP339" i="3"/>
  <c r="AP341" i="3"/>
  <c r="AP342" i="3"/>
  <c r="AP344" i="3"/>
  <c r="AP348" i="3"/>
  <c r="AP45" i="3"/>
  <c r="AP6" i="3"/>
  <c r="AP353" i="3"/>
  <c r="AP356" i="3"/>
  <c r="AP357" i="3"/>
  <c r="AP358" i="3"/>
  <c r="AP359" i="3"/>
  <c r="AP362" i="3"/>
  <c r="AP363" i="3"/>
  <c r="AP365" i="3"/>
  <c r="AP367" i="3"/>
  <c r="AP371" i="3"/>
  <c r="AP374" i="3"/>
  <c r="AP382" i="3"/>
  <c r="AP383" i="3"/>
  <c r="AP384" i="3"/>
  <c r="AP385" i="3"/>
  <c r="AP55" i="3"/>
  <c r="AP386" i="3"/>
  <c r="AP387" i="3"/>
  <c r="AP31" i="3"/>
  <c r="AP389" i="3"/>
  <c r="AP393" i="3"/>
  <c r="AP395" i="3"/>
  <c r="AP396" i="3"/>
  <c r="AP397" i="3"/>
  <c r="AP400" i="3"/>
  <c r="AP401" i="3"/>
  <c r="AP402" i="3"/>
  <c r="AP403" i="3"/>
  <c r="AP408" i="3"/>
  <c r="AP409" i="3"/>
  <c r="AP410" i="3"/>
  <c r="AP412" i="3"/>
  <c r="AP414" i="3"/>
  <c r="AP415" i="3"/>
  <c r="AP416" i="3"/>
  <c r="AP419" i="3"/>
  <c r="AP420" i="3"/>
  <c r="AP421" i="3"/>
  <c r="AP427" i="3"/>
  <c r="AP428" i="3"/>
  <c r="AP429" i="3"/>
  <c r="AP430" i="3"/>
  <c r="AP432" i="3"/>
  <c r="AP436" i="3"/>
  <c r="AP440" i="3"/>
  <c r="AP443" i="3"/>
  <c r="AP446" i="3"/>
  <c r="AP448" i="3"/>
  <c r="AP449" i="3"/>
  <c r="AP27" i="3"/>
  <c r="AP452" i="3"/>
  <c r="AP68" i="3"/>
  <c r="AP455" i="3"/>
  <c r="AP456" i="3"/>
  <c r="AP457" i="3"/>
  <c r="AP458" i="3"/>
  <c r="AP58" i="3"/>
  <c r="AP461" i="3"/>
  <c r="AP463" i="3"/>
  <c r="AP467" i="3"/>
  <c r="AP41" i="3"/>
  <c r="AP468" i="3"/>
  <c r="AP469" i="3"/>
  <c r="AP474" i="3"/>
  <c r="AP475" i="3"/>
  <c r="AP476" i="3"/>
  <c r="AP478" i="3"/>
  <c r="AP482" i="3"/>
  <c r="AP484" i="3"/>
  <c r="AO446" i="3"/>
  <c r="AW38" i="1"/>
  <c r="AW395" i="1"/>
  <c r="AW108" i="1"/>
  <c r="AW83" i="1"/>
  <c r="AW200" i="1"/>
  <c r="AW119" i="1"/>
  <c r="AW424" i="1"/>
  <c r="AW380" i="1"/>
  <c r="AW308" i="1"/>
  <c r="AW199" i="1"/>
  <c r="AW41" i="1"/>
  <c r="AW252" i="1"/>
  <c r="AW253" i="1"/>
  <c r="AW381" i="1"/>
  <c r="AW385" i="1"/>
  <c r="AW386" i="1"/>
  <c r="AW128" i="1"/>
  <c r="AW113" i="1"/>
  <c r="AW348" i="1"/>
  <c r="AW466" i="1"/>
  <c r="AW204" i="1"/>
  <c r="AW302" i="1"/>
  <c r="AW195" i="1"/>
  <c r="AW136" i="1"/>
  <c r="AW498" i="1"/>
  <c r="AW499" i="1"/>
  <c r="AW500" i="1"/>
  <c r="AW472" i="1"/>
  <c r="AW473" i="1"/>
  <c r="AW317" i="1"/>
  <c r="AW382" i="1"/>
  <c r="AW392" i="1"/>
  <c r="AW201" i="1"/>
  <c r="AW342" i="1"/>
  <c r="AW323" i="1"/>
  <c r="AW280" i="1"/>
  <c r="AW139" i="1"/>
  <c r="AW310" i="1"/>
  <c r="AW311" i="1"/>
  <c r="AW184" i="1"/>
  <c r="AW231" i="1"/>
  <c r="AW232" i="1"/>
  <c r="AW125" i="1"/>
  <c r="AW131" i="1"/>
  <c r="AW137" i="1"/>
  <c r="AW74" i="1"/>
  <c r="AW152" i="1"/>
  <c r="AW444" i="1"/>
  <c r="AW91" i="1"/>
  <c r="AW92" i="1"/>
  <c r="AW110" i="1"/>
  <c r="AW70" i="1"/>
  <c r="AW274" i="1"/>
  <c r="AW126" i="1"/>
  <c r="AW351" i="1"/>
  <c r="AW158" i="1"/>
  <c r="AW159" i="1"/>
  <c r="AW160" i="1"/>
  <c r="AW161" i="1"/>
  <c r="AW271" i="1"/>
  <c r="AW445" i="1"/>
  <c r="AW446" i="1"/>
  <c r="AW263" i="1"/>
  <c r="AW269" i="1"/>
  <c r="AW225" i="1"/>
  <c r="AW237" i="1"/>
  <c r="AW238" i="1"/>
  <c r="AW329" i="1"/>
  <c r="AW287" i="1"/>
  <c r="AW343" i="1"/>
  <c r="AW352" i="1"/>
  <c r="AW383" i="1"/>
  <c r="AW312" i="1"/>
  <c r="AW257" i="1"/>
  <c r="AW300" i="1"/>
  <c r="AW330" i="1"/>
  <c r="AW226" i="1"/>
  <c r="AW288" i="1"/>
  <c r="AW258" i="1"/>
  <c r="AW259" i="1"/>
  <c r="AW260" i="1"/>
  <c r="AW122" i="1"/>
  <c r="AW198" i="1"/>
  <c r="AW261" i="1"/>
  <c r="AW425" i="1"/>
  <c r="AW426" i="1"/>
  <c r="AW93" i="1"/>
  <c r="AW94" i="1"/>
  <c r="AW29" i="1"/>
  <c r="AW150" i="1"/>
  <c r="AW58" i="1"/>
  <c r="AW59" i="1"/>
  <c r="AW25" i="1"/>
  <c r="AW331" i="1"/>
  <c r="AW15" i="1"/>
  <c r="AW84" i="1"/>
  <c r="AW16" i="1"/>
  <c r="AW396" i="1"/>
  <c r="AW401" i="1"/>
  <c r="AW89" i="1"/>
  <c r="AW80" i="1"/>
  <c r="AW447" i="1"/>
  <c r="AW427" i="1"/>
  <c r="AW71" i="1"/>
  <c r="AW35" i="1"/>
  <c r="AW141" i="1"/>
  <c r="AW142" i="1"/>
  <c r="AW202" i="1"/>
  <c r="AW371" i="1"/>
  <c r="AW353" i="1"/>
  <c r="AW36" i="1"/>
  <c r="AW318" i="1"/>
  <c r="AW319" i="1"/>
  <c r="AW170" i="1"/>
  <c r="AW315" i="1"/>
  <c r="AW320" i="1"/>
  <c r="AW78" i="1"/>
  <c r="AW275" i="1"/>
  <c r="AW276" i="1"/>
  <c r="AW277" i="1"/>
  <c r="AW254" i="1"/>
  <c r="AW213" i="1"/>
  <c r="AW244" i="1"/>
  <c r="AW321" i="1"/>
  <c r="AW332" i="1"/>
  <c r="AW116" i="1"/>
  <c r="AW117" i="1"/>
  <c r="AW428" i="1"/>
  <c r="AW372" i="1"/>
  <c r="AW434" i="1"/>
  <c r="AW412" i="1"/>
  <c r="AW281" i="1"/>
  <c r="AW467" i="1"/>
  <c r="AW373" i="1"/>
  <c r="AW448" i="1"/>
  <c r="AW435" i="1"/>
  <c r="AW436" i="1"/>
  <c r="AW437" i="1"/>
  <c r="AW438" i="1"/>
  <c r="AW402" i="1"/>
  <c r="AW449" i="1"/>
  <c r="AW468" i="1"/>
  <c r="AW469" i="1"/>
  <c r="AW245" i="1"/>
  <c r="AW482" i="1"/>
  <c r="AW483" i="1"/>
  <c r="AW439" i="1"/>
  <c r="AW440" i="1"/>
  <c r="AW333" i="1"/>
  <c r="AW403" i="1"/>
  <c r="AW404" i="1"/>
  <c r="AW450" i="1"/>
  <c r="AW470" i="1"/>
  <c r="AW405" i="1"/>
  <c r="AW391" i="1"/>
  <c r="AW397" i="1"/>
  <c r="AW441" i="1"/>
  <c r="AW166" i="1"/>
  <c r="AW88" i="1"/>
  <c r="AW474" i="1"/>
  <c r="AW475" i="1"/>
  <c r="AW112" i="1"/>
  <c r="AW239" i="1"/>
  <c r="AW115" i="1"/>
  <c r="AW53" i="1"/>
  <c r="AW123" i="1"/>
  <c r="AW55" i="1"/>
  <c r="AW64" i="1"/>
  <c r="AW23" i="1"/>
  <c r="AW374" i="1"/>
  <c r="AW393" i="1"/>
  <c r="AW114" i="1"/>
  <c r="AW214" i="1"/>
  <c r="AW215" i="1"/>
  <c r="AW26" i="1"/>
  <c r="AW484" i="1"/>
  <c r="AW485" i="1"/>
  <c r="AW354" i="1"/>
  <c r="AW355" i="1"/>
  <c r="AW356" i="1"/>
  <c r="AW357" i="1"/>
  <c r="AW24" i="1"/>
  <c r="AW210" i="1"/>
  <c r="AW282" i="1"/>
  <c r="AW283" i="1"/>
  <c r="AW284" i="1"/>
  <c r="AW285" i="1"/>
  <c r="AW265" i="1"/>
  <c r="AW266" i="1"/>
  <c r="AW476" i="1"/>
  <c r="AW100" i="1"/>
  <c r="AW98" i="1"/>
  <c r="AW337" i="1"/>
  <c r="AW54" i="1"/>
  <c r="AW31" i="1"/>
  <c r="AW267" i="1"/>
  <c r="AW189" i="1"/>
  <c r="AW148" i="1"/>
  <c r="AW95" i="1"/>
  <c r="AW268" i="1"/>
  <c r="AW375" i="1"/>
  <c r="AW387" i="1"/>
  <c r="AW183" i="1"/>
  <c r="AW358" i="1"/>
  <c r="AW359" i="1"/>
  <c r="AW360" i="1"/>
  <c r="AW361" i="1"/>
  <c r="AW362" i="1"/>
  <c r="AW363" i="1"/>
  <c r="AW364" i="1"/>
  <c r="AW365" i="1"/>
  <c r="AW366" i="1"/>
  <c r="AW367" i="1"/>
  <c r="AW368" i="1"/>
  <c r="AW369" i="1"/>
  <c r="AW370" i="1"/>
  <c r="AW413" i="1"/>
  <c r="AW233" i="1"/>
  <c r="AW234" i="1"/>
  <c r="AW451" i="1"/>
  <c r="AW452" i="1"/>
  <c r="AW140" i="1"/>
  <c r="AW303" i="1"/>
  <c r="AW301" i="1"/>
  <c r="AW47" i="1"/>
  <c r="AW39" i="1"/>
  <c r="AW57" i="1"/>
  <c r="AW73" i="1"/>
  <c r="AW62" i="1"/>
  <c r="AW249" i="1"/>
  <c r="AW289" i="1"/>
  <c r="AW304" i="1"/>
  <c r="AW132" i="1"/>
  <c r="AW216" i="1"/>
  <c r="AW255" i="1"/>
  <c r="AW182" i="1"/>
  <c r="AW211" i="1"/>
  <c r="AW235" i="1"/>
  <c r="AW229" i="1"/>
  <c r="AW344" i="1"/>
  <c r="AW398" i="1"/>
  <c r="AW186" i="1"/>
  <c r="AW187" i="1"/>
  <c r="AW262" i="1"/>
  <c r="AW414" i="1"/>
  <c r="AW471" i="1"/>
  <c r="AW46" i="1"/>
  <c r="AW205" i="1"/>
  <c r="AW206" i="1"/>
  <c r="AW207" i="1"/>
  <c r="AW208" i="1"/>
  <c r="AW37" i="1"/>
  <c r="AW154" i="1"/>
  <c r="AW384" i="1"/>
  <c r="AW75" i="1"/>
  <c r="AW138" i="1"/>
  <c r="AW477" i="1"/>
  <c r="AW486" i="1"/>
  <c r="AW487" i="1"/>
  <c r="AW77" i="1"/>
  <c r="AW153" i="1"/>
  <c r="AW399" i="1"/>
  <c r="AW66" i="1"/>
  <c r="AW488" i="1"/>
  <c r="AW5" i="1"/>
  <c r="AW286" i="1"/>
  <c r="AW32" i="1"/>
  <c r="AW97" i="1"/>
  <c r="AW406" i="1"/>
  <c r="AW19" i="1"/>
  <c r="AW376" i="1"/>
  <c r="AW171" i="1"/>
  <c r="AW144" i="1"/>
  <c r="AW145" i="1"/>
  <c r="AW146" i="1"/>
  <c r="AW134" i="1"/>
  <c r="AW86" i="1"/>
  <c r="AW188" i="1"/>
  <c r="AW9" i="1"/>
  <c r="AW90" i="1"/>
  <c r="AW21" i="1"/>
  <c r="AW133" i="1"/>
  <c r="AW172" i="1"/>
  <c r="AW178" i="1"/>
  <c r="AW298" i="1"/>
  <c r="AW299" i="1"/>
  <c r="AW69" i="1"/>
  <c r="AW96" i="1"/>
  <c r="AW3" i="1"/>
  <c r="AW264" i="1"/>
  <c r="AW377" i="1"/>
  <c r="AW378" i="1"/>
  <c r="AW478" i="1"/>
  <c r="AW479" i="1"/>
  <c r="AW388" i="1"/>
  <c r="AW247" i="1"/>
  <c r="AW248" i="1"/>
  <c r="AW175" i="1"/>
  <c r="AW176" i="1"/>
  <c r="AW177" i="1"/>
  <c r="AW130" i="1"/>
  <c r="AW165" i="1"/>
  <c r="AW135" i="1"/>
  <c r="AW251" i="1"/>
  <c r="AW489" i="1"/>
  <c r="AW49" i="1"/>
  <c r="AW294" i="1"/>
  <c r="AW79" i="1"/>
  <c r="AW338" i="1"/>
  <c r="AW339" i="1"/>
  <c r="AW340" i="1"/>
  <c r="AW246" i="1"/>
  <c r="AW415" i="1"/>
  <c r="AW416" i="1"/>
  <c r="AW209" i="1"/>
  <c r="AW324" i="1"/>
  <c r="AW325" i="1"/>
  <c r="AW143" i="1"/>
  <c r="AW217" i="1"/>
  <c r="AW218" i="1"/>
  <c r="AW219" i="1"/>
  <c r="AW179" i="1"/>
  <c r="AW162" i="1"/>
  <c r="AW256" i="1"/>
  <c r="AW236" i="1"/>
  <c r="AW104" i="1"/>
  <c r="AW109" i="1"/>
  <c r="AW290" i="1"/>
  <c r="AW147" i="1"/>
  <c r="AW278" i="1"/>
  <c r="AW279" i="1"/>
  <c r="AW453" i="1"/>
  <c r="AW454" i="1"/>
  <c r="AW455" i="1"/>
  <c r="AW456" i="1"/>
  <c r="AW457" i="1"/>
  <c r="AW458" i="1"/>
  <c r="AW459" i="1"/>
  <c r="AW460" i="1"/>
  <c r="AW461" i="1"/>
  <c r="AW462" i="1"/>
  <c r="AW463" i="1"/>
  <c r="AW464" i="1"/>
  <c r="AW227" i="1"/>
  <c r="AW228" i="1"/>
  <c r="AW52" i="1"/>
  <c r="AW155" i="1"/>
  <c r="AW429" i="1"/>
  <c r="AW430" i="1"/>
  <c r="AW56" i="1"/>
  <c r="AW11" i="1"/>
  <c r="AW497" i="1"/>
  <c r="AW85" i="1"/>
  <c r="AW102" i="1"/>
  <c r="AW163" i="1"/>
  <c r="AW240" i="1"/>
  <c r="AW241" i="1"/>
  <c r="AW242" i="1"/>
  <c r="AW313" i="1"/>
  <c r="AW81" i="1"/>
  <c r="AW82" i="1"/>
  <c r="AW164" i="1"/>
  <c r="AW7" i="1"/>
  <c r="AW203" i="1"/>
  <c r="AW167" i="1"/>
  <c r="AW168" i="1"/>
  <c r="AW169" i="1"/>
  <c r="AW18" i="1"/>
  <c r="AW173" i="1"/>
  <c r="AW174" i="1"/>
  <c r="AW76" i="1"/>
  <c r="AW45" i="1"/>
  <c r="AW106" i="1"/>
  <c r="AW107" i="1"/>
  <c r="AW194" i="1"/>
  <c r="AW345" i="1"/>
  <c r="AW346" i="1"/>
  <c r="AW347" i="1"/>
  <c r="AW295" i="1"/>
  <c r="AW296" i="1"/>
  <c r="AW48" i="1"/>
  <c r="AW60" i="1"/>
  <c r="AW63" i="1"/>
  <c r="AW65" i="1"/>
  <c r="AW297" i="1"/>
  <c r="AW87" i="1"/>
  <c r="AW465" i="1"/>
  <c r="AW442" i="1"/>
  <c r="AW44" i="1"/>
  <c r="AW43" i="1"/>
  <c r="AW40" i="1"/>
  <c r="AW185" i="1"/>
  <c r="AW120" i="1"/>
  <c r="AW157" i="1"/>
  <c r="AW101" i="1"/>
  <c r="AW341" i="1"/>
  <c r="AW334" i="1"/>
  <c r="AW72" i="1"/>
  <c r="AW490" i="1"/>
  <c r="AW111" i="1"/>
  <c r="AW196" i="1"/>
  <c r="AW30" i="1"/>
  <c r="AW326" i="1"/>
  <c r="AW480" i="1"/>
  <c r="AW105" i="1"/>
  <c r="AW270" i="1"/>
  <c r="AW417" i="1"/>
  <c r="AW291" i="1"/>
  <c r="AW389" i="1"/>
  <c r="AW390" i="1"/>
  <c r="AW42" i="1"/>
  <c r="AW156" i="1"/>
  <c r="AW180" i="1"/>
  <c r="AW127" i="1"/>
  <c r="AW309" i="1"/>
  <c r="AW349" i="1"/>
  <c r="AW67" i="1"/>
  <c r="AW407" i="1"/>
  <c r="AW408" i="1"/>
  <c r="AW13" i="1"/>
  <c r="AW99" i="1"/>
  <c r="AW394" i="1"/>
  <c r="AW314" i="1"/>
  <c r="AW418" i="1"/>
  <c r="AW419" i="1"/>
  <c r="AW431" i="1"/>
  <c r="AW335" i="1"/>
  <c r="AW336" i="1"/>
  <c r="AW33" i="1"/>
  <c r="AW190" i="1"/>
  <c r="AW103" i="1"/>
  <c r="AW34" i="1"/>
  <c r="AW191" i="1"/>
  <c r="AW192" i="1"/>
  <c r="AW193" i="1"/>
  <c r="AW230" i="1"/>
  <c r="AW292" i="1"/>
  <c r="AW420" i="1"/>
  <c r="AW481" i="1"/>
  <c r="AW379" i="1"/>
  <c r="AW14" i="1"/>
  <c r="AW400" i="1"/>
  <c r="AW432" i="1"/>
  <c r="AW433" i="1"/>
  <c r="AW181" i="1"/>
  <c r="AW421" i="1"/>
  <c r="AW272" i="1"/>
  <c r="AW197" i="1"/>
  <c r="AW212" i="1"/>
  <c r="AW68" i="1"/>
  <c r="AW243" i="1"/>
  <c r="AW293" i="1"/>
  <c r="AW17" i="1"/>
  <c r="AW221" i="1"/>
  <c r="AW491" i="1"/>
  <c r="AW222" i="1"/>
  <c r="AW492" i="1"/>
  <c r="AW223" i="1"/>
  <c r="AW493" i="1"/>
  <c r="AW224" i="1"/>
  <c r="AW494" i="1"/>
  <c r="AW22" i="1"/>
  <c r="AW273" i="1"/>
  <c r="AW327" i="1"/>
  <c r="AW328" i="1"/>
  <c r="AW350" i="1"/>
  <c r="AW322" i="1"/>
  <c r="AW121" i="1"/>
  <c r="AW124" i="1"/>
  <c r="AW20" i="1"/>
  <c r="AW151" i="1"/>
  <c r="AW6" i="1"/>
  <c r="AW495" i="1"/>
  <c r="AW422" i="1"/>
  <c r="AW10" i="1"/>
  <c r="AW50" i="1"/>
  <c r="AW51" i="1"/>
  <c r="AW27" i="1"/>
  <c r="AW28" i="1"/>
  <c r="AW61" i="1"/>
  <c r="AW307" i="1"/>
  <c r="AW423" i="1"/>
  <c r="AW409" i="1"/>
  <c r="AW410" i="1"/>
  <c r="AW411" i="1"/>
  <c r="AW316" i="1"/>
  <c r="AW8" i="1"/>
  <c r="AW118" i="1"/>
  <c r="AW443" i="1"/>
  <c r="AW220" i="1"/>
  <c r="AW4" i="1"/>
  <c r="AW149" i="1"/>
  <c r="AW250" i="1"/>
  <c r="AW496" i="1"/>
  <c r="AW129" i="1"/>
  <c r="AW12" i="1"/>
  <c r="AW305" i="1"/>
  <c r="AW306" i="1"/>
  <c r="AF38" i="1"/>
  <c r="AF395" i="1"/>
  <c r="AF108" i="1"/>
  <c r="AF83" i="1"/>
  <c r="AF200" i="1"/>
  <c r="AF119" i="1"/>
  <c r="AF424" i="1"/>
  <c r="AF380" i="1"/>
  <c r="AF308" i="1"/>
  <c r="AF199" i="1"/>
  <c r="AF41" i="1"/>
  <c r="AF252" i="1"/>
  <c r="AF253" i="1"/>
  <c r="AF381" i="1"/>
  <c r="AF385" i="1"/>
  <c r="AF386" i="1"/>
  <c r="AF128" i="1"/>
  <c r="AF113" i="1"/>
  <c r="AF348" i="1"/>
  <c r="AF466" i="1"/>
  <c r="AF204" i="1"/>
  <c r="AF302" i="1"/>
  <c r="AF195" i="1"/>
  <c r="AF136" i="1"/>
  <c r="AF498" i="1"/>
  <c r="AF499" i="1"/>
  <c r="AF500" i="1"/>
  <c r="AF472" i="1"/>
  <c r="AF473" i="1"/>
  <c r="AF317" i="1"/>
  <c r="AF382" i="1"/>
  <c r="AF392" i="1"/>
  <c r="AF201" i="1"/>
  <c r="AF342" i="1"/>
  <c r="AF323" i="1"/>
  <c r="AF280" i="1"/>
  <c r="AF139" i="1"/>
  <c r="AF310" i="1"/>
  <c r="AF311" i="1"/>
  <c r="AF184" i="1"/>
  <c r="AF231" i="1"/>
  <c r="AF232" i="1"/>
  <c r="AF125" i="1"/>
  <c r="AF131" i="1"/>
  <c r="AF137" i="1"/>
  <c r="AF74" i="1"/>
  <c r="AF152" i="1"/>
  <c r="AF444" i="1"/>
  <c r="AF91" i="1"/>
  <c r="AF92" i="1"/>
  <c r="AF110" i="1"/>
  <c r="AF70" i="1"/>
  <c r="AF274" i="1"/>
  <c r="AF126" i="1"/>
  <c r="AF351" i="1"/>
  <c r="AF158" i="1"/>
  <c r="AF159" i="1"/>
  <c r="AF160" i="1"/>
  <c r="AF161" i="1"/>
  <c r="AF271" i="1"/>
  <c r="AF445" i="1"/>
  <c r="AF446" i="1"/>
  <c r="AF263" i="1"/>
  <c r="AF269" i="1"/>
  <c r="AF225" i="1"/>
  <c r="AF237" i="1"/>
  <c r="AF238" i="1"/>
  <c r="AF329" i="1"/>
  <c r="AF287" i="1"/>
  <c r="AF343" i="1"/>
  <c r="AF352" i="1"/>
  <c r="AF383" i="1"/>
  <c r="AF312" i="1"/>
  <c r="AF257" i="1"/>
  <c r="AF300" i="1"/>
  <c r="AF330" i="1"/>
  <c r="AF226" i="1"/>
  <c r="AF288" i="1"/>
  <c r="AF258" i="1"/>
  <c r="AF259" i="1"/>
  <c r="AF260" i="1"/>
  <c r="AF122" i="1"/>
  <c r="AF198" i="1"/>
  <c r="AF261" i="1"/>
  <c r="AF425" i="1"/>
  <c r="AF426" i="1"/>
  <c r="AF93" i="1"/>
  <c r="AF94" i="1"/>
  <c r="AF29" i="1"/>
  <c r="AF150" i="1"/>
  <c r="AF58" i="1"/>
  <c r="AF59" i="1"/>
  <c r="AF25" i="1"/>
  <c r="AF331" i="1"/>
  <c r="AF15" i="1"/>
  <c r="AF84" i="1"/>
  <c r="AF16" i="1"/>
  <c r="AF396" i="1"/>
  <c r="AF401" i="1"/>
  <c r="AF89" i="1"/>
  <c r="AF80" i="1"/>
  <c r="AF447" i="1"/>
  <c r="AF427" i="1"/>
  <c r="AF71" i="1"/>
  <c r="AF35" i="1"/>
  <c r="AF141" i="1"/>
  <c r="AF142" i="1"/>
  <c r="AF202" i="1"/>
  <c r="AF371" i="1"/>
  <c r="AF353" i="1"/>
  <c r="AF36" i="1"/>
  <c r="AF318" i="1"/>
  <c r="AF319" i="1"/>
  <c r="AF170" i="1"/>
  <c r="AF315" i="1"/>
  <c r="AF320" i="1"/>
  <c r="AF78" i="1"/>
  <c r="AF275" i="1"/>
  <c r="AF276" i="1"/>
  <c r="AF277" i="1"/>
  <c r="AF254" i="1"/>
  <c r="AF213" i="1"/>
  <c r="AF244" i="1"/>
  <c r="AF321" i="1"/>
  <c r="AF332" i="1"/>
  <c r="AF116" i="1"/>
  <c r="AF117" i="1"/>
  <c r="AF428" i="1"/>
  <c r="AF372" i="1"/>
  <c r="AF434" i="1"/>
  <c r="AF412" i="1"/>
  <c r="AF281" i="1"/>
  <c r="AF467" i="1"/>
  <c r="AF373" i="1"/>
  <c r="AF448" i="1"/>
  <c r="AF435" i="1"/>
  <c r="AF436" i="1"/>
  <c r="AF437" i="1"/>
  <c r="AF438" i="1"/>
  <c r="AF402" i="1"/>
  <c r="AF449" i="1"/>
  <c r="AF468" i="1"/>
  <c r="AF469" i="1"/>
  <c r="AF245" i="1"/>
  <c r="AF482" i="1"/>
  <c r="AF483" i="1"/>
  <c r="AF439" i="1"/>
  <c r="AF440" i="1"/>
  <c r="AF333" i="1"/>
  <c r="AF403" i="1"/>
  <c r="AF404" i="1"/>
  <c r="AF450" i="1"/>
  <c r="AF470" i="1"/>
  <c r="AF405" i="1"/>
  <c r="AF391" i="1"/>
  <c r="AF397" i="1"/>
  <c r="AF441" i="1"/>
  <c r="AF166" i="1"/>
  <c r="AF88" i="1"/>
  <c r="AF474" i="1"/>
  <c r="AF475" i="1"/>
  <c r="AF112" i="1"/>
  <c r="AF239" i="1"/>
  <c r="AF115" i="1"/>
  <c r="AF53" i="1"/>
  <c r="AF123" i="1"/>
  <c r="AF55" i="1"/>
  <c r="AF64" i="1"/>
  <c r="AF23" i="1"/>
  <c r="AF374" i="1"/>
  <c r="AF393" i="1"/>
  <c r="AF114" i="1"/>
  <c r="AF214" i="1"/>
  <c r="AF215" i="1"/>
  <c r="AF26" i="1"/>
  <c r="AF484" i="1"/>
  <c r="AF485" i="1"/>
  <c r="AF354" i="1"/>
  <c r="AF355" i="1"/>
  <c r="AF356" i="1"/>
  <c r="AF357" i="1"/>
  <c r="AF24" i="1"/>
  <c r="AF210" i="1"/>
  <c r="AF282" i="1"/>
  <c r="AF283" i="1"/>
  <c r="AF284" i="1"/>
  <c r="AF285" i="1"/>
  <c r="AF265" i="1"/>
  <c r="AF266" i="1"/>
  <c r="AF476" i="1"/>
  <c r="AF100" i="1"/>
  <c r="AF98" i="1"/>
  <c r="AF337" i="1"/>
  <c r="AF54" i="1"/>
  <c r="AF31" i="1"/>
  <c r="AF267" i="1"/>
  <c r="AF189" i="1"/>
  <c r="AF148" i="1"/>
  <c r="AF95" i="1"/>
  <c r="AF268" i="1"/>
  <c r="AF375" i="1"/>
  <c r="AF387" i="1"/>
  <c r="AF183" i="1"/>
  <c r="AF358" i="1"/>
  <c r="AF359" i="1"/>
  <c r="AF360" i="1"/>
  <c r="AF361" i="1"/>
  <c r="AF362" i="1"/>
  <c r="AF363" i="1"/>
  <c r="AF364" i="1"/>
  <c r="AF365" i="1"/>
  <c r="AF366" i="1"/>
  <c r="AF367" i="1"/>
  <c r="AF368" i="1"/>
  <c r="AF369" i="1"/>
  <c r="AF370" i="1"/>
  <c r="AF413" i="1"/>
  <c r="AF233" i="1"/>
  <c r="AF234" i="1"/>
  <c r="AF451" i="1"/>
  <c r="AF452" i="1"/>
  <c r="AF140" i="1"/>
  <c r="AF303" i="1"/>
  <c r="AF301" i="1"/>
  <c r="AF47" i="1"/>
  <c r="AF39" i="1"/>
  <c r="AF57" i="1"/>
  <c r="AF73" i="1"/>
  <c r="AF62" i="1"/>
  <c r="AF249" i="1"/>
  <c r="AF289" i="1"/>
  <c r="AF304" i="1"/>
  <c r="AF132" i="1"/>
  <c r="AF216" i="1"/>
  <c r="AF255" i="1"/>
  <c r="AF182" i="1"/>
  <c r="AF211" i="1"/>
  <c r="AF235" i="1"/>
  <c r="AF229" i="1"/>
  <c r="AF344" i="1"/>
  <c r="AF398" i="1"/>
  <c r="AF186" i="1"/>
  <c r="AF187" i="1"/>
  <c r="AF262" i="1"/>
  <c r="AF414" i="1"/>
  <c r="AF471" i="1"/>
  <c r="AF46" i="1"/>
  <c r="AF205" i="1"/>
  <c r="AF206" i="1"/>
  <c r="AF207" i="1"/>
  <c r="AF208" i="1"/>
  <c r="AF37" i="1"/>
  <c r="AF154" i="1"/>
  <c r="AF384" i="1"/>
  <c r="AF75" i="1"/>
  <c r="AF138" i="1"/>
  <c r="AF477" i="1"/>
  <c r="AF486" i="1"/>
  <c r="AF487" i="1"/>
  <c r="AF77" i="1"/>
  <c r="AF153" i="1"/>
  <c r="AF399" i="1"/>
  <c r="AF66" i="1"/>
  <c r="AF488" i="1"/>
  <c r="AF5" i="1"/>
  <c r="AF286" i="1"/>
  <c r="AF32" i="1"/>
  <c r="AF97" i="1"/>
  <c r="AF406" i="1"/>
  <c r="AF19" i="1"/>
  <c r="AF376" i="1"/>
  <c r="AF171" i="1"/>
  <c r="AF144" i="1"/>
  <c r="AF145" i="1"/>
  <c r="AF146" i="1"/>
  <c r="AF134" i="1"/>
  <c r="AF86" i="1"/>
  <c r="AF188" i="1"/>
  <c r="AF9" i="1"/>
  <c r="AF90" i="1"/>
  <c r="AF21" i="1"/>
  <c r="AF133" i="1"/>
  <c r="AF172" i="1"/>
  <c r="AF178" i="1"/>
  <c r="AF298" i="1"/>
  <c r="AF299" i="1"/>
  <c r="AF69" i="1"/>
  <c r="AF96" i="1"/>
  <c r="AF3" i="1"/>
  <c r="AF264" i="1"/>
  <c r="AF377" i="1"/>
  <c r="AF378" i="1"/>
  <c r="AF478" i="1"/>
  <c r="AF479" i="1"/>
  <c r="AF388" i="1"/>
  <c r="AF247" i="1"/>
  <c r="AF248" i="1"/>
  <c r="AF175" i="1"/>
  <c r="AF176" i="1"/>
  <c r="AF177" i="1"/>
  <c r="AF130" i="1"/>
  <c r="AF165" i="1"/>
  <c r="AF135" i="1"/>
  <c r="AF251" i="1"/>
  <c r="AF489" i="1"/>
  <c r="AF49" i="1"/>
  <c r="AF294" i="1"/>
  <c r="AF79" i="1"/>
  <c r="AF338" i="1"/>
  <c r="AF339" i="1"/>
  <c r="AF340" i="1"/>
  <c r="AF246" i="1"/>
  <c r="AF415" i="1"/>
  <c r="AF416" i="1"/>
  <c r="AF209" i="1"/>
  <c r="AF324" i="1"/>
  <c r="AF325" i="1"/>
  <c r="AF143" i="1"/>
  <c r="AF217" i="1"/>
  <c r="AF218" i="1"/>
  <c r="AF219" i="1"/>
  <c r="AF179" i="1"/>
  <c r="AF162" i="1"/>
  <c r="AF256" i="1"/>
  <c r="AF236" i="1"/>
  <c r="AF104" i="1"/>
  <c r="AF109" i="1"/>
  <c r="AF290" i="1"/>
  <c r="AF147" i="1"/>
  <c r="AF278" i="1"/>
  <c r="AF279" i="1"/>
  <c r="AF453" i="1"/>
  <c r="AF454" i="1"/>
  <c r="AF455" i="1"/>
  <c r="AF456" i="1"/>
  <c r="AF457" i="1"/>
  <c r="AF458" i="1"/>
  <c r="AF459" i="1"/>
  <c r="AF460" i="1"/>
  <c r="AF461" i="1"/>
  <c r="AF462" i="1"/>
  <c r="AF463" i="1"/>
  <c r="AF464" i="1"/>
  <c r="AF227" i="1"/>
  <c r="AF228" i="1"/>
  <c r="AF52" i="1"/>
  <c r="AF155" i="1"/>
  <c r="AF429" i="1"/>
  <c r="AF430" i="1"/>
  <c r="AF56" i="1"/>
  <c r="AF11" i="1"/>
  <c r="AF497" i="1"/>
  <c r="AF85" i="1"/>
  <c r="AF102" i="1"/>
  <c r="AF163" i="1"/>
  <c r="AF240" i="1"/>
  <c r="AF241" i="1"/>
  <c r="AF242" i="1"/>
  <c r="AF313" i="1"/>
  <c r="AF81" i="1"/>
  <c r="AF82" i="1"/>
  <c r="AF164" i="1"/>
  <c r="AF7" i="1"/>
  <c r="AF203" i="1"/>
  <c r="AF167" i="1"/>
  <c r="AF168" i="1"/>
  <c r="AF169" i="1"/>
  <c r="AF18" i="1"/>
  <c r="AF173" i="1"/>
  <c r="AF174" i="1"/>
  <c r="AF76" i="1"/>
  <c r="AF45" i="1"/>
  <c r="AF106" i="1"/>
  <c r="AF107" i="1"/>
  <c r="AF194" i="1"/>
  <c r="AF345" i="1"/>
  <c r="AF346" i="1"/>
  <c r="AF347" i="1"/>
  <c r="AF295" i="1"/>
  <c r="AF296" i="1"/>
  <c r="AF48" i="1"/>
  <c r="AF60" i="1"/>
  <c r="AF63" i="1"/>
  <c r="AF65" i="1"/>
  <c r="AF297" i="1"/>
  <c r="AF87" i="1"/>
  <c r="AF465" i="1"/>
  <c r="AF442" i="1"/>
  <c r="AF44" i="1"/>
  <c r="AF43" i="1"/>
  <c r="AF40" i="1"/>
  <c r="AF185" i="1"/>
  <c r="AF120" i="1"/>
  <c r="AF157" i="1"/>
  <c r="AF101" i="1"/>
  <c r="AF341" i="1"/>
  <c r="AF334" i="1"/>
  <c r="AF72" i="1"/>
  <c r="AF490" i="1"/>
  <c r="AF111" i="1"/>
  <c r="AF196" i="1"/>
  <c r="AF30" i="1"/>
  <c r="AF326" i="1"/>
  <c r="AF480" i="1"/>
  <c r="AF105" i="1"/>
  <c r="AF270" i="1"/>
  <c r="AF417" i="1"/>
  <c r="AF291" i="1"/>
  <c r="AF389" i="1"/>
  <c r="AF390" i="1"/>
  <c r="AF42" i="1"/>
  <c r="AF156" i="1"/>
  <c r="AF180" i="1"/>
  <c r="AF127" i="1"/>
  <c r="AF309" i="1"/>
  <c r="AF349" i="1"/>
  <c r="AF67" i="1"/>
  <c r="AF407" i="1"/>
  <c r="AF408" i="1"/>
  <c r="AF13" i="1"/>
  <c r="AF99" i="1"/>
  <c r="AF394" i="1"/>
  <c r="AF314" i="1"/>
  <c r="AF418" i="1"/>
  <c r="AF419" i="1"/>
  <c r="AF431" i="1"/>
  <c r="AF335" i="1"/>
  <c r="AF336" i="1"/>
  <c r="AF33" i="1"/>
  <c r="AF190" i="1"/>
  <c r="AF103" i="1"/>
  <c r="AF34" i="1"/>
  <c r="AF191" i="1"/>
  <c r="AF192" i="1"/>
  <c r="AF193" i="1"/>
  <c r="AF230" i="1"/>
  <c r="AF292" i="1"/>
  <c r="AF420" i="1"/>
  <c r="AF481" i="1"/>
  <c r="AF379" i="1"/>
  <c r="AF14" i="1"/>
  <c r="AF400" i="1"/>
  <c r="AF432" i="1"/>
  <c r="AF433" i="1"/>
  <c r="AF181" i="1"/>
  <c r="AF421" i="1"/>
  <c r="AF272" i="1"/>
  <c r="AF197" i="1"/>
  <c r="AF212" i="1"/>
  <c r="AF68" i="1"/>
  <c r="AF243" i="1"/>
  <c r="AF293" i="1"/>
  <c r="AF17" i="1"/>
  <c r="AF221" i="1"/>
  <c r="AF491" i="1"/>
  <c r="AF222" i="1"/>
  <c r="AF492" i="1"/>
  <c r="AF223" i="1"/>
  <c r="AF493" i="1"/>
  <c r="AF224" i="1"/>
  <c r="AF494" i="1"/>
  <c r="AF22" i="1"/>
  <c r="AF273" i="1"/>
  <c r="AF327" i="1"/>
  <c r="AF328" i="1"/>
  <c r="AF350" i="1"/>
  <c r="AF322" i="1"/>
  <c r="AF121" i="1"/>
  <c r="AF124" i="1"/>
  <c r="AF20" i="1"/>
  <c r="AF151" i="1"/>
  <c r="AF6" i="1"/>
  <c r="AF495" i="1"/>
  <c r="AF422" i="1"/>
  <c r="AF10" i="1"/>
  <c r="AF50" i="1"/>
  <c r="AF51" i="1"/>
  <c r="AF27" i="1"/>
  <c r="AF28" i="1"/>
  <c r="AF61" i="1"/>
  <c r="AF307" i="1"/>
  <c r="AF423" i="1"/>
  <c r="AF409" i="1"/>
  <c r="AF410" i="1"/>
  <c r="AF411" i="1"/>
  <c r="AF316" i="1"/>
  <c r="AF8" i="1"/>
  <c r="AF118" i="1"/>
  <c r="AF443" i="1"/>
  <c r="AF220" i="1"/>
  <c r="AF4" i="1"/>
  <c r="AF149" i="1"/>
  <c r="AF250" i="1"/>
  <c r="AF496" i="1"/>
  <c r="AF129" i="1"/>
  <c r="AF12" i="1"/>
  <c r="AF305" i="1"/>
  <c r="AF306" i="1"/>
  <c r="Y83" i="1"/>
  <c r="Y199" i="1"/>
  <c r="Y41" i="1"/>
  <c r="Y466" i="1"/>
  <c r="Y302" i="1"/>
  <c r="Y195" i="1"/>
  <c r="Y498" i="1"/>
  <c r="Y499" i="1"/>
  <c r="Y500" i="1"/>
  <c r="Y472" i="1"/>
  <c r="Y473" i="1"/>
  <c r="Y131" i="1"/>
  <c r="Y137" i="1"/>
  <c r="Y74" i="1"/>
  <c r="Y91" i="1"/>
  <c r="Y92" i="1"/>
  <c r="Y110" i="1"/>
  <c r="Y269" i="1"/>
  <c r="Y261" i="1"/>
  <c r="Y25" i="1"/>
  <c r="Y331" i="1"/>
  <c r="Y16" i="1"/>
  <c r="Y396" i="1"/>
  <c r="Y401" i="1"/>
  <c r="Y254" i="1"/>
  <c r="Y213" i="1"/>
  <c r="Y244" i="1"/>
  <c r="Y321" i="1"/>
  <c r="Y428" i="1"/>
  <c r="Y372" i="1"/>
  <c r="Y434" i="1"/>
  <c r="Y412" i="1"/>
  <c r="Y281" i="1"/>
  <c r="Y467" i="1"/>
  <c r="Y373" i="1"/>
  <c r="Y448" i="1"/>
  <c r="Y435" i="1"/>
  <c r="Y436" i="1"/>
  <c r="Y437" i="1"/>
  <c r="Y438" i="1"/>
  <c r="Y402" i="1"/>
  <c r="Y449" i="1"/>
  <c r="Y468" i="1"/>
  <c r="Y469" i="1"/>
  <c r="Y245" i="1"/>
  <c r="Y482" i="1"/>
  <c r="Y483" i="1"/>
  <c r="Y439" i="1"/>
  <c r="Y440" i="1"/>
  <c r="Y403" i="1"/>
  <c r="Y404" i="1"/>
  <c r="Y450" i="1"/>
  <c r="Y470" i="1"/>
  <c r="Y405" i="1"/>
  <c r="Y391" i="1"/>
  <c r="Y397" i="1"/>
  <c r="Y441" i="1"/>
  <c r="Y112" i="1"/>
  <c r="Y53" i="1"/>
  <c r="Y123" i="1"/>
  <c r="Y55" i="1"/>
  <c r="Y64" i="1"/>
  <c r="Y23" i="1"/>
  <c r="Y114" i="1"/>
  <c r="Y26" i="1"/>
  <c r="Y24" i="1"/>
  <c r="Y210" i="1"/>
  <c r="Y265" i="1"/>
  <c r="Y266" i="1"/>
  <c r="Y100" i="1"/>
  <c r="Y98" i="1"/>
  <c r="Y31" i="1"/>
  <c r="Y267" i="1"/>
  <c r="Y375" i="1"/>
  <c r="Y183" i="1"/>
  <c r="Y303" i="1"/>
  <c r="Y301" i="1"/>
  <c r="Y47" i="1"/>
  <c r="Y57" i="1"/>
  <c r="Y73" i="1"/>
  <c r="Y398" i="1"/>
  <c r="Y37" i="1"/>
  <c r="Y77" i="1"/>
  <c r="Y97" i="1"/>
  <c r="Y171" i="1"/>
  <c r="Y144" i="1"/>
  <c r="Y145" i="1"/>
  <c r="Y146" i="1"/>
  <c r="Y134" i="1"/>
  <c r="Y9" i="1"/>
  <c r="Y21" i="1"/>
  <c r="Y133" i="1"/>
  <c r="Y298" i="1"/>
  <c r="Y299" i="1"/>
  <c r="Y96" i="1"/>
  <c r="Y264" i="1"/>
  <c r="Y130" i="1"/>
  <c r="Y135" i="1"/>
  <c r="Y49" i="1"/>
  <c r="Y79" i="1"/>
  <c r="Y179" i="1"/>
  <c r="Y162" i="1"/>
  <c r="Y52" i="1"/>
  <c r="Y102" i="1"/>
  <c r="Y7" i="1"/>
  <c r="Y18" i="1"/>
  <c r="Y173" i="1"/>
  <c r="Y174" i="1"/>
  <c r="Y76" i="1"/>
  <c r="Y347" i="1"/>
  <c r="Y295" i="1"/>
  <c r="Y296" i="1"/>
  <c r="Y63" i="1"/>
  <c r="Y297" i="1"/>
  <c r="Y44" i="1"/>
  <c r="Y43" i="1"/>
  <c r="Y40" i="1"/>
  <c r="Y185" i="1"/>
  <c r="Y120" i="1"/>
  <c r="Y334" i="1"/>
  <c r="Y72" i="1"/>
  <c r="Y111" i="1"/>
  <c r="Y105" i="1"/>
  <c r="Y291" i="1"/>
  <c r="Y127" i="1"/>
  <c r="Y309" i="1"/>
  <c r="Y349" i="1"/>
  <c r="Y13" i="1"/>
  <c r="Y394" i="1"/>
  <c r="Y314" i="1"/>
  <c r="Y418" i="1"/>
  <c r="Y419" i="1"/>
  <c r="Y335" i="1"/>
  <c r="Y336" i="1"/>
  <c r="Y230" i="1"/>
  <c r="Y292" i="1"/>
  <c r="Y197" i="1"/>
  <c r="Y243" i="1"/>
  <c r="Y293" i="1"/>
  <c r="Y221" i="1"/>
  <c r="Y491" i="1"/>
  <c r="Y222" i="1"/>
  <c r="Y492" i="1"/>
  <c r="Y223" i="1"/>
  <c r="Y493" i="1"/>
  <c r="Y224" i="1"/>
  <c r="Y494" i="1"/>
  <c r="Y22" i="1"/>
  <c r="Y350" i="1"/>
  <c r="Y322" i="1"/>
  <c r="Y121" i="1"/>
  <c r="Y124" i="1"/>
  <c r="Y20" i="1"/>
  <c r="Y151" i="1"/>
  <c r="Y6" i="1"/>
  <c r="Y10" i="1"/>
  <c r="Y8" i="1"/>
  <c r="Y250" i="1"/>
  <c r="Y12" i="1"/>
  <c r="Y305" i="1"/>
  <c r="Y306" i="1"/>
  <c r="B159" i="7" l="1"/>
  <c r="B158" i="7"/>
  <c r="B161" i="7"/>
  <c r="B160" i="7"/>
  <c r="P36" i="7"/>
  <c r="Q36" i="7" s="1"/>
  <c r="P2" i="7"/>
  <c r="B173" i="7"/>
  <c r="B172" i="7"/>
  <c r="B175" i="7"/>
  <c r="B174" i="7"/>
  <c r="R36" i="7"/>
  <c r="S36" i="7" s="1"/>
  <c r="R2" i="7"/>
  <c r="B145" i="7"/>
  <c r="B144" i="7"/>
  <c r="B147" i="7"/>
  <c r="B146" i="7"/>
  <c r="N36" i="7"/>
  <c r="O36" i="7" s="1"/>
  <c r="N2" i="7"/>
  <c r="B133" i="7"/>
  <c r="B132" i="7"/>
  <c r="L36" i="7"/>
  <c r="M36" i="7" s="1"/>
  <c r="L2" i="7"/>
  <c r="B130" i="7" s="1"/>
  <c r="B119" i="7"/>
  <c r="B118" i="7"/>
  <c r="J36" i="7"/>
  <c r="K36" i="7" s="1"/>
  <c r="J2" i="7"/>
  <c r="B116" i="7" s="1"/>
  <c r="B105" i="7"/>
  <c r="B104" i="7"/>
  <c r="H36" i="7"/>
  <c r="I36" i="7" s="1"/>
  <c r="H2" i="7"/>
  <c r="B102" i="7" s="1"/>
  <c r="B91" i="7"/>
  <c r="B90" i="7"/>
  <c r="F36" i="7"/>
  <c r="G36" i="7" s="1"/>
  <c r="F2" i="7"/>
  <c r="B88" i="7" s="1"/>
  <c r="B75" i="7"/>
  <c r="B74" i="7"/>
  <c r="B77" i="7"/>
  <c r="B76" i="7"/>
  <c r="T36" i="7"/>
  <c r="T2" i="7"/>
  <c r="B89" i="7" l="1"/>
  <c r="B131" i="7"/>
  <c r="B103" i="7"/>
  <c r="B117" i="7"/>
  <c r="X2" i="7"/>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D36" i="7"/>
  <c r="E36" i="7" s="1"/>
  <c r="D2" i="7"/>
  <c r="U36" i="7"/>
  <c r="P28" i="7" l="1"/>
  <c r="Q3" i="7"/>
  <c r="Q2" i="7"/>
  <c r="R3" i="7"/>
  <c r="R4" i="7" s="1"/>
  <c r="S3" i="7" s="1"/>
  <c r="T3" i="7"/>
  <c r="L3" i="7"/>
  <c r="M2" i="7" s="1"/>
  <c r="N3" i="7"/>
  <c r="H3" i="7"/>
  <c r="J3" i="7"/>
  <c r="D3" i="7"/>
  <c r="D4" i="7" s="1"/>
  <c r="E3" i="7" s="1"/>
  <c r="F3" i="7"/>
  <c r="U2" i="7"/>
  <c r="P29" i="7" l="1"/>
  <c r="P30" i="7" s="1"/>
  <c r="P31" i="7" s="1"/>
  <c r="P32" i="7" s="1"/>
  <c r="P33" i="7" s="1"/>
  <c r="P34" i="7" s="1"/>
  <c r="P35" i="7" s="1"/>
  <c r="Q35" i="7" s="1"/>
  <c r="Q5" i="7"/>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I2" i="7"/>
  <c r="J4" i="7"/>
  <c r="K2" i="7"/>
  <c r="H4" i="7"/>
  <c r="H5" i="7" s="1"/>
  <c r="E2" i="7"/>
  <c r="F4" i="7"/>
  <c r="G2" i="7"/>
  <c r="D5" i="7"/>
  <c r="E4" i="7" s="1"/>
  <c r="U3" i="7"/>
  <c r="L28" i="7" l="1"/>
  <c r="Q6" i="7"/>
  <c r="T5" i="7"/>
  <c r="M3" i="7"/>
  <c r="R6" i="7"/>
  <c r="S5" i="7" s="1"/>
  <c r="I3" i="7"/>
  <c r="N5" i="7"/>
  <c r="O3" i="7"/>
  <c r="M4" i="7"/>
  <c r="M5" i="7"/>
  <c r="M6" i="7"/>
  <c r="J5" i="7"/>
  <c r="K3" i="7"/>
  <c r="H6" i="7"/>
  <c r="I5" i="7" s="1"/>
  <c r="I4" i="7"/>
  <c r="F5" i="7"/>
  <c r="G3" i="7"/>
  <c r="D6" i="7"/>
  <c r="E5" i="7" s="1"/>
  <c r="U4" i="7"/>
  <c r="L29" i="7" l="1"/>
  <c r="L30" i="7" s="1"/>
  <c r="L31" i="7" s="1"/>
  <c r="L32" i="7" s="1"/>
  <c r="L33" i="7" s="1"/>
  <c r="L34" i="7" s="1"/>
  <c r="L35" i="7" s="1"/>
  <c r="M35" i="7" s="1"/>
  <c r="Q7" i="7"/>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N26" i="7"/>
  <c r="O25" i="7" s="1"/>
  <c r="M27" i="7"/>
  <c r="J26" i="7"/>
  <c r="K25" i="7" s="1"/>
  <c r="H27" i="7"/>
  <c r="F26" i="7"/>
  <c r="G25" i="7" s="1"/>
  <c r="D27" i="7"/>
  <c r="U25" i="7"/>
  <c r="I26" i="7" l="1"/>
  <c r="S26" i="7"/>
  <c r="E26" i="7"/>
  <c r="Q27" i="7"/>
  <c r="T27" i="7"/>
  <c r="R28" i="7"/>
  <c r="N27" i="7"/>
  <c r="M28" i="7"/>
  <c r="J27" i="7"/>
  <c r="H28" i="7"/>
  <c r="F27" i="7"/>
  <c r="D28" i="7"/>
  <c r="I27" i="7" l="1"/>
  <c r="E27" i="7"/>
  <c r="S27" i="7"/>
  <c r="K26" i="7"/>
  <c r="G26" i="7"/>
  <c r="O26" i="7"/>
  <c r="Q28" i="7"/>
  <c r="T28" i="7"/>
  <c r="R29" i="7"/>
  <c r="S28" i="7" s="1"/>
  <c r="N28" i="7"/>
  <c r="M29" i="7"/>
  <c r="J28" i="7"/>
  <c r="H29" i="7"/>
  <c r="I28" i="7" s="1"/>
  <c r="F28" i="7"/>
  <c r="D29" i="7"/>
  <c r="E28" i="7" s="1"/>
  <c r="U26" i="7"/>
  <c r="K27" i="7" l="1"/>
  <c r="G27" i="7"/>
  <c r="O27" i="7"/>
  <c r="Q29" i="7"/>
  <c r="T29" i="7"/>
  <c r="R30" i="7"/>
  <c r="N29" i="7"/>
  <c r="O28" i="7" s="1"/>
  <c r="M30" i="7"/>
  <c r="J29" i="7"/>
  <c r="K28" i="7" s="1"/>
  <c r="H30" i="7"/>
  <c r="I29" i="7" s="1"/>
  <c r="F29" i="7"/>
  <c r="G28" i="7" s="1"/>
  <c r="D30" i="7"/>
  <c r="E29" i="7" s="1"/>
  <c r="U27" i="7"/>
  <c r="Q30" i="7" l="1"/>
  <c r="T30" i="7"/>
  <c r="R31" i="7"/>
  <c r="S30" i="7" s="1"/>
  <c r="S29" i="7"/>
  <c r="N30" i="7"/>
  <c r="O29" i="7" s="1"/>
  <c r="M31" i="7"/>
  <c r="J30" i="7"/>
  <c r="K29" i="7" s="1"/>
  <c r="H31" i="7"/>
  <c r="I30" i="7" s="1"/>
  <c r="F30" i="7"/>
  <c r="G29" i="7" s="1"/>
  <c r="D31" i="7"/>
  <c r="E30" i="7" s="1"/>
  <c r="U29" i="7"/>
  <c r="U28"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N34" i="7"/>
  <c r="O33" i="7" s="1"/>
  <c r="J34" i="7"/>
  <c r="K33" i="7" s="1"/>
  <c r="H35" i="7"/>
  <c r="F34" i="7"/>
  <c r="G33" i="7" s="1"/>
  <c r="D35" i="7"/>
  <c r="U33" i="7"/>
  <c r="S34" i="7" l="1"/>
  <c r="S35" i="7"/>
  <c r="E34" i="7"/>
  <c r="E35" i="7"/>
  <c r="I34" i="7"/>
  <c r="I35" i="7"/>
  <c r="T35" i="7"/>
  <c r="N35" i="7"/>
  <c r="J35" i="7"/>
  <c r="F35" i="7"/>
  <c r="U34" i="7"/>
  <c r="K34" i="7" l="1"/>
  <c r="K35" i="7"/>
  <c r="O34" i="7"/>
  <c r="O35" i="7"/>
  <c r="G34" i="7"/>
  <c r="G35" i="7"/>
  <c r="U3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Tony C.</author>
  </authors>
  <commentList>
    <comment ref="A2" authorId="0" shapeId="0" xr:uid="{00000000-0006-0000-0000-00000100000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xr:uid="{00000000-0006-0000-0000-00000200000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xr:uid="{00000000-0006-0000-0000-00000300000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00000000-0006-0000-0000-00000400000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xr:uid="{00000000-0006-0000-0000-00000500000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xr:uid="{00000000-0006-0000-0000-00000600000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xr:uid="{00000000-0006-0000-0000-00000700000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xr:uid="{00000000-0006-0000-0000-00000800000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xr:uid="{00000000-0006-0000-0000-00000900000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000-00000A00000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xr:uid="{00000000-0006-0000-0000-00000B00000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xr:uid="{00000000-0006-0000-0000-00000C00000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xr:uid="{00000000-0006-0000-0000-00000D00000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Tony</author>
  </authors>
  <commentList>
    <comment ref="A2" authorId="0" shapeId="0" xr:uid="{00000000-0006-0000-0100-00000100000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xr:uid="{00000000-0006-0000-0100-00000200000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xr:uid="{00000000-0006-0000-0100-00000300000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xr:uid="{00000000-0006-0000-0100-00000400000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xr:uid="{00000000-0006-0000-0100-00000500000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xr:uid="{00000000-0006-0000-0100-00000600000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xr:uid="{00000000-0006-0000-0100-00000700000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xr:uid="{00000000-0006-0000-0100-00000800000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xr:uid="{00000000-0006-0000-0100-00000900000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100-00000A00000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xr:uid="{00000000-0006-0000-0100-00000B00000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xr:uid="{00000000-0006-0000-0100-00000C00000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xr:uid="{00000000-0006-0000-0100-00000D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xr:uid="{00000000-0006-0000-0100-00000E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xr:uid="{00000000-0006-0000-0100-00000F00000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xr:uid="{00000000-0006-0000-0100-00001000000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xr:uid="{00000000-0006-0000-0100-00001100000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xr:uid="{00000000-0006-0000-0100-00001200000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xr:uid="{00000000-0006-0000-0100-00001300000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xr:uid="{00000000-0006-0000-0100-00001400000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xr:uid="{00000000-0006-0000-0100-00001500000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xr:uid="{00000000-0006-0000-0100-00001600000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xr:uid="{00000000-0006-0000-0100-00001700000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xr:uid="{00000000-0006-0000-0100-00001800000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xr:uid="{00000000-0006-0000-0100-00001900000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xr:uid="{00000000-0006-0000-0100-00001A00000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xr:uid="{00000000-0006-0000-0100-00001B00000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xr:uid="{00000000-0006-0000-0100-00001C00000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2" authorId="0" shapeId="0" xr:uid="{00000000-0006-0000-03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xr:uid="{00000000-0006-0000-0300-00000200000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xr:uid="{00000000-0006-0000-0300-00000300000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xr:uid="{00000000-0006-0000-0300-00000400000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xr:uid="{00000000-0006-0000-0300-00000500000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xr:uid="{00000000-0006-0000-0300-00000600000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xr:uid="{00000000-0006-0000-0300-00000700000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xr:uid="{00000000-0006-0000-0300-00000800000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xr:uid="{00000000-0006-0000-0300-00000900000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xr:uid="{00000000-0006-0000-0300-00000A00000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xr:uid="{00000000-0006-0000-0300-00000B00000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xr:uid="{00000000-0006-0000-0300-00000C00000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xr:uid="{00000000-0006-0000-0300-00000D00000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xr:uid="{00000000-0006-0000-0300-00000E00000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xr:uid="{00000000-0006-0000-0300-00000F00000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xr:uid="{00000000-0006-0000-0300-00001000000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xr:uid="{00000000-0006-0000-0300-00001100000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xr:uid="{00000000-0006-0000-0300-00001200000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xr:uid="{00000000-0006-0000-0300-00001300000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xr:uid="{00000000-0006-0000-0300-00001400000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xr:uid="{00000000-0006-0000-0300-00001500000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xr:uid="{00000000-0006-0000-0300-00001600000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1" authorId="0" shapeId="0" xr:uid="{00000000-0006-0000-04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xr:uid="{00000000-0006-0000-0400-00000200000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xr:uid="{00000000-0006-0000-0400-00000300000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500-00000100000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<sst xmlns="http://schemas.openxmlformats.org/spreadsheetml/2006/main" count="14440" uniqueCount="5082">
  <si>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</si>
  <si>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</si>
  <si>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</si>
  <si>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</si>
  <si>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</si>
  <si>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</si>
  <si>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</si>
  <si>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</si>
  <si>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</si>
  <si>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</si>
  <si>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</si>
  <si>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</si>
  <si>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</si>
  <si>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</si>
  <si>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</si>
  <si>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</si>
  <si>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</si>
  <si>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</si>
  <si>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</si>
  <si>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</si>
  <si>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</si>
  <si>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</si>
  <si>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</si>
  <si>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</si>
  <si>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</si>
  <si>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</si>
  <si>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</si>
  <si>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</si>
  <si>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</si>
  <si>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</si>
  <si>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</si>
  <si>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</si>
  <si>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</si>
  <si>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</si>
  <si>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</si>
  <si>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</si>
  <si>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</si>
  <si>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</si>
  <si>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</si>
  <si>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</si>
  <si>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</si>
  <si>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</si>
  <si>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</si>
  <si>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</si>
  <si>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</si>
  <si>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</si>
  <si>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</si>
  <si>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</si>
  <si>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</si>
  <si>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</si>
  <si>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</si>
  <si>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</si>
  <si>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</si>
  <si>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</si>
  <si>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</si>
  <si>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</si>
  <si>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</si>
  <si>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</si>
  <si>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</si>
  <si>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</si>
  <si>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</si>
  <si>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</si>
  <si>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</si>
  <si>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</si>
  <si>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</si>
  <si>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</si>
  <si>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</si>
  <si>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</si>
  <si>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</si>
  <si>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</si>
  <si>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</si>
  <si>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</si>
  <si>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</si>
  <si>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</si>
  <si>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</si>
  <si>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</si>
  <si>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</si>
  <si>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</si>
  <si>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</si>
  <si>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</si>
  <si>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</si>
  <si>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</si>
  <si>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</si>
  <si>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</si>
  <si>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</si>
  <si>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</si>
  <si>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</si>
  <si>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</si>
  <si>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</si>
  <si>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</si>
  <si>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</si>
  <si>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</si>
  <si>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</si>
  <si>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</si>
  <si>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</si>
  <si>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</si>
  <si>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</si>
  <si>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</si>
  <si>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</si>
  <si>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</si>
  <si>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</si>
  <si>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</si>
  <si>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</si>
  <si>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</si>
  <si>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</si>
  <si>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</si>
  <si>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</si>
  <si>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</si>
  <si>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</si>
  <si>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</si>
  <si>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</si>
  <si>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</si>
  <si>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</si>
  <si>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</si>
  <si>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</si>
  <si>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</si>
  <si>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</si>
  <si>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</si>
  <si>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</si>
  <si>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</si>
  <si>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</si>
  <si>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</si>
  <si>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</si>
  <si>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</si>
  <si>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</si>
  <si>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</si>
  <si>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</si>
  <si>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</si>
  <si>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</si>
  <si>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</si>
  <si>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</si>
  <si>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</si>
  <si>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</si>
  <si>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</si>
  <si>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</si>
  <si>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</si>
  <si>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</si>
  <si>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</si>
  <si>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</si>
  <si>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</si>
  <si>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</si>
  <si>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</si>
  <si>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</si>
  <si>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</si>
  <si>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</si>
  <si>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</si>
  <si>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</si>
  <si>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</si>
  <si>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</si>
  <si>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</si>
  <si>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</si>
  <si>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</si>
  <si>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</si>
  <si>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</si>
  <si>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</si>
  <si>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</si>
  <si>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</si>
  <si>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</si>
  <si>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</si>
  <si>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</si>
  <si>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</si>
  <si>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</si>
  <si>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</si>
  <si>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</si>
  <si>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</si>
  <si>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</si>
  <si>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</si>
  <si>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</si>
  <si>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</si>
  <si>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</si>
  <si>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</si>
  <si>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</si>
  <si>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</si>
  <si>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</si>
  <si>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Graph History</t>
  </si>
  <si>
    <t>Relationship</t>
  </si>
  <si>
    <t>Relationship Date (UTC)</t>
  </si>
  <si>
    <t>Tweet</t>
  </si>
  <si>
    <t>Added by Reference from Another Message</t>
  </si>
  <si>
    <t>Retweet Count</t>
  </si>
  <si>
    <t>Favorite Count</t>
  </si>
  <si>
    <t>Reply Count</t>
  </si>
  <si>
    <t>Quote Count</t>
  </si>
  <si>
    <t>Impression Count</t>
  </si>
  <si>
    <t>Hashtags in Tweet</t>
  </si>
  <si>
    <t>URLs in Tweet</t>
  </si>
  <si>
    <t>Domains in Tweet</t>
  </si>
  <si>
    <t>Mentions in Tweet</t>
  </si>
  <si>
    <t>Media in Tweet</t>
  </si>
  <si>
    <t>Media Type</t>
  </si>
  <si>
    <t>Source</t>
  </si>
  <si>
    <t>Language</t>
  </si>
  <si>
    <t>Twitter Page for Tweet</t>
  </si>
  <si>
    <t>Tweet Date (UTC)</t>
  </si>
  <si>
    <t>Date</t>
  </si>
  <si>
    <t>Time</t>
  </si>
  <si>
    <t>Possibly Sensitive</t>
  </si>
  <si>
    <t>Place Bounding Box</t>
  </si>
  <si>
    <t>Place Country</t>
  </si>
  <si>
    <t>Place Country Code</t>
  </si>
  <si>
    <t>Place Full Name</t>
  </si>
  <si>
    <t>Place ID</t>
  </si>
  <si>
    <t>Place Name</t>
  </si>
  <si>
    <t>Place Type</t>
  </si>
  <si>
    <t>Media Key</t>
  </si>
  <si>
    <t>Media Duration (ms)</t>
  </si>
  <si>
    <t>Media Height</t>
  </si>
  <si>
    <t>Media Width</t>
  </si>
  <si>
    <t>Media View Count</t>
  </si>
  <si>
    <t>Tweet Image File</t>
  </si>
  <si>
    <t>Imported ID</t>
  </si>
  <si>
    <t>Conversation ID</t>
  </si>
  <si>
    <t>In-Reply-To User ID</t>
  </si>
  <si>
    <t>In-Reply-To Tweet ID</t>
  </si>
  <si>
    <t>Quoted Status ID</t>
  </si>
  <si>
    <t>Retweet ID</t>
  </si>
  <si>
    <t>Unified Twitter ID</t>
  </si>
  <si>
    <t>Author ID</t>
  </si>
  <si>
    <t>Poll ID</t>
  </si>
  <si>
    <t>Poll Options</t>
  </si>
  <si>
    <t>Poll Duration</t>
  </si>
  <si>
    <t>Poll End Date</t>
  </si>
  <si>
    <t>Poll Voting Status</t>
  </si>
  <si>
    <t>pablogarcia1223</t>
  </si>
  <si>
    <t>pame_q</t>
  </si>
  <si>
    <t>diaz_manuel</t>
  </si>
  <si>
    <t>jugadoresprome1</t>
  </si>
  <si>
    <t>anxooduran</t>
  </si>
  <si>
    <t>kioscodani</t>
  </si>
  <si>
    <t>gwes_phy</t>
  </si>
  <si>
    <t>vanneezaa</t>
  </si>
  <si>
    <t>pwartemberg1</t>
  </si>
  <si>
    <t>agriculturafm</t>
  </si>
  <si>
    <t>edu_valparaiso</t>
  </si>
  <si>
    <t>franciscoav13</t>
  </si>
  <si>
    <t>sapelach</t>
  </si>
  <si>
    <t>fridomessi</t>
  </si>
  <si>
    <t>piernasdcolusso</t>
  </si>
  <si>
    <t>gracimou</t>
  </si>
  <si>
    <t>gdehoyos100</t>
  </si>
  <si>
    <t>baeccipink</t>
  </si>
  <si>
    <t>muni_alhue</t>
  </si>
  <si>
    <t>g5_noticias</t>
  </si>
  <si>
    <t>lozan_sierra</t>
  </si>
  <si>
    <t>mario68610623</t>
  </si>
  <si>
    <t>_la_tombola_</t>
  </si>
  <si>
    <t>quenna4</t>
  </si>
  <si>
    <t>vinibelli15</t>
  </si>
  <si>
    <t>ggilsanz</t>
  </si>
  <si>
    <t>sibaritastur</t>
  </si>
  <si>
    <t>preludioradio</t>
  </si>
  <si>
    <t>chillanonline</t>
  </si>
  <si>
    <t>accioneducar</t>
  </si>
  <si>
    <t>rubi622</t>
  </si>
  <si>
    <t>radioprensa</t>
  </si>
  <si>
    <t>radiovalencia</t>
  </si>
  <si>
    <t>tonygabbana_88</t>
  </si>
  <si>
    <t>carmengloria08_</t>
  </si>
  <si>
    <t>mirna_marta</t>
  </si>
  <si>
    <t>joaco_ledesma11</t>
  </si>
  <si>
    <t>inohino365</t>
  </si>
  <si>
    <t>elbachvaldivian</t>
  </si>
  <si>
    <t>tel81296369</t>
  </si>
  <si>
    <t>pistoljosed</t>
  </si>
  <si>
    <t>elranco</t>
  </si>
  <si>
    <t>sergio361278762</t>
  </si>
  <si>
    <t>admisionescolar</t>
  </si>
  <si>
    <t>rm___fernanda</t>
  </si>
  <si>
    <t>estellerria</t>
  </si>
  <si>
    <t>aleoglez</t>
  </si>
  <si>
    <t>comoscsientc</t>
  </si>
  <si>
    <t>contingenciacl_</t>
  </si>
  <si>
    <t>romerorome7324</t>
  </si>
  <si>
    <t>edupublicacl</t>
  </si>
  <si>
    <t>shoffy_vf</t>
  </si>
  <si>
    <t>patri86381</t>
  </si>
  <si>
    <t>pedrolo25778676</t>
  </si>
  <si>
    <t>latercera</t>
  </si>
  <si>
    <t>benignopf</t>
  </si>
  <si>
    <t>albammmedina</t>
  </si>
  <si>
    <t>alfonsocc98</t>
  </si>
  <si>
    <t>meganoticiascl</t>
  </si>
  <si>
    <t>myriligmez21</t>
  </si>
  <si>
    <t>mineducaysen</t>
  </si>
  <si>
    <t>eduardovirgala</t>
  </si>
  <si>
    <t>leo_fiorentino</t>
  </si>
  <si>
    <t>cojimanki1</t>
  </si>
  <si>
    <t>divxnopka</t>
  </si>
  <si>
    <t>alex_alic</t>
  </si>
  <si>
    <t>ediazcomellas</t>
  </si>
  <si>
    <t>chandiafer</t>
  </si>
  <si>
    <t>prensa_educa</t>
  </si>
  <si>
    <t>atologocito1</t>
  </si>
  <si>
    <t>manolitocino</t>
  </si>
  <si>
    <t>hagov_wav</t>
  </si>
  <si>
    <t>salgado1mauro</t>
  </si>
  <si>
    <t>minervafdz</t>
  </si>
  <si>
    <t>moniato1</t>
  </si>
  <si>
    <t>radiosolchile</t>
  </si>
  <si>
    <t>eldelasierrasoy</t>
  </si>
  <si>
    <t>elpueblodeceuta</t>
  </si>
  <si>
    <t>frejes561320</t>
  </si>
  <si>
    <t>ctorrety55512</t>
  </si>
  <si>
    <t>24horastvn</t>
  </si>
  <si>
    <t>pedropadillar</t>
  </si>
  <si>
    <t>mdinyer1</t>
  </si>
  <si>
    <t>hectorcasto53</t>
  </si>
  <si>
    <t>vjelias</t>
  </si>
  <si>
    <t>puranoticia</t>
  </si>
  <si>
    <t>fmdos</t>
  </si>
  <si>
    <t>ninodecat</t>
  </si>
  <si>
    <t>bb_xtina</t>
  </si>
  <si>
    <t>eldesconcierto</t>
  </si>
  <si>
    <t>lafontanacl</t>
  </si>
  <si>
    <t>elsasweet1324</t>
  </si>
  <si>
    <t>carmeng734</t>
  </si>
  <si>
    <t>soypente</t>
  </si>
  <si>
    <t>inoticias_cl</t>
  </si>
  <si>
    <t>danyger7</t>
  </si>
  <si>
    <t>moquitamocol</t>
  </si>
  <si>
    <t>palasrisillas</t>
  </si>
  <si>
    <t>sanchezjant</t>
  </si>
  <si>
    <t>_mpez</t>
  </si>
  <si>
    <t>yordi466544702</t>
  </si>
  <si>
    <t>cristygm90</t>
  </si>
  <si>
    <t>nuevodiarioweb</t>
  </si>
  <si>
    <t>lacuarta</t>
  </si>
  <si>
    <t>codereco</t>
  </si>
  <si>
    <t>vinetur</t>
  </si>
  <si>
    <t>edu__iquique</t>
  </si>
  <si>
    <t>marina_agbb</t>
  </si>
  <si>
    <t>adano1989</t>
  </si>
  <si>
    <t>trabugata</t>
  </si>
  <si>
    <t>tombolauy</t>
  </si>
  <si>
    <t>mdelacruz75</t>
  </si>
  <si>
    <t>robertodesachy</t>
  </si>
  <si>
    <t>jcelis87</t>
  </si>
  <si>
    <t>aytopinosgenil</t>
  </si>
  <si>
    <t>jlestu4</t>
  </si>
  <si>
    <t>jmcacuariano</t>
  </si>
  <si>
    <t>taseenb</t>
  </si>
  <si>
    <t>claud1adiaz</t>
  </si>
  <si>
    <t>eitbnoticias</t>
  </si>
  <si>
    <t>barrio_tuetano</t>
  </si>
  <si>
    <t>caritonasis</t>
  </si>
  <si>
    <t>nrsefobia</t>
  </si>
  <si>
    <t>paulagutierreze</t>
  </si>
  <si>
    <t>mrlegaljargon</t>
  </si>
  <si>
    <t>radioaftaonline</t>
  </si>
  <si>
    <t>zeerecitas</t>
  </si>
  <si>
    <t>13barras5</t>
  </si>
  <si>
    <t>paupaumcc</t>
  </si>
  <si>
    <t>javierf06127749</t>
  </si>
  <si>
    <t>rthur013</t>
  </si>
  <si>
    <t>gabs11_11</t>
  </si>
  <si>
    <t>elojoeneldedo</t>
  </si>
  <si>
    <t>reduca_cl</t>
  </si>
  <si>
    <t>jm815699</t>
  </si>
  <si>
    <t>ac_canela</t>
  </si>
  <si>
    <t>c_verasaldivia</t>
  </si>
  <si>
    <t>rnuevomundo</t>
  </si>
  <si>
    <t>pjgs40</t>
  </si>
  <si>
    <t>butaca131</t>
  </si>
  <si>
    <t>rc_pinilla</t>
  </si>
  <si>
    <t>theobjective_es</t>
  </si>
  <si>
    <t>hdadsantiago</t>
  </si>
  <si>
    <t>chvnoticias</t>
  </si>
  <si>
    <t>estandartese16</t>
  </si>
  <si>
    <t>loperadigital</t>
  </si>
  <si>
    <t>educbiobio</t>
  </si>
  <si>
    <t>radioudec</t>
  </si>
  <si>
    <t>ilovepisto</t>
  </si>
  <si>
    <t>coquimbonoticia</t>
  </si>
  <si>
    <t>mjoseabad1</t>
  </si>
  <si>
    <t>mulachroberto</t>
  </si>
  <si>
    <t>valenti94010220</t>
  </si>
  <si>
    <t>checharquintero</t>
  </si>
  <si>
    <t>revistaolimerca</t>
  </si>
  <si>
    <t>cuchito2023</t>
  </si>
  <si>
    <t>elresumencl</t>
  </si>
  <si>
    <t>aallvaaroo05</t>
  </si>
  <si>
    <t>beadelariera</t>
  </si>
  <si>
    <t>seremieducrios</t>
  </si>
  <si>
    <t>ladecada_80</t>
  </si>
  <si>
    <t>radio_festival</t>
  </si>
  <si>
    <t>ramirodaniel_</t>
  </si>
  <si>
    <t>yasbelninaa</t>
  </si>
  <si>
    <t>meta_morfica</t>
  </si>
  <si>
    <t>scorpius2punt0</t>
  </si>
  <si>
    <t>rehtafdogeht</t>
  </si>
  <si>
    <t>varucoo02</t>
  </si>
  <si>
    <t>itvnoticias</t>
  </si>
  <si>
    <t>politicaspba</t>
  </si>
  <si>
    <t>radiocomarca</t>
  </si>
  <si>
    <t>ceciarmy</t>
  </si>
  <si>
    <t>aangeeell16</t>
  </si>
  <si>
    <t>aitaneta_</t>
  </si>
  <si>
    <t>bambison</t>
  </si>
  <si>
    <t>gonzalorguezm</t>
  </si>
  <si>
    <t>fac_educacionuc</t>
  </si>
  <si>
    <t>gastudillos</t>
  </si>
  <si>
    <t>pechunejo</t>
  </si>
  <si>
    <t>ajulianalvarez</t>
  </si>
  <si>
    <t>scherermar</t>
  </si>
  <si>
    <t>simapeter</t>
  </si>
  <si>
    <t>joscolon1</t>
  </si>
  <si>
    <t>reporteroiqq</t>
  </si>
  <si>
    <t>palancopaola</t>
  </si>
  <si>
    <t>misfon</t>
  </si>
  <si>
    <t>guiuinfo</t>
  </si>
  <si>
    <t>reignofmydays</t>
  </si>
  <si>
    <t>igna_iquique22</t>
  </si>
  <si>
    <t>ldpsincomplejos</t>
  </si>
  <si>
    <t>martabravogarci</t>
  </si>
  <si>
    <t>claudiaea</t>
  </si>
  <si>
    <t>gobiernodechile</t>
  </si>
  <si>
    <t>secreducmaule</t>
  </si>
  <si>
    <t>lrubiof</t>
  </si>
  <si>
    <t>puck455</t>
  </si>
  <si>
    <t>javitxufv</t>
  </si>
  <si>
    <t>takashidarko</t>
  </si>
  <si>
    <t>antirreelexion</t>
  </si>
  <si>
    <t>campinadigital</t>
  </si>
  <si>
    <t>saempleo</t>
  </si>
  <si>
    <t>kykyschan</t>
  </si>
  <si>
    <t>lvillatorod</t>
  </si>
  <si>
    <t>marcosguti66611</t>
  </si>
  <si>
    <t>elpaisuy</t>
  </si>
  <si>
    <t>milenaeldan</t>
  </si>
  <si>
    <t>ladiscusioncl</t>
  </si>
  <si>
    <t>koobambis</t>
  </si>
  <si>
    <t>elchappa</t>
  </si>
  <si>
    <t>garcinuno91</t>
  </si>
  <si>
    <t>pacifico_tv</t>
  </si>
  <si>
    <t>vlnradio</t>
  </si>
  <si>
    <t>sanz_ismael</t>
  </si>
  <si>
    <t>radiopaulina</t>
  </si>
  <si>
    <t>biopasan</t>
  </si>
  <si>
    <t>zurdaburguesa</t>
  </si>
  <si>
    <t>patfercam</t>
  </si>
  <si>
    <t>elclan29</t>
  </si>
  <si>
    <t>paislobo</t>
  </si>
  <si>
    <t>sofialopezg_</t>
  </si>
  <si>
    <t>restrepovelez0</t>
  </si>
  <si>
    <t>zona11aysen</t>
  </si>
  <si>
    <t>frederickbulzar</t>
  </si>
  <si>
    <t>manu14_jb</t>
  </si>
  <si>
    <t>kiroleros</t>
  </si>
  <si>
    <t>pabubell</t>
  </si>
  <si>
    <t>enlahoracl</t>
  </si>
  <si>
    <t>claucortesi</t>
  </si>
  <si>
    <t>roberto53590325</t>
  </si>
  <si>
    <t>senapred</t>
  </si>
  <si>
    <t>achormazabal</t>
  </si>
  <si>
    <t>mendozacpedro</t>
  </si>
  <si>
    <t>belnn0rodriguez</t>
  </si>
  <si>
    <t>humanistasonora</t>
  </si>
  <si>
    <t>gusano666</t>
  </si>
  <si>
    <t>fdodiaznaranjo</t>
  </si>
  <si>
    <t>nico_cataldo</t>
  </si>
  <si>
    <t>magallaugarte</t>
  </si>
  <si>
    <t>justiciaeduc</t>
  </si>
  <si>
    <t>1tiroalblanco1</t>
  </si>
  <si>
    <t>tehuelchenotic</t>
  </si>
  <si>
    <t>armorold</t>
  </si>
  <si>
    <t>minanoaragones</t>
  </si>
  <si>
    <t>hericunill</t>
  </si>
  <si>
    <t>isidromz</t>
  </si>
  <si>
    <t>camacho_sand</t>
  </si>
  <si>
    <t>mlucilarg</t>
  </si>
  <si>
    <t>andresalvar5</t>
  </si>
  <si>
    <t>felipeleonlopez</t>
  </si>
  <si>
    <t>diariousach</t>
  </si>
  <si>
    <t>patocelis</t>
  </si>
  <si>
    <t>angel_ciparque</t>
  </si>
  <si>
    <t>somosjujuy</t>
  </si>
  <si>
    <t>martinarrau</t>
  </si>
  <si>
    <t>aljarafeymas</t>
  </si>
  <si>
    <t>adnradiochile</t>
  </si>
  <si>
    <t>thecalet</t>
  </si>
  <si>
    <t>migentededuran</t>
  </si>
  <si>
    <t>radiocrystalcl</t>
  </si>
  <si>
    <t>laliguanoticias</t>
  </si>
  <si>
    <t>lavozdelsures</t>
  </si>
  <si>
    <t>cnnchile</t>
  </si>
  <si>
    <t>radiopolar</t>
  </si>
  <si>
    <t>t13</t>
  </si>
  <si>
    <t>maximotova612</t>
  </si>
  <si>
    <t>javispecialone1</t>
  </si>
  <si>
    <t>mas_que_pelotas</t>
  </si>
  <si>
    <t>tdgalvez</t>
  </si>
  <si>
    <t>ellioctop</t>
  </si>
  <si>
    <t>mictia00</t>
  </si>
  <si>
    <t>donmrmonster</t>
  </si>
  <si>
    <t>jockqueshi</t>
  </si>
  <si>
    <t>juguitodeodeo</t>
  </si>
  <si>
    <t>florecicadabril</t>
  </si>
  <si>
    <t>mineduc</t>
  </si>
  <si>
    <t>ina_manroker</t>
  </si>
  <si>
    <t>fabiacade22</t>
  </si>
  <si>
    <t>josepmariarubi1</t>
  </si>
  <si>
    <t>antoniomaestre</t>
  </si>
  <si>
    <t>tsxjaeger</t>
  </si>
  <si>
    <t>prensaevento</t>
  </si>
  <si>
    <t>roornu59ortiz</t>
  </si>
  <si>
    <t>becasess</t>
  </si>
  <si>
    <t>el_universal_mx</t>
  </si>
  <si>
    <t>mesa_plural</t>
  </si>
  <si>
    <t>alfaro_rob</t>
  </si>
  <si>
    <t>demoniux5</t>
  </si>
  <si>
    <t>marissrivera</t>
  </si>
  <si>
    <t>criscalonje</t>
  </si>
  <si>
    <t>rvletelier</t>
  </si>
  <si>
    <t>pmecklenburg</t>
  </si>
  <si>
    <t>biobio</t>
  </si>
  <si>
    <t>clausdebuen</t>
  </si>
  <si>
    <t>lopezobrador_</t>
  </si>
  <si>
    <t>osopinonne</t>
  </si>
  <si>
    <t>angeldebritook</t>
  </si>
  <si>
    <t>adrianoiz</t>
  </si>
  <si>
    <t>scjn</t>
  </si>
  <si>
    <t>arturozaldivarl</t>
  </si>
  <si>
    <t>rocha4t</t>
  </si>
  <si>
    <t>mx_diputados</t>
  </si>
  <si>
    <t>juncalssolano</t>
  </si>
  <si>
    <t>drestrum__pl</t>
  </si>
  <si>
    <t>dalvarez1976</t>
  </si>
  <si>
    <t>libertaddigital</t>
  </si>
  <si>
    <t>miguelpr83</t>
  </si>
  <si>
    <t>joseachozas</t>
  </si>
  <si>
    <t>el_pais</t>
  </si>
  <si>
    <t>ctajadura</t>
  </si>
  <si>
    <t>drodriguezmo</t>
  </si>
  <si>
    <t>diegozapata_01</t>
  </si>
  <si>
    <t>gvaeducacio</t>
  </si>
  <si>
    <t>wenachile</t>
  </si>
  <si>
    <t>larroqueandres</t>
  </si>
  <si>
    <t>junji_chile</t>
  </si>
  <si>
    <t>gracearcosm</t>
  </si>
  <si>
    <t>denisedresserg</t>
  </si>
  <si>
    <t>tor25899035</t>
  </si>
  <si>
    <t>teamleom</t>
  </si>
  <si>
    <t>agenciaeduca</t>
  </si>
  <si>
    <t>amparobarista</t>
  </si>
  <si>
    <t>ely_enjoy</t>
  </si>
  <si>
    <t>mr_y_mrs</t>
  </si>
  <si>
    <t>sourgirl_r</t>
  </si>
  <si>
    <t>danielafcuadra</t>
  </si>
  <si>
    <t>mauricioriscor</t>
  </si>
  <si>
    <t>evelyntriples</t>
  </si>
  <si>
    <t>camila20271470</t>
  </si>
  <si>
    <t>aleja_27f</t>
  </si>
  <si>
    <t>navarra_com</t>
  </si>
  <si>
    <t>alearratiam</t>
  </si>
  <si>
    <t>camara_cl</t>
  </si>
  <si>
    <t>cmds_antof</t>
  </si>
  <si>
    <t>antofaopina2022</t>
  </si>
  <si>
    <t>selvaandreoli</t>
  </si>
  <si>
    <t>muzeriqui</t>
  </si>
  <si>
    <t>n3s3p4s</t>
  </si>
  <si>
    <t>cfbadalonafutur</t>
  </si>
  <si>
    <t>cfhercules</t>
  </si>
  <si>
    <t>sergiosierratv</t>
  </si>
  <si>
    <t>dannyhcf89</t>
  </si>
  <si>
    <t>el_gali_13</t>
  </si>
  <si>
    <t>jjavierperezr</t>
  </si>
  <si>
    <t>phlosmonigotes</t>
  </si>
  <si>
    <t>salermico</t>
  </si>
  <si>
    <t>mitecogob</t>
  </si>
  <si>
    <t>chtajo</t>
  </si>
  <si>
    <t>cefalopodo</t>
  </si>
  <si>
    <t>manolo67985717</t>
  </si>
  <si>
    <t>rbsotomayor</t>
  </si>
  <si>
    <t>malules7532791</t>
  </si>
  <si>
    <t>ierrejon</t>
  </si>
  <si>
    <t>bjs_alejo2</t>
  </si>
  <si>
    <t>garciaperezmari</t>
  </si>
  <si>
    <t>yolanda_diaz_</t>
  </si>
  <si>
    <t>mbachelet</t>
  </si>
  <si>
    <t>mcubillossigall</t>
  </si>
  <si>
    <t>mrhitchcok</t>
  </si>
  <si>
    <t>alexmar03804657</t>
  </si>
  <si>
    <t>novagob</t>
  </si>
  <si>
    <t>realdonaldtrump</t>
  </si>
  <si>
    <t>nicolasmaduro</t>
  </si>
  <si>
    <t>elonmusk</t>
  </si>
  <si>
    <t>jordiwild</t>
  </si>
  <si>
    <t>homsricardo</t>
  </si>
  <si>
    <t>chilquinta600</t>
  </si>
  <si>
    <t>alemesfer</t>
  </si>
  <si>
    <t>rhollmann</t>
  </si>
  <si>
    <t>franricomlg</t>
  </si>
  <si>
    <t>duploscl</t>
  </si>
  <si>
    <t>reforma</t>
  </si>
  <si>
    <t>elisagarrido</t>
  </si>
  <si>
    <t>gonzalo_redondo</t>
  </si>
  <si>
    <t>aliciaalvarezsc</t>
  </si>
  <si>
    <t>ferran_verdejo</t>
  </si>
  <si>
    <t>patri_blanquer</t>
  </si>
  <si>
    <t>begonasarre</t>
  </si>
  <si>
    <t>montseminguez</t>
  </si>
  <si>
    <t>cristinanarbona</t>
  </si>
  <si>
    <t>gpscongreso</t>
  </si>
  <si>
    <t>psoe</t>
  </si>
  <si>
    <t>pedro_casares</t>
  </si>
  <si>
    <t>dlacalle</t>
  </si>
  <si>
    <t>sanchezcastejon</t>
  </si>
  <si>
    <t>__starla_</t>
  </si>
  <si>
    <t>seremieduc01</t>
  </si>
  <si>
    <t>madrid_total2</t>
  </si>
  <si>
    <t>claudioxgg</t>
  </si>
  <si>
    <t>jlmartinsaez</t>
  </si>
  <si>
    <t>unrajador</t>
  </si>
  <si>
    <t>laraverina</t>
  </si>
  <si>
    <t>maxpradera</t>
  </si>
  <si>
    <t>emmarincon</t>
  </si>
  <si>
    <t>supereduc_cl</t>
  </si>
  <si>
    <t>pjudicialchile</t>
  </si>
  <si>
    <t>exantecl</t>
  </si>
  <si>
    <t>felixbolanosg</t>
  </si>
  <si>
    <t>tonosvj</t>
  </si>
  <si>
    <t>penalolen</t>
  </si>
  <si>
    <t>funesta</t>
  </si>
  <si>
    <t>elvecinodeuxue</t>
  </si>
  <si>
    <t>youtube</t>
  </si>
  <si>
    <t>jaenjunta</t>
  </si>
  <si>
    <t>empleojunta</t>
  </si>
  <si>
    <t>vanika96177525</t>
  </si>
  <si>
    <t>yomisma19710043</t>
  </si>
  <si>
    <t>comentemostele</t>
  </si>
  <si>
    <t>poropinar1</t>
  </si>
  <si>
    <t>hugo_gutierrez_</t>
  </si>
  <si>
    <t>udd_cl</t>
  </si>
  <si>
    <t>pivotes_cl</t>
  </si>
  <si>
    <t>monerorape</t>
  </si>
  <si>
    <t>ntrguadalajara</t>
  </si>
  <si>
    <t>monerohernandez</t>
  </si>
  <si>
    <t>asajasevilla</t>
  </si>
  <si>
    <t>marotoreyes</t>
  </si>
  <si>
    <t>ladymmaia</t>
  </si>
  <si>
    <t>seremi_educ_v</t>
  </si>
  <si>
    <t>inemexico</t>
  </si>
  <si>
    <t>ine</t>
  </si>
  <si>
    <t>jorgerincon_n</t>
  </si>
  <si>
    <t>valentina_doc</t>
  </si>
  <si>
    <t>perdigueroasp</t>
  </si>
  <si>
    <t>veintimillapie</t>
  </si>
  <si>
    <t>_ayme</t>
  </si>
  <si>
    <t>maanuf96</t>
  </si>
  <si>
    <t>chaarrllyyy</t>
  </si>
  <si>
    <t>infarruco</t>
  </si>
  <si>
    <t>gabrielboric</t>
  </si>
  <si>
    <t>anabelcresv</t>
  </si>
  <si>
    <t>manlio</t>
  </si>
  <si>
    <t>catitaidola</t>
  </si>
  <si>
    <t>rojo_cherry</t>
  </si>
  <si>
    <t>cctrecerosas</t>
  </si>
  <si>
    <t>_diegomoreno</t>
  </si>
  <si>
    <t>walterscansetti</t>
  </si>
  <si>
    <t>psoemadridayto</t>
  </si>
  <si>
    <t>psoelatina</t>
  </si>
  <si>
    <t>psoe_m</t>
  </si>
  <si>
    <t>pebarrero</t>
  </si>
  <si>
    <t>mtlch50</t>
  </si>
  <si>
    <t>jimenezyoneli</t>
  </si>
  <si>
    <t>miquel_r</t>
  </si>
  <si>
    <t>eldiarioes</t>
  </si>
  <si>
    <t>abarra17353680</t>
  </si>
  <si>
    <t>realidadesdiv</t>
  </si>
  <si>
    <t>lorzagirl</t>
  </si>
  <si>
    <t>scarlett_suzuya</t>
  </si>
  <si>
    <t>antoniobanos_</t>
  </si>
  <si>
    <t>kanano76</t>
  </si>
  <si>
    <t>saludand</t>
  </si>
  <si>
    <t>lattecast</t>
  </si>
  <si>
    <t>ireneaguiarg</t>
  </si>
  <si>
    <t>mrsvanburen</t>
  </si>
  <si>
    <t>alanbarrosoa</t>
  </si>
  <si>
    <t>marioofdz3</t>
  </si>
  <si>
    <t>10dmayo1</t>
  </si>
  <si>
    <t>garcimonero</t>
  </si>
  <si>
    <t>ucatolica</t>
  </si>
  <si>
    <t>ricardobsalinas</t>
  </si>
  <si>
    <t>raulsolisue</t>
  </si>
  <si>
    <t>pedro_torrijos</t>
  </si>
  <si>
    <t>tujuezlaboral</t>
  </si>
  <si>
    <t>soylyn05</t>
  </si>
  <si>
    <t>carolinadarias</t>
  </si>
  <si>
    <t>rodolfo_garciac</t>
  </si>
  <si>
    <t>antesandres</t>
  </si>
  <si>
    <t>marianolid</t>
  </si>
  <si>
    <t>victor_avilam</t>
  </si>
  <si>
    <t>ayuntacamas</t>
  </si>
  <si>
    <t>hdadrociocamas</t>
  </si>
  <si>
    <t>nachojp_</t>
  </si>
  <si>
    <t>claudiaaldanas</t>
  </si>
  <si>
    <t>cfriascruz</t>
  </si>
  <si>
    <t>elindepcom</t>
  </si>
  <si>
    <t>capichi__libre</t>
  </si>
  <si>
    <t>elpuntavui</t>
  </si>
  <si>
    <t>xochitlgalvez</t>
  </si>
  <si>
    <t>Replies to</t>
  </si>
  <si>
    <t>Mentions</t>
  </si>
  <si>
    <t>MentionsInReplyTo</t>
  </si>
  <si>
    <t>Quote</t>
  </si>
  <si>
    <t>MentionsInQuote</t>
  </si>
  <si>
    <t>@Demoniux5 Si bueno, hay cada personaje que parece el carnet un regalo de la tómbola</t>
  </si>
  <si>
    <t>Hoy postulé al hijo en el sistema de admisión escolar 2025. También aproveché que tenía unas lukas, para comprarle ropa de invierno en oferta. Una parka y unos botines que le queden para el otro invierno y pueda usar en el colegio.
Ni programando cenabast había previsto tanto</t>
  </si>
  <si>
    <t>Cumplió su sueño
“Porque con la elección de ministros, magistrados y jueces, a través del voto, el sistema judicial será más vulnerable.
Y todavía más si trasciende la última ocurrencia de elegir candidatos por vía de la tómbola.”
⁦@marissrivera⁩ 
 https://t.co/sXQu5hRKhv</t>
  </si>
  <si>
    <t>Una vez mas compramos "moissanita" (1) a precio de diamante.
Y Vendemos platino a precio de plata o de acero.(2)
(1) mineral parecido al diamante  (Olmo,Coutinho, Griezmann; Dembele) 
(2) Villa, Suarez, Oriol, etc
Somos la tómbola del mercado español</t>
  </si>
  <si>
    <t>ayer me gasté 12 euros en la tómbola para llevarme una cortadora de pelo 🥰</t>
  </si>
  <si>
    <t>Acierto de $4800 en la Tómbola y $2000 en la Quiniela de anoche en Kiosco DANI...
Probá suerte vos también en Kiosco DANI. https://t.co/AiOH7jbu8V</t>
  </si>
  <si>
    <t>@CrisCalonje Estoy hasta el zocolotroco de tanta tontería. Concurso de estupideces en la tómbola del Gobierno.</t>
  </si>
  <si>
    <t>yo esperando que fueran las 00 horas para la admisión escolar 2025, y acabo de leer que este año comienza a las 9 am jsjs</t>
  </si>
  <si>
    <t>Sistema de Admisión Escolar 2025: así funciona la plataforma que determina el colegio que le corresponde a cada estudiante en Chile  https://t.co/fFGaZ7Kpj4 vía @adnradiochile</t>
  </si>
  <si>
    <t>#Politica | Diputada Natalia Romero urge a poner fin a la “tómbola” en el Sistema de Admisión Escolar https://t.co/FPb605vWfP</t>
  </si>
  <si>
    <t>“El sistema de admisión escolar, permite que todos los estudiantes tengan igualdad de postular a los establecimientos educacionales donde desean estudiar” @pmecklenburg en @rvletelier 📻 97.3 FM</t>
  </si>
  <si>
    <t>@biobio La tómbola + llanto por eliminar la selección = caballo de Troya para la entrada de las manzanas podridas, este año se sumó la carencia de matrículas con la tentación de matrículas/$$. Suma las bandas según su país de origen (cultura de armas/drogas) el desastre está servido</t>
  </si>
  <si>
    <t>@clausdebuen @lopezobrador_ Él es un error de la tómbola!</t>
  </si>
  <si>
    <t>a esta tia le han dado el titulo de entrenadora en la tombola del pueblo</t>
  </si>
  <si>
    <t>@osopinonne Eres tu Eduardo con el micro de la tómbola, se acopla si no te muteas</t>
  </si>
  <si>
    <t>@AngeldebritoOk De la tómbola que se robó</t>
  </si>
  <si>
    <t>La tómbola judicial https://t.co/0INhrVgscp a través de @El_Universal_Mx</t>
  </si>
  <si>
    <t>Sé que rin reaccionó mal acá, pero tampoco podemos culparlo cuando lo único que hizo durante 4 años fue entrenar por un sueño que en unos minutos se esfumó frente a él, sae le metió en la cabeza que iban a ser los mejores sin dar otras opciones a un niño de cuantos años? Como 6-7</t>
  </si>
  <si>
    <t>📢Atención  
Entre el 02 y el 30 de agosto se realizarán las postulaciones al Sistema de Admisión Escolar para el año 2025, que permite a las familias escoger y, luego de la asignación, matricularse en establecimientos públicos o subvencionados🏫 
Más en👇
https://t.co/HUx0lAnzwn https://t.co/Mvw3wL1vIG</t>
  </si>
  <si>
    <t>Sistema de Admisión Escolar (SAE): Los mitos y verdades de la plataforma de postulación a colegios https://t.co/if2c32jUIh https://t.co/iTuimDjeht</t>
  </si>
  <si>
    <t>@adrianoiz Yo creo que la Montse Tomé le han dado el carnet en la tómbola.</t>
  </si>
  <si>
    <t>@Rocha4T @ArturoZaldivarL @SCJN La tómbola judicial.
https://t.co/fPWUXNHPXJ</t>
  </si>
  <si>
    <t>@juncalssolano @Mx_Diputados La tómbola judicial.
En un mundo donde hay crisis de valores morales y un país que se está volviendo “amoral” y excesivamente pragmático.
https://t.co/fPWUXNHi8b</t>
  </si>
  <si>
    <t>Muchas veces acepto planes x fomo 😰😰</t>
  </si>
  <si>
    <t>Coche, litronas, gente guay,río 
Planazo</t>
  </si>
  <si>
    <t>El silbon 😖😖😖</t>
  </si>
  <si>
    <t>Se encender mecheros con los pies, superadme</t>
  </si>
  <si>
    <t>Tengo esa frase metida en la cabeza y no parece que se quiera ir</t>
  </si>
  <si>
    <t>Estoy disociando que te cagas wtf</t>
  </si>
  <si>
    <t>@DRESTRUM__Pl Por mas que Paulsen diga es lo mejor democráticamente es lo contrario, la democracia esta en juego con esas palabras y con gente como el que cree que la democracia se juega en la tómbola. La cosa es clara la democracia es para todos igual o es solo para ciegos ideologizados?</t>
  </si>
  <si>
    <t>@DAlvarez1976 La tómbola de la feria del pueblo viene fuerte últimamente. Antes con la sandwichera ibas listo, ahora ya rifan 3 kilitos de nada😁</t>
  </si>
  <si>
    <t>@miguelpr83 @libertaddigital Le tocarían en la tómbola de la feria del pueblo, malpensados😁😁😁</t>
  </si>
  <si>
    <t>@JoseAChozas A Morata lo rifamos en la Tómbola de los Maristas, Soyunku se regaló a Caritas y el dinero de Lodi se gastó una tarde en el bingo.</t>
  </si>
  <si>
    <t>@CTajadura @el_pais Los españoles tenemos cada vez menor capacidad adquisitiva y con un esfuerzo fiscal asfixiante para las personas porque 4 ignorantes con gorra se creen que esto es Alemania.
Todo ello en un país sin ahorro ni formación bruta de K.
A algunos les aprobaron Económicas en la Tómbola.</t>
  </si>
  <si>
    <t>Perdiendo valor en la tómbola riojana.</t>
  </si>
  <si>
    <t>Entrevista Exclusiva con el Seremi de Educación: Consejos Clave para el Proceso de Admisión Escolar 2025 https://t.co/lrr2ZGWa6M a través de @PreludioRadio</t>
  </si>
  <si>
    <t>Entrevista Exclusiva con el Seremi de Educación: Consejos Clave para el Proceso de Admisión Escolar 2025 https://t.co/lrr2ZGWHWk a través de @PreludioRadio</t>
  </si>
  <si>
    <t>El sistema de admisión escolar abre su período de postulaciones el 2 de agosto https://t.co/btkAmjcVhW a través de @CHILLANONLINE https://t.co/ZVj6tWL1t8</t>
  </si>
  <si>
    <t>Comenzó un nuevo proceso de admisión escolar, y hay que sacar cosas en limpio del proceso anterior: 
Según @drodriguezmo un aprendizaje es que "se debe haber dado más flexibilidad a los colegios part subvencionados, que son por lejos los más preferidos, de ampliar sus cupos". https://t.co/9ZVvk3gHQs</t>
  </si>
  <si>
    <t>@DiegoZapata_01 Jajajaja jajajaja anda a vender muñecas en la tómbola de Albacete</t>
  </si>
  <si>
    <t>Director provincial de Educación #Melipilla #Talagante se refiere a inicio de proceso de postulación del Sistema de Admisión Escolar SAE https://t.co/K2DnqIM4E5 https://t.co/A6IT8yACF3</t>
  </si>
  <si>
    <t>Este viernes comienzan las postulaciones a través del Sistema de Admisión Escolar SAE https://t.co/JZB4Dk0YIK https://t.co/mwMMEDETi6</t>
  </si>
  <si>
    <t>📚 Decenas de familias de Sagunt denuncian el caos en la admisión escolar por la falta de recursos
📎 El @AytoSaguntoCom pide soluciones a la Generalitat y la @GVAeducacio asegura está tomando medidas https://t.co/DkMa5FdoDv</t>
  </si>
  <si>
    <t>Al árbitro le han dado el título en la tómbola? Está exhibiéndose o arbitrando?
Qué vergüenza lo que le están haciendo a Reyes Pla
#Paris2024 #ParisRTVE4a</t>
  </si>
  <si>
    <t>Justo cuando tengo que postular a mi hija al colegio por el SAE hay un temporal. Señal de internet pésima, wifi cortado y mi ojo ya comienza a tiritar 🥲 #SISTEMADEADMISIÓNESCOLAR</t>
  </si>
  <si>
    <t>@WenaChile Daño a las instituciones fundamentales ; Educación (la tómbola ) justicia ( puerta giratoria) Economía ( pésima reforma tributaria) Seguridad ( llegada masiva de inmigrantes)Seguridad ( sacar las minas del norte ) Sistema Prev. artíc 37 . AFP no asegura ganancia mínima .</t>
  </si>
  <si>
    <t>@larroqueandres Vamos por más!! Doy fe que el SAE en la provincia funciona muy bien 👏</t>
  </si>
  <si>
    <t>@GraceArcosM @nico_cataldo @JUNJI_Chile @Mineduc Sistema ideológico de admisión escolar podrías decir</t>
  </si>
  <si>
    <t>@CNNChile Números sacados de la tómbola del gobierno</t>
  </si>
  <si>
    <t>@DeniseDresserG @lopezobrador_ Denise, la tómbola es una lotería, un juego de azar, lo que tu propones no tiene nada que ver, que por medio del esoterismo se elijan los administradores de la función pública. Los jueces administran la justicia, como en EEUU, los jurados son elegidos de gente común del barrio.</t>
  </si>
  <si>
    <t>@Tor25899035 Imagino que sus vienes también irán a la tómbola</t>
  </si>
  <si>
    <t>#REGIÓNDELOSRÍOS: 371 Establecimientos de Los Ríos están disponibles para postular en el Sistema de Admisión Escolar 2025
- - - 
Lee la nota completa en nuestro sitio web 📲
https://t.co/i7us8LNrTj https://t.co/RjxcFQeQVQ</t>
  </si>
  <si>
    <t>@TeamLeoM Éntrale a la tómbola de regalos Messi,no ,yo ya tengo todo arreglado,mi novio infantino ya sabe qué en la cama nos emparejamos.</t>
  </si>
  <si>
    <t>@Amparobarista @Mineduc @agenciaeduca Hola, Recuerda que no es relevante postular el primer día, ya que se trata de un periodo abierto y que los cupos se asignan tras el cierre de las postulaciones. Lo más relevante es postular informados.</t>
  </si>
  <si>
    <t>@Aleja_27f @ely_enjoy Estamos presentando demora en el envío del comprobante, nos encontramos trabajando en su regularización. ¡Saludos!</t>
  </si>
  <si>
    <t>@nathamuack Hola, puedes ver en la plataforma de postulación en el cuadro que indica Prioridades de ingreso, que indica que cuentan con criterio de prioridad quienes tengan  un hermano/a estudiando en el establecimiento al que postulan. ¡Saludos!</t>
  </si>
  <si>
    <t>@sourgirl_r Hola, sólo perderá el cupo actual si es asignado en uno de los establecimientos a los que postuló. ¡Saludos!</t>
  </si>
  <si>
    <t>@DanielaFCuadra Hola, intenta actualizar la página o cambiar de navegador. Recuerda que no es relevante postular el primer día, ya que se trata de un periodo abierto y que los cupos se asignan tras el cierre de las postulaciones. Lo más relevante es postular informados.</t>
  </si>
  <si>
    <t>@MauricioRiscoR intenta actualizar la página o cambiar de navegador. Recuerda que no es relevante postular el primer día, ya que se trata de un periodo abierto y que los cupos se asignan tras el cierre de las postulaciones. Lo más relevante es postular informados.</t>
  </si>
  <si>
    <t>@Evelyntriples ¡Hola! Puedes agregar todos los establecimientos que deseen. Te recomendamos sumar, a lo menos, seis establecimientos en tu listado por orden de preferencia. ¡Saludos!</t>
  </si>
  <si>
    <t>@Camila20271470 Hola, sólo perderá el cupo actual si es asignado en uno de los establecimientos a los que postuló. ¡Saludos!</t>
  </si>
  <si>
    <t>@Aleja_27f Hola, Estamos presentando demora en el envío del comprobante, nos encontramos trabajando en su regularización. ¡Saludos!</t>
  </si>
  <si>
    <t>@Aleja_27f Hola, existe una demora en el envío de los correos dada la cantidad de postulaciones.</t>
  </si>
  <si>
    <t>Hemos enviado la solicitud de admisión escolar para Santi el próximo año 🥺🤞🏽</t>
  </si>
  <si>
    <t>@puck455 @Butaca131 @navarra_com Y lo que no te voy a permitir, ni a tu colega falangista Javier Ancín, es que califiques el uso del dinero de las txoznak como opaco sin hacer lo mismo con el de la tómbola de Cáritas o el destino de lo robado al pueblo navarro.</t>
  </si>
  <si>
    <t>Ya que les gusta tanto la tómbola, elección popular y las encuestas patito…
Porque Claudia López, deja al pueblo, que escoja a su gabinete?
De todas formas, únicamente lo reciclaron.</t>
  </si>
  <si>
    <t>&amp;lt; a quitársela del todo.—
no sé por qué nos pasa esto, tal vez no cerramos bien la mierda del año pasado o quizás, simplemente, hemos vuelto a salir en la tómbola de desgracias de algún dios. lo único que tengo claro es que debemos estar alerta, con todos los sentidos. todos.</t>
  </si>
  <si>
    <t>#ContingenciaChile: Comenzó proceso de postulación a colegios a través del Sistema de Admisión Escolar.
Este viernes 2 comienza el periodo de postulaciones a través de la plataforma SAE, plazo que estará vigente hasta el 30 de agosto.
https://t.co/Xm7SOTI2MF</t>
  </si>
  <si>
    <t>@DeniseDresserG @lopezobrador_ Señora sus tiempos de intelectualidad se terminaron,su sarcasmo no es suficiente,carece de un enfoque y análisis ya que los que van a participar en la tómbola serán abogados de carrera incluso ministros que pertenecen al actual poder judicial,un ejemplo claro yo no podré partici-</t>
  </si>
  <si>
    <t>🔵 Subsecretaria @AleArratiaM y el director de Educación Pública, Rodrigo Egaña, participaron en la comisión investigadora de la @Camara_cl para exponer y resolver consultas sobre el Sistema de Educación Pública y el Sistema de Admisión Escolar (SAE). https://t.co/mkrDyYfK0u</t>
  </si>
  <si>
    <t>@biobio Ese tema de la tómbola a sido puros problemas, la inclusión es más blabla que efectividad. Los colegios no se meten en los temas de bulling</t>
  </si>
  <si>
    <t>No sabía q me había pasado unos cuantos años estudiando Derecho y sacarme un título que ahora debe pedirse por Amazon  o te toca en la tómbola. Cuanto des-ilustrado 🤨
Al=q no se me ocurriría ponerme a pautar medicamentos, tampoco esperaría q la gente hable de leyes sin entender</t>
  </si>
  <si>
    <t>@antofaopina2022 @cmds_antof Terminen con la tómbola de mierda y que empiecen a expulsar a weones incompatibles con la educación</t>
  </si>
  <si>
    <t>Sistema de Admisión Escolar 2025: revisa cómo postular y cuáles son los plazos https://t.co/OuNPePp2BT</t>
  </si>
  <si>
    <t>La tómbola judicial https://t.co/j2eQG7MhIp vía @El_Universal_Mx</t>
  </si>
  <si>
    <t>A algunos conductores de ALSA les han dado el carnet en la tómbola 😃</t>
  </si>
  <si>
    <t>@Srtacotilleo Ya le tocó el carnet en la tómbola, cojonudo.</t>
  </si>
  <si>
    <t>Inician postulaciones al Sistema de Admisión Escolar: Este es el sitio oficial para realizar el trámite  https://t.co/3OtfMvdyJc</t>
  </si>
  <si>
    <t>La tómbola judicial https://t.co/cYtEZYkQyd vía @El_Universal_Mx</t>
  </si>
  <si>
    <t>La tómbola judicial https://t.co/cYtEZYkiIF vía @El_Universal_Mx</t>
  </si>
  <si>
    <t>Hoy partió el proceso de Sistema de Admisión Escolar (SAE) 2025! 🏫💡
Te damos 3 tips para las postulaciones 🤓💻
En nuestras oficinas de Ayuda Mineduc en Bilbao #540 Coyhaique, recibirás apoyo presencial para postular si lo requieres. https://t.co/bMLx8oxGvl</t>
  </si>
  <si>
    <t>No recuerdo la tómbola en la que le tocó la titularidad en Derecho Constitucional.</t>
  </si>
  <si>
    <t>@SelvaAndreoli Saco 3 numeros a la tombola.</t>
  </si>
  <si>
    <t>@muzeriqui La carrera te tocó en la tómbola 🤣🤣🤣🤣</t>
  </si>
  <si>
    <t>@N3S3P4S que bajocompararse con una Vieja culia asesina hija de la tómbola</t>
  </si>
  <si>
    <t>@CFBadalonaFutur @jjavierperezr El Dembelé de Hacendado!!!! Desesperante, elige bien 1 de cada 20 acciones. Suerte!!!!</t>
  </si>
  <si>
    <t>@SergioSierraTV @cfhercules Temazo!!!!! 👏👏👏</t>
  </si>
  <si>
    <t>@dannyhcf89 Ya era hora de que los monigotes y provincianos tuviésemos una peña oficial en el Rico Pérez!!!! Vamossss!!!!</t>
  </si>
  <si>
    <t>@dannyhcf89 Dejar a tus colegas tirados y cambiarte de grada......las cosas buenas de la vida monigote!!!!</t>
  </si>
  <si>
    <t>@el_Gali_13 Para pasearme por el barrio.... https://t.co/qy7tIDvs4n</t>
  </si>
  <si>
    <t>@salermico @PHLosMonigotes @jjavierperezr Aquí no se ha dejado nada al azar!!! Todo está estudiado!!!! https://t.co/9VQlQS8Ure</t>
  </si>
  <si>
    <t>@salermico Pero has ido al final????</t>
  </si>
  <si>
    <t>@salermico Te has cambiado a fondo norte?</t>
  </si>
  <si>
    <t>No todo va a ser futbol...... #TMAX560 #TMAXALICANTE https://t.co/VZtZLBqlub</t>
  </si>
  <si>
    <t>@cefalopodo @chtajo @mitecogob Se aprovechan de la paciencia ciudadana... Cualquier día un cazador les apaga la tómbola.</t>
  </si>
  <si>
    <t>Sistema de Admisión Escolar (SAE): Los mitos y verdades de la plataforma de postulación a colegios
https://t.co/vXPRUXYYEd 
#SistemaDeAdmisiónEscolar #SAE #MitosYVerdades #PostulaciónColegios #Educación https://t.co/X9J1sDToWj</t>
  </si>
  <si>
    <t>Comienza el SAE: La Florida entra en escena con inclusión y formación integral https://t.co/ohXPSrilxs a través de @prensa_educa https://t.co/uLBzNYAzCl</t>
  </si>
  <si>
    <t>2 de agosto comienza las postulaciones al Sistema de Admisión Escolar (SAE) para el año 2025 https://t.co/Xi1BrT6BrN a través de @prensa_educa</t>
  </si>
  <si>
    <t>Sistema de Admisión Escolar (SAE): Los mitos y verdades de la plataforma de postulación a colegios https://t.co/7Io8xxn6tC a través de @prensa_educa</t>
  </si>
  <si>
    <t>@manolo67985717 @AntonioMaestre No sera que ayuso está en todo y es imposible obligar a la asesina del pueblo??</t>
  </si>
  <si>
    <t>@Malules7532791 @RbSotomayor Y una POLLA!!</t>
  </si>
  <si>
    <t>¡Echa un vistazo al vídeo de Nosoloviernes! #TikTok https://t.co/GtJuQUJfSZ</t>
  </si>
  <si>
    <t>¡Echa un vistazo al vídeo de El Faro. Divulgación histórica! #TikTok https://t.co/JojrCcnLFc</t>
  </si>
  <si>
    <t>¡Echa un vistazo al vídeo de Solecilla! #TikTok https://t.co/r1nJwMYLCG</t>
  </si>
  <si>
    <t>¡Echa un vistazo al vídeo de La Vanguardia 🗞! #TikTok https://t.co/zkFTAlvl5C</t>
  </si>
  <si>
    <t>Ni en un pleno puede haber cerdos y los hay, no se ha visto la cara del personaje este....
¡Echa un vistazo al vídeo de PSOE Roquetas de Mar! #TikTok https://t.co/sPJAfXX7qr</t>
  </si>
  <si>
    <t>¡Echa un vistazo al vídeo de Panchete76! #TikTok https://t.co/xwfCNhDqml</t>
  </si>
  <si>
    <t>Los abogados cristianos que me la cojan con las dos manos y su presidenta Cristina que me coma toda la banana y el culo por detrás.
¡Echa un vistazo al vídeo de Jesús Cintora! #TikTok https://t.co/G9TVw9WdxD</t>
  </si>
  <si>
    <t>¡Echa un vistazo al vídeo de Aries! #TikTok https://t.co/ndPz1HdkmQ</t>
  </si>
  <si>
    <t>¡Echa un vistazo al vídeo de Beckynp83! #TikTok https://t.co/7MPeXoTDiw</t>
  </si>
  <si>
    <t>¡Echa un vistazo al vídeo de Seneca! #TikTok https://t.co/4pOkC87aCC</t>
  </si>
  <si>
    <t>El #PartidoPopularCorrupto no tiene vergüenza ni la ha conocido.
¡Echa un vistazo al vídeo de Hablo y digo! #TikTok https://t.co/BNZhT8W6Ca</t>
  </si>
  <si>
    <t>Que viva la libertad Carajo!!! Valiente fraude
¡Echa un vistazo a la Story de SERGIO! https://t.co/mK9kT1ob9l</t>
  </si>
  <si>
    <t>¡Echa un vistazo al vídeo de Loren Gomez! #TikTok https://t.co/NU1tanrWcP</t>
  </si>
  <si>
    <t>¡Echa un vistazo al vídeo de IzquierdaUnida! #TikTok https://t.co/V8XVvbz1N1</t>
  </si>
  <si>
    <t>¡Echa un vistazo al vídeo de Rubén Hood! #TikTok https://t.co/e4hIJKXelc</t>
  </si>
  <si>
    <t>¡Echa un vistazo al vídeo de malena! #TikTok https://t.co/oVYQknRjy9</t>
  </si>
  <si>
    <t>¡Echa un vistazo al vídeo de Círculo Podemos Moratalaz! #TikTok https://t.co/xSUzKXcX0f</t>
  </si>
  <si>
    <t>¡Echa un vistazo al vídeo de Cadena SER! #TikTok https://t.co/eRhJZlDP1a</t>
  </si>
  <si>
    <t>¡Echa un vistazo al vídeo de EstherIrisIndi! #TikTok https://t.co/HvOJmI01tT</t>
  </si>
  <si>
    <t>Cobarde por qué no baja el a quitarla!!!
https://t.co/JGrN0crpWa</t>
  </si>
  <si>
    <t>Ahí está!! Así nos va Pedro, las hienas peleándose por lo que no nos importa ni una mierda ni nos ayuda en ser mejor país y más competitivos, y si el tiempo pone a cada uno en su sitio y yo espero que a peinado en el peluquero, pero de la cárcel. 
https://t.co/IQlFzu4SU5</t>
  </si>
  <si>
    <t>Si que es sorprendente..
https://t.co/m1kx4Lt1LS</t>
  </si>
  <si>
    <t>Bueno yo no sé si puedo o no, querellarme contra este prevaricador que hace uso de nuestro dinero público inadecuadamen, pero si procede le interpondré una como ciudadano y demócrata.
¡Echa un vistazo al vídeo de EstherIrisIndi! #TikTok https://t.co/vfXW5HGYeJ</t>
  </si>
  <si>
    <t>¡Echa un vistazo al vídeo de EstherIrisIndi! #TikTok https://t.co/seFSyGVHyb</t>
  </si>
  <si>
    <t>¡Echa un vistazo al vídeo de Helados! #TikTok https://t.co/nHVquiahIb</t>
  </si>
  <si>
    <t>¡Echa un vistazo al vídeo de Podem Girona! #TikTok https://t.co/8qyDycdMqC</t>
  </si>
  <si>
    <t>¡Echa un vistazo al vídeo de Daniel! #TikTok https://t.co/McZ6FevXYc</t>
  </si>
  <si>
    <t>¡Echa un vistazo al vídeo de Munim Barcelona! #TikTok https://t.co/h2Z4Fc1lmt</t>
  </si>
  <si>
    <t>¡Echa un vistazo al vídeo de AndaluciaRevolution! #TikTok https://t.co/sXvro0cXnG</t>
  </si>
  <si>
    <t>@ierrejon Sigo teniendo serias dudas sobre el origen de tu doctorado. No sé si te salió en una tapa de yogur Danone o en un boleto de la Tómbola El Maño.</t>
  </si>
  <si>
    <t>@gonzavpl y después de cómo 8 años entendí que el profe nos había limpiado de una manera olímpica para que no vayamos a sus clases de mierda, igual que se haga peinar, que se hace el importante el pelotudo ese, ahora debe de estar en silla de ruedas jugando a la tómbola</t>
  </si>
  <si>
    <t>@DeniseDresserG @lopezobrador_ Te proponemos para que tú seas la imagen oficial de la tómbola denise, y en la apertura llegues rompiendo cadenas.</t>
  </si>
  <si>
    <t>¿Necesitas una nueva contraseña como apoderado(a) en https://t.co/Eu7EC5Ydyx? Sigue estos pasos.
Recuerda ¡postular al inicio o fin del proceso no cambia el resultado de la asignación!
#AdmisiónEscolar2025 https://t.co/IiZFddJf0G</t>
  </si>
  <si>
    <t>¡Tómate tu tiempo e infórmate para postular! Podrás hacerlo en https://t.co/Eu7EC5YLo5 hasta el 30 de agosto a las 14:00 hrs.
Si quieres revisar el detalle del paso a paso, revisa este enlace👉 https://t.co/Yq66csfsY1 https://t.co/O1PJ0Do5oL</t>
  </si>
  <si>
    <t>Desde mañana a las 9:00 horas puedes comenzar tu postulación al proceso de #AdmisiónEscolar 2025 en 🔗https://t.co/Eu7EC5YLo5
Recuerda ¡postular al inicio o fin del proceso no cambia el resultado! https://t.co/uXwWWluyCH</t>
  </si>
  <si>
    <t>¡En el proceso de #AdmisiónEscolar puedes agregar establecimientos de cualquier región o comuna! Postula con tiempo e ingresa al menos seis preferencias en https://t.co/Eu7EC5Ydyx https://t.co/ehcqfK78Vy</t>
  </si>
  <si>
    <t>Para el proceso de #AdmisiónEscolar asegúrate de revisar toda la información disponible y postula al menos a 6 establecimientos de tu interés. 
Revisa toda la información en https://t.co/Eu7EC5Ydyx https://t.co/dV9SlieaLv</t>
  </si>
  <si>
    <t>Si necesitas postular a tu hija o hijo en el proceso de #AdmisiónEscolar 2025 ¡no corras! Puedes hacerlo hasta el 30 de agosto a las 14:00 hrs.
Postula de manera informada y con calma en https://t.co/Eu7EC5Ydyx https://t.co/otErgv6qlH</t>
  </si>
  <si>
    <t>¡Hoy 2 de agosto, a las 9:00 horas, comienza el proceso de #AdmisiónEscolar 2025! 
Postula a tu hija o hijo en https://t.co/MkJNQVRctx hasta el 30 de agosto a las 14:00 hrs. 
Ingresa al menos seis establecimientos de tu interés. https://t.co/PB9UbFG9L9</t>
  </si>
  <si>
    <t>Estoy postulando a mi hijo en el nefasto sistema de @AdmisionEscolar osea la tómbola y al final solo se trata de #Pitutos. Tiene preferencia si tiene algún familiar, trabajando o estudiando en el establecimiento.
Ningún mérito propio. #MaduroTiranoDictador</t>
  </si>
  <si>
    <t>@bjs_alejo2 Ese panda es de la tómbola el terremoto</t>
  </si>
  <si>
    <t>Atención Antofagasta: Arranca el Sistema de Admisión Escolar 2025 https://t.co/6FHoO74hOp</t>
  </si>
  <si>
    <t>@Yolanda_Diaz_ @garciaperezmari Vosotras ya tenéis la medalla, os la han dado en la tómbola del Consejo de Ministros. https://t.co/CCgIcpS3T3</t>
  </si>
  <si>
    <t>Un hombre siembra el caos en la feria con un cuchillo de la tómbola 
https://t.co/sWfsES0Az9 https://t.co/EFTLzBQANy</t>
  </si>
  <si>
    <t>@DeniseDresserG @lopezobrador_ Tombola pero con los q el elija para estar en la tombola, puro juez abyecto y achichincle del poder, asi cualquiera dara lo mismolos tendra bien sometidos al poder presidencial</t>
  </si>
  <si>
    <t>@AlexMar03804657 @mrhitchcok @mcubillossigall @mbachelet Tienes hijos o estudiaste en la educación pública?
Sabes como funciona la tómbola?
Sabes que el mérito, el sacrificio y la dedicación...ahora valen callampa?
Sabes que hoy importa una raja que un postulante sea hijo de inmigrantes ilegales y deje fuera a un niño chileno.</t>
  </si>
  <si>
    <t>❗ #TeSirve  
Sistema Admisión Escolar (SAE): ¿hasta cuándo se puede postular?
Más detalles ⬇    https://t.co/ppiktCHuJO</t>
  </si>
  <si>
    <t>El SAE abre un proceso participativo para diseñar un Laboratorio de Innovación para el Empleo... https://t.co/lhD5KGWKUe desde @novagob</t>
  </si>
  <si>
    <t>@JordiWild @elonmusk @NicolasMaduro @realDonaldTrump Un Donald Trump versus el gitano de la tómbola que le puso el petardo 🧨 en la oreja estaría guapo</t>
  </si>
  <si>
    <t>La columna FOCUS DE @homsricardo //
La tómbola judicial
      Vía.    @El_Universal_Mx https://t.co/HcCVVFyyv0</t>
  </si>
  <si>
    <t>@Chilquinta600 Indecentes de mierda!!!! Jugando a la tómbola...de las 20;00hrs del Jueves sin servicio...es Sábado 08:30hrs y nada aún...pudranse. https://t.co/sfA0HdBUaZ</t>
  </si>
  <si>
    <t>102 puntos de apoyo se han dispuesto en la región de Valparaíso para el proceso de postulación del Sistema de Admisión Escolar 2025 ➡️ https://t.co/C4OvLlcLHy https://t.co/J9n559nBjW</t>
  </si>
  <si>
    <t>Sistema de Admisión Escolar 2025: Conoce como postular y cuáles son las fechas clave
https://t.co/xjgc6bcH78</t>
  </si>
  <si>
    <t>@Alemesfer las ofertas que publica el SAE</t>
  </si>
  <si>
    <t>@biobio Gracias a la Tómbola de la basheleeeeh🙃🙃 ahora está todo mezclado,si enfoco los recursos en un grupo de weones matones y porrones, deberia tener egresados con el 80%del cerebro funcional, los cursos separados y colegios especialistas deberian sacar mocosos mejor preparados👇</t>
  </si>
  <si>
    <t>VIDEO| Tutorial paso a paso para postular a su estudiante al Sistema de Admisión Escolar (SAE) https://t.co/aflUp9rZ3n</t>
  </si>
  <si>
    <t>🎒 Atención apoderados de Ñuble: ya abrió el Sistema de Admisión Escolar 2024
-
¿Qué es y cómo funciona?: https://t.co/1ydyKWefv4 https://t.co/bVheU5O6hz</t>
  </si>
  <si>
    <t>@RHollmann Las listas de espera eternas, la tómbola en educación, el sistema público menos se puede hacer cargo!</t>
  </si>
  <si>
    <t>Y mañana empieza el jueguito de la tómbola, por culpa de la inclusión de la izquierda y Bachelet.. algún político con cojones debiera tomar esta bandera y luchar por terminar esta mierda. https://t.co/wo4Zg8wzof</t>
  </si>
  <si>
    <t>@biobio Y nuevamente el viernes a la Tómbola a exponerse a estar con flaites matones como estos. Y por lo demás debieran hacer políticas publicas donde los niños  Tea estén protegidos de verdad  no sirve inclusión sin verdadera protección. Bachelet  y tu inclusión 🤬</t>
  </si>
  <si>
    <t>@FranRicoMlg En la feria te toca en la tómbola.</t>
  </si>
  <si>
    <t>🔴 Proceso de postulación para Admisión Escolar 2025: Revisa cómo inscribirse  🌎 @duploscl 👉 #INoticiasCL #Noticias  https://t.co/rovEm1dZK1</t>
  </si>
  <si>
    <t>@Reforma La tómbola, la misma que logró designar a una Taddei como consejera presidente del INE.</t>
  </si>
  <si>
    <t>La tómbola judicial | El Universal https://t.co/lkKw4VOVZP</t>
  </si>
  <si>
    <t>@dlacalle @pedro_casares @sanchezcastejon @PSOE @gpscongreso @CristinaNarbona @montseminguez @Begonasarre @Patri_Blanquer @Ferran_Verdejo @AliciaAlvarezSC @GONZALO_REDONDO @ElisaGarrido A ver, Daniel, no te lo tomes a mal, pero tu credibilidad está al nivel de el vendedor de la tómbola, también te lo digo.
Que digo yo que también se puede ser economista y no cagarla cada dos por tres. https://t.co/nSBqnbFNTU</t>
  </si>
  <si>
    <t>@Reforma No invente si de por si ya sale cada cosa y ahora echalo a la tómbola, Chance y se la lleve uno de un cartel!!</t>
  </si>
  <si>
    <t>@starla__ @Mineduc Igual que como georeferencian el SAE 😂</t>
  </si>
  <si>
    <t>@DeniseDresserG @lopezobrador_ Que la tómbola la va hace Monreal y BARTLETT!
Así que ya se la saben mis chairos puros cuates del poder y Jrs. Bienestar</t>
  </si>
  <si>
    <t>A ciertos clientes les ha tocado la educación en la tómbola. Una señora, por así llamarla, me ha interrumpido mientras estaba comiendo y he tenido que ir a cobrarle, cuando lo podría haber hecho mi hermana que estaba libre, pues no.</t>
  </si>
  <si>
    <t>#Especiales | Los resultados de la Tómbola Santiagueña del lunes 5 de agosto
https://t.co/oPKgMtfS8a</t>
  </si>
  <si>
    <t>Los resultados de la Tómbola Santiagueña del martes 6 de agosto
https://t.co/HsRd5u1iJV</t>
  </si>
  <si>
    <t>Sistema de Admisión Escolar 2025: Todo lo que debes saber antes de postular  https://t.co/rhaXCe0pOy</t>
  </si>
  <si>
    <t>🚨 ¡Última semana de la Tómbola Ganadora en Ibagué, Tolima! 🎉  
Recuerda que con esta promoción transformas tus tickets perdidos en una oportunidad de ganar $200.000 en freebets ⚽️ https://t.co/BMR2BEGstX</t>
  </si>
  <si>
    <t>El Ministerio impulsa la calidad del vino riojano: MAPA reconoce 14 nuevos parajes vitivinícolas en Rioja https://t.co/JZhvJSRWAt https://t.co/vaHGtRTdx6</t>
  </si>
  <si>
    <t>🔵 Junto a @seremieduc01 visitamos el Colegio República de Croacia para orientar a estudiantes y sus familias en el uso de la plataforma de Sistema de Admisión Escolar, a través de su vitrina web https://t.co/coioJDtg2i📲
#Iquique #AltoHospicio #NuevaEducaciónPública 📚 https://t.co/Nei4PO6jbd</t>
  </si>
  <si>
    <t>Ese hombre representa a mi padre. Cuando levanté palmo y medio del suelo ya me llevaba a la feria y me enseñaba a cargar la carabina regulera y en cuanto pude a tirar a palillos y globos. Aprendí con él y mi cuarto parece la tómbola antojitos.</t>
  </si>
  <si>
    <t>Hoy queremos dar las gracias a La Guipuzcoana, empresa dedicada a los encurtidos, por donar su producto para que forme parte de los premios que se podrán encontrar en la tómbola solidaria de ADANO.
¡Muchísimas gracias por vuestra aportación!
#adano https://t.co/ng44RfbGu3</t>
  </si>
  <si>
    <t>Manualidades Gizantz, tienda especializada en el mundo de las manualidades, también colabora con la Tómbola Solidaria de ADANO donando materiales para sortear.
¡Muchas gracias! Eskerrik asko por la colaboración en este evento tan importante para la asociación.
#adano https://t.co/SKbbdvE2Rr</t>
  </si>
  <si>
    <t>@madrid_total2 A Mbappe lo habéis fichado porque os todo el bingo en la tómbola del pueblo. Si es que hay que reírse….</t>
  </si>
  <si>
    <t>Hola!😄Les compartimos los resultados del sorteo vespertino de hoy lunes 05 de agosto🙌 https://t.co/e6q2JYLBFq</t>
  </si>
  <si>
    <t>Hola!😄Les compartimos los resultados del sorteo nocturno de hoy jueves 1 de agosto 🙌 https://t.co/t5MbPRpFgB</t>
  </si>
  <si>
    <t>Te invitamos a compartir el emoji con el que te identificas ❤️💪🍀 https://t.co/oVQCDXcWWG</t>
  </si>
  <si>
    <t>Hola!😄Les compartimos los resultados del sorteo vespertino de hoy viernes 02 de agosto🙌 https://t.co/yPdJFw64yd</t>
  </si>
  <si>
    <t>No es necesario salir, podés jugar por la web/app 😉📲 https://t.co/Ia36Pz9BSy</t>
  </si>
  <si>
    <t>Hola!😄Les compartimos los resultados del sorteo nocturno de hoy jueves 1 de agosto 🙌 https://t.co/oiguPaj4bE</t>
  </si>
  <si>
    <t>Hola!😄Les compartimos los resultados del sorteo nocturno de hoy martes 6 de agosto🙌 https://t.co/PdJc3OR35z</t>
  </si>
  <si>
    <t>@ClaudioXGG Segun tu logica, debes de mostrarnos la Tombola donde Norma Piña rifa los Fines de Semana, a Los DELINCUENTES que dejará libres, obvio, tonta tonta no es, hay mano negra y saca a los que son mas REDITUABLES ECONÓMICAMENTE. Por eso, se Van, por Corruptos!!!</t>
  </si>
  <si>
    <t>La tómbola judicial: @homsricardo
https://t.co/1lUYKikrFI</t>
  </si>
  <si>
    <t>@unrajador @jlmartinsaez Yo estuve en la feria donde se lo regalaron al Jose este. 
Fue en la Tómbola de San Nicasio.
Doy Fe.</t>
  </si>
  <si>
    <t>Próxima Convocatoria EMPLEA ACTIVA #PinosGenil
Para personas desempleadas entre 18 y 35 años y 45 o más inscritos en el SAE con los siguientes códigos de ocupación:
BARRENDEROS/AS (CNO 9443)
PINTORES/AS (CNO 7231)
JARDINEROS/AS (CNO 9512) https://t.co/a659CQcyjS</t>
  </si>
  <si>
    <t>@laraverina Y esto señores es cuando te sacas una ingeniería en la tómbola de las fiestas de tu pueblo . Cuando no hay , no se puede sacar nada ….del cerebro claro</t>
  </si>
  <si>
    <t>@maxpradera Lo que tú digas Charo. Acabas de crear jurisprudencia. Si un juez te juzga, le metes una querella (o 3) y así punto en boca. Anda y ve otra vez a la uní. O a la tómbola de los títulos.</t>
  </si>
  <si>
    <t>@EmmaRincon @YOANA_GON La cantidad de bulos difundidos por la fábrica de fake news opositora volvió a su máximo esplendor desde 2017. Recomenzó la tómbola.</t>
  </si>
  <si>
    <t>En #Chile el SAE y anótate indican por edad la matrícula del NNA si no ha cursado años anteriores de estudios, debe ser evaluado ¿y si debe bajar de curso y no hay cupo? Sume al NNA matriculado por el juzgado @Mineduc @PJudicialChile @supereduc_cl todos deciden menos el cole</t>
  </si>
  <si>
    <t>▶️ Cientos de premios de la tómbola de sanfermines buscan dueño o dueña https://t.co/R18FH5b9JX</t>
  </si>
  <si>
    <t>Creo que le ofendió que la tómbola era la del camello</t>
  </si>
  <si>
    <t>La tómbola! Donde tu hijo con promedio 6.7 queda fuera y el que tiene 4.6 queda en el Bicentenario! #NoMasAdmisionPorTombola</t>
  </si>
  <si>
    <t>Y ahora yo qué hago con estos ... https://t.co/25XDozC3Pd</t>
  </si>
  <si>
    <t>Si se dan cuenta que yo reserve al Rin y el Sae no alcanzó
ABANDONADO COMO EN EL CANON LA DESGRACIA ME PERSIGUE Y A ESTOS DOS PARA QUE NO SE RECONCILIEN NI EN MUNDOS ALTERNOS</t>
  </si>
  <si>
    <t>@exantecl "Me informe por la prensa"  "lo descozco", frases emblematicas de la ex presidenta. Sus errores los estamos pagando con la tombola en educación, los damnificados del 27 S , los casos Caval , y de todo lo que deja pasar de este gobierno.</t>
  </si>
  <si>
    <t>@DeniseDresserG @lopezobrador_ Imagínate ser un periodista y no haber leído y comprendido los requisitos para participar. Compartir lo que creíste haber entendido, pese a que está mal. 
Y además ser tan torpe que te cuesta trabajo entender que se burlan directamente de ti (con bromas como la tómbola)</t>
  </si>
  <si>
    <t>https://t.co/pQDbKfDfJu
#Educación || ¿CÓMO FUNCIONA EL PROCESO DE ADMISIÓN ESCOLAR (SAE)?
Este viernes 2 de agosto, se inicio el periodo de postulaciones a colegios a través del Sistema de Admisión Escolar (SAE), el cual estará vigente hasta el 30 de agosto. El SAE es un</t>
  </si>
  <si>
    <t>hola quién quiere ser el sae de mí isagi y ser el saesagi 😔</t>
  </si>
  <si>
    <t>@felixbolanosg A ver si explicas un poco lo del cupo fiscal que habéis regalado al independentismo catalán en perjuicio del resto de CCAA. Tu peinado nos importa bien poco. Un poco de seriedad, por favor, que parece que te ha tocado el ministerio en la tómbola de los más pelotas de PS</t>
  </si>
  <si>
    <t>Se supone hoy comienza el sistema de admisión escolar pero no funcionaaaáaaaaa</t>
  </si>
  <si>
    <t>@TonoSVJ El de la tómbola.</t>
  </si>
  <si>
    <t>Después de que al Presidente se le ocurrió la brillante idea de elegir a los Ministros de la Suprema Corte por rifa o tómbola... https://t.co/8M24sA476T</t>
  </si>
  <si>
    <t>No puedo creer lo de la tómbola … debi de comprar dólares</t>
  </si>
  <si>
    <t>En la 1 en el descanso del fútbol han dado los resultados de: euromillones, bonoloto, primitiva, once, otro con letras y número y ha faltado el número de la tómbola de mi pueblo. 
Loco me he quedado.</t>
  </si>
  <si>
    <t>❗Hoy comienza el proceso de Sistema de Admisión Escolar (SAE)
📢 Elegir los colegios municipales de @penalolen es asegurar para tu hij@ el acceso a grandes beneficios para que se proyecte a un gran futuro.
ℹ️ Más información en https://t.co/xlf6g77b3g https://t.co/5YeJmW0SQl</t>
  </si>
  <si>
    <t>@Funesta Obvio que no. 
Desde la tómbola que le dió el nombramiento sabemos que va en contra de la LEY y en contra del INE. Ya cometido demasiadas misiones por lo que debe ser removida del cargo y fincsrle responsabilidad penal.</t>
  </si>
  <si>
    <t>¡Hola! Como ya sabréis, ¡hoy empieza agosto! Y, al igual que el año pasado, durante todo el mes disfrutaremos de fuegos artificiales las noches de los domingos. También os esperan la tómbola de Ladino y mucha diversión propia de la temporada. ¡No os lo perdáis! https://t.co/MpJj3wN14o</t>
  </si>
  <si>
    <t>El candidato presidencial que JURE que quitará la tombola y volverá la selección de estudiantes por méritos tiene mi voto, sea del sector que sea.</t>
  </si>
  <si>
    <t>Sistema de Admisión Escolar (SAE): Mitos y verdades de la plataforma de postulación a colegios 
https://t.co/Woryf46OGi Vía @RNuevoMundo</t>
  </si>
  <si>
    <t>Sistema de Admisión Escolar (SAE): Mitos y verdades de la plataforma de postulación a colegios 
https://t.co/Woryf47mvQ Vía @RNuevoMundo @Mineduc @nico_cataldo</t>
  </si>
  <si>
    <t>Este viernes 02 de agosto se abrieron las postulaciones al Sistema de Admisión Escolar 🏫 En este video te cuento todo para que realices tu postulación 📄 
#sistemadeadmisiónescolar #educación #profesores #mineduc
https://t.co/owRFvsBWsM</t>
  </si>
  <si>
    <t>@elvecinodeUxue ¿hablas de la tómbola de Cáritas?</t>
  </si>
  <si>
    <t>hay que tener el ego muy grande para deslizar la idea de que es abogada del Estado porque le salió en la tómbola. Y lo suelta una "periodista" a sueldo de la little Caracas de Madrid.</t>
  </si>
  <si>
    <t>Ana Redondo defiende el pacto en Cataluña: «Garantiza» igualdad y «supera» conflictos.
https://t.co/NoRKuhwyd3</t>
  </si>
  <si>
    <t>🔴 El agraciado con el primer premio (Televisor de 65 pulgadas) del sorteo extraordinario del pasado 21 de julio de la tómbola de la Gran Velada de Santiago Apóstol, fue Antonio Montalvo, habitante de la vecina localidad de Camas. https://t.co/fgS7LZoAVx</t>
  </si>
  <si>
    <t>Sistema de Admisión Escolar: Los mitos y verdades de la plataforma de postulación a colegios 👇
https://t.co/gVAlMM7Nv5 https://t.co/gicKMhChLE</t>
  </si>
  <si>
    <t>Paso a paso de Sistema de Admisión Escolar 2025 https://t.co/ZoxLQFTNmS vía @YouTube</t>
  </si>
  <si>
    <t>Como establecimiento estamos a disposición de ayudar a nuestros apoderados y apoderadas a que realicen de forma adecuada el proceso de admisión escolar 2025.
Cualquier consulta o duda sobre el proceso los invitamos a que acudan al establecimiento para ayudarlos técnicamente. https://t.co/LFPc8rt9io</t>
  </si>
  <si>
    <t>ADMISIÓN ESCOLAR 2025
Para nuestros apoderados quienes deben realizar postulaciones de admisión 2025 y no recuerden sus datos de ingreso o información de validación, favor de dirigirse lo antes posible a oficinas Mineduc para regularizar su situación.
Escuela Los Estandartes. https://t.co/7LnUQ5T943</t>
  </si>
  <si>
    <t>El SAE renueva 90 puntos de empleo y acerca sus servicios digitales a los pequeños municipios. https://t.co/iIboAI2PL9 @EmpleoJunta @JaenJunta https://t.co/ToWBHud89r</t>
  </si>
  <si>
    <t>✅ Hoy, el Departamento Provincial de Educación Biobío, encabezado por su Jefa, Rossemarie Sánchez, están trabajando en apoyar a los apoderados/as 👨‍👨‍👦 en la postulación del Sistema de Admisión Escolar (SAE).📚📖✏️ https://t.co/HjIQxLEi5F</t>
  </si>
  <si>
    <t>#Entrevista 🎙️ Este viernes en #NuestraPautaAM:
🔹Conversaremos con el seremi de Educación en Biobío, Carlos Benedetti R., sobre el inicio de postulaciones al Sistema de Admisión Escolar.
@educbiobio
📻95.1 FM
💻https://t.co/qfuK5PwYJa https://t.co/1Eev3Udy5m</t>
  </si>
  <si>
    <t>El tirador turco y el dormitorio de su hija https://t.co/q8hoEzyJxD</t>
  </si>
  <si>
    <t>Senadores impulsan proyecto que busca permitir a establecimientos educacionales la selección del 60% de su matricula https://t.co/HvwhMgoHB6 
Este viernes comienza el proceso de postulación del Sistema de Admisión Escolar (SAE), un proceso que, desde su implementación en 2016, …</t>
  </si>
  <si>
    <t>@Yomisma19710043 @Vanika96177525 Que digas bombón por el físico no lo voy a negar, pero como hombre y persona deja mucho que desear, tener la picha suelta y faltar el respeto a su mujer y sus hijos es de buena persona? ser un inútil,flojo,torpe etc muy hombre? otro que él título de GC lo encontró en la tómbola.</t>
  </si>
  <si>
    <t>@Poropinar1 @comentemostele Perdón señora psicóloga, yo pensaba que los títulos los daban en la universidad y no en la tómbola, guapa!!</t>
  </si>
  <si>
    <t>@Hugo_Gutierrez_ Huguito Gutiérrez, el gran COMUNISTA! Siempre con sus boludeces. Cómo abogado debes de saber de sobra sobre el FRAUDE ELECTORAL. O te ganaste el título en la tómbola? Sácate los suspensores boludo! EL PUEBLO UNIDO, LIBRE Y DEMOCRÁTICO JAMÁS SERÁ VENCIDO Huguito. "cogito ergo sum"</t>
  </si>
  <si>
    <t>@Pivotes_cl @UDD_cl Lo peor de la educacion fue la TOMBOLA DE BACHELET CORRUPTA</t>
  </si>
  <si>
    <t>@monerohernandez @NTRGuadalajara @monerorape A mí me parece bastante torpe y desinformado. 
¿En qué parte de la iniciativa se menciona la tómbola? https://t.co/wnzl1adKW2</t>
  </si>
  <si>
    <t>Se trata de una demanda de @ASAJASEVILLA, a través de la cual, el SAE ofrecerá en la campaña de 2024 la posibilidad de casar ofertas y demandas de empleo concretas para la recolección de aceituna de mesa en Sevilla.
https://t.co/9UMfcrGx8b</t>
  </si>
  <si>
    <t>@Camara_cl Por fin se están avispando. Falta #LeyAntibullying y cambiar el sistema de Admisión Escolar</t>
  </si>
  <si>
    <t>Chillán - El sistema de admisión escolar abre su período de postulaciones el 2 de agosto. https://t.co/dD8SEUG8P2</t>
  </si>
  <si>
    <t>Si a mis amigos te pasas,no te quiere nadie y los q te quieren es xq eres mas fácil q la tómbola 😂</t>
  </si>
  <si>
    <t>@MarotoReyes Eso es un pin de la tómbola de una feria, no tiene valor ninguno. Hala disfrútalo.</t>
  </si>
  <si>
    <t>Hoy inició el proceso de Admisión Escolar 2025 🙋‍♀️🙋
Recuerda que toda la información está disponible en https://t.co/trbTuoBdfP y te puedes acercar a los distintos módulos de atención disponibles en cada DAEM comunal 👨‍🏫
#Valdiviacl https://t.co/8kqAugSS0i</t>
  </si>
  <si>
    <t>@LadyMMaia si hace menos de 30 grados, hace frio , algo tendré que hacer, y por supuesto a la vuelta que caigan esos churritos de la tombola eh</t>
  </si>
  <si>
    <t>102 puntos de apoyo se han dispuesto en la región para acompañar a las familias en el proceso de postulación del Sistema de Admisión Escolar 2025 
➡️ https://t.co/hJku2vONhc 
✅ @SEREMI_EDUC_V https://t.co/iEuwonPqEg</t>
  </si>
  <si>
    <t>@JorgeRincon_N @ine Jejeje ese @INEMexico arrobado no es jejeje. Pero sí,  ahora ni la tómbola les hará el milagro para llegar. Taddei está a meses de dejar de vivir del INE y dudo que se presente a competir por el INEC que sepa qué monstruo (o no) será.</t>
  </si>
  <si>
    <t>Pero porque papá Dios tiene que meterme en la tómbola de los apagones? No le basta con los indigentes de Alma Rosa?</t>
  </si>
  <si>
    <t>@PerdigueroASP @valentina_doc La tómbola del PSOE no deja a ningún palmero sin su muñeca chochona. https://t.co/xSYfcFVoV8</t>
  </si>
  <si>
    <t>@veintimillapie Ea, muñecas chochonas también para estas dos inútiles en la Tómbola del Dictador Sánchez.
En el premio figura la leyenda:
"En agradecimiento por las palmas, los vítores y el seguimiento sin principios". 
De mí, Pedro Sánchez, para quien yo tenga el capricho.
Suerte has tenido.</t>
  </si>
  <si>
    <t>@ps_martin_ @_ayme Sobre todo porque afectan a la vida de un ser humano que no tiene la culpa de lo que le ha tocado en la tómbola genética, para bien o para mal.</t>
  </si>
  <si>
    <t>@Maanuf96 El balón de oro como referencia de nada. Eso y la tómbola es lo mismo.</t>
  </si>
  <si>
    <t>@ReignOfMyDays @infarruco @SilexRose @Chaarrllyyy No se la sacó en la tómbola. Se la sacó en la misma promoción que un colega, que habláis vosotros mucho y ni puta idea del como va el tema</t>
  </si>
  <si>
    <t>Autoridades educativas visitan Jardín Infantil “Villa Austral” y anuncian inicio del proceso de admisión escolar 2025
https://t.co/Vs9mpTwErh</t>
  </si>
  <si>
    <t>📚 Sistema de Admisión Escolar: Secreduc orienta a familias para postular a establecimientos educativos
https://t.co/2aH2HuvdcJ</t>
  </si>
  <si>
    <t>El SAE es una política alimentaria dirigida a niños y jóvenes en situación de vulnerabilidad, que asisten a establecimientos educativos de gestión estatal. Actualmente se alcanza a 2.467.580 niños en la Provincia, de los cuales más de 16.000 corresponden al distrito. https://t.co/iRHmMgCH5p</t>
  </si>
  <si>
    <t>🍽️ Actualmente el SAE alcanza a más de 2.400.000 niños y niñas en la Provincia y casi 4.000 corresponden a Rivadavia. https://t.co/BVi1vTpMsh</t>
  </si>
  <si>
    <t>Ya han dado comienzo las actividades programadas en la Semana del Comercio con la tómbola en la plaza de la Constitución, animación en las calles y degustaciones de cava. https://t.co/jZM9Pb6hOx</t>
  </si>
  <si>
    <t>Representante de Corea del Sur:gafas especializadas con visor táctico y ojo cerrado
Representante de Serbia: gafas protectoras, cascos antirruido y un ojo cerrado
Turquía: un tío con sus gafas de casa, los dos ojos abiertos y una mano en el bolsillo. Y ha ganado una medalla de https://t.co/zZiOgGGKHE</t>
  </si>
  <si>
    <t>Yo en la tombola del pueblo tengo más pintas de tirador que este hombre😂</t>
  </si>
  <si>
    <t>dios no castiga dos veces (m'ha tocat una rana de peluche en la tómbola)</t>
  </si>
  <si>
    <t>Presidente @GabrielBoric, cuando podrá hacer cambios en la educación? Xq esta nefasta desde que se cambió con la tómbola, esta la escoba con la educación, donde están los derechos de los niños? Que mezclan delincuentes con niños que si quieren estudiar. Ya no hay inclusión.</t>
  </si>
  <si>
    <t>@Mtlch50 @pebarrero @psoe_m @psoelatina @PSOEMadridAyto @walterscansetti @_DiegoMoreno @CCTreceRosas @rojo_cherry @Catitaidola @Manlio @AnabelCresV El título de periodista te lo dieron en la tómbola!? La historia es falsa. Hay que leer más. Te regalo la REAL a ver si espabilamos!! Periodista no, esclava del régimen.. https://t.co/gVHx997mXd</t>
  </si>
  <si>
    <t>@Miquel_R @JimenezYoneli Comparas a un refugiado con que falsas Ongs trasladen ex presidiarios a Europa? El título de periodista te lo dieron en la tómbola!? 🤦🏻</t>
  </si>
  <si>
    <t>🔴Ahora | Decano de #EducaciónUC Alejandro Carrasco expone en la Comisión Especial Investigadora sobre Sistema de Educación Pública de la Cámara de Diputadas y Diputados de Chile. 
👉🏼Sigue la transmisión aquí: https://t.co/pnuB77AjxP https://t.co/QgYFkhbB85</t>
  </si>
  <si>
    <t>Sobre Sistema de Admisión Escolar: https://t.co/KNtWOxzjKD</t>
  </si>
  <si>
    <t>@Abarra17353680 @eldiarioes Que me entere..... Los nazis de desocupa van a formar a policías "ya policías" en defensa personal.... El título de policía en la tómbola verdad. 🤣🤣🤣🤣 Joder que arte.</t>
  </si>
  <si>
    <t>Participamos de la presentación del nuevo ciclo de doble escolaridad en la EP 69. Para llevar adelante la iniciativa fue indispensable reformular el SAE que recibía este espacio. Por eso, las chicas y chicos ahora podrán desayunar, almorzar y merendar en la escuela. https://t.co/hOepSnCXx2</t>
  </si>
  <si>
    <t>Claudia Sheinbaum confirmó que la propuesta de AMLO sobre la insaculación para preseleccionar a jueces sí será incluida en la reforma judicial. Esta medida forma parte de las opciones consideradas por los diputados y se basa en las opiniones recogidas en los foros.</t>
  </si>
  <si>
    <t>Entendiéndose como Insaculacion a la Tómbola de Don Chon!!!</t>
  </si>
  <si>
    <t>Shapiro, Kelly, Walz. Vuelta a la tómbola: 
Creo que el elegido será Tim Walz. Político, ex-militar y educador.</t>
  </si>
  <si>
    <t>Este 2 de agosto comienzan las postulaciones a establecimientos educacionales a través del Sistema de Admisión Escolar 
#Iquique #Tarapacá 
https://t.co/Zh5wWKKphx</t>
  </si>
  <si>
    <t>ACABO DE VIVIR LA TOMBOLA ANTOJITO EN PERSONA</t>
  </si>
  <si>
    <t>@Scarlett_Suzuya @lorzagirl @RealidadesDiv Pues serán las únicas 2 personas de España. Obtener 1 cert de discapacidad superior al 33% (la q sirve para las empresas o para obtener ventajas fiscales) está muy baremado y no lo regalan en la tómbola. Lo d usar 1 certificado d otra persona, en 1 contrato laboral es imposible.</t>
  </si>
  <si>
    <t>@antoniobanos_ Es com la tómbola de la festa major, siempre toca!!!</t>
  </si>
  <si>
    <t>@infarruco @SilexRose @Chaarrllyyy Y que sabrás tu, que para tener una carrera en psicología deberías conocer antes un poco a alguien antes de decir tremenda mierda, ya me joderia ser tu paciente aunque lo mismo el título te lo has sacado en la tómbola.</t>
  </si>
  <si>
    <t>@biobio Obvio si la tómbola mezclo estudiantes buenos con delincuentes, bachelet ctm</t>
  </si>
  <si>
    <t>Meritocracia.
"La abogada del Estado que se querella contra Peinado, la tercera peor de su promoción"
https://t.co/qfx74ZeaQH</t>
  </si>
  <si>
    <t>De las peores , también le dan en el título en la tombola o tiene  parecido con Irene Montero?</t>
  </si>
  <si>
    <t>@kanano76 @antofaopina2022 @cmds_antof Pero ahora con esto de la "inclusión" ya no existen los colegios "especiales" todos entran a la gran idea de la tómbola a no ser que tengas las $$ y puedas elegir, pero no todos tienen ese privilegio</t>
  </si>
  <si>
    <t>¡Ya comenzó el periodo de postulación al proceso de Admisión Escolar! 
Postula a tu hija o hijo en https://t.co/sOEIEN9B4s hasta el 30 de agosto a las 14:00 hrs.
Ingresa al menos seis establecimientos de tu interés. https://t.co/KK3AEVlQPH</t>
  </si>
  <si>
    <t>Hasta el 30 de agosto se puede postular a colegios maulinos por Sistema de Admisión Escolar https://t.co/J8k0djYd92</t>
  </si>
  <si>
    <t>Parte postulación 2025 a establecimientos maulinos por Sistema de Admisión Escolar https://t.co/JtsBv8Q5GL</t>
  </si>
  <si>
    <t>La tómbola judicial | El Universal @homsricardo https://t.co/OyA9TuaWI8</t>
  </si>
  <si>
    <t>@navarra_com ¿hablas de la tómbola de Cáritas?</t>
  </si>
  <si>
    <t>@Butaca131 @navarra_com Si tu supieras donde va el dinero de la tómbola de caritas</t>
  </si>
  <si>
    <t>Yo en un pueblo en mitad de la nada sacando peluches en la Tómbola Paquito https://t.co/DTEOxyoOSm</t>
  </si>
  <si>
    <t>@Lattecast @saludand Yo tenía cita telefónica hoy a las 11:40 con el SAE. ¿A ti te han llamado? Porque yo sigo esperando.
Avisa cuando nos organicemos para quemar cosas.</t>
  </si>
  <si>
    <t>la tómbola de la justicia...
si pensaban que la elección popular de jueces y magiatwdosn ya era algo muy bajo, ruín y maquiavélico, ahora vienen los "SORTEROS DE LA SUERTE"
¡Echa un vistazo al vídeo de Abejorro Media! #TikTok https://t.co/Dmo86fNMtT</t>
  </si>
  <si>
    <t>El SAE renueva 90 puntos de empleo y acerca sus servicios digitales a los pequeños municipios. https://t.co/3t8KMB5xrx @SAEmpleo @EmpleoJunta @JaenJunta</t>
  </si>
  <si>
    <t>¡Nuevas facilidades en el #SAE para ti! Ahora puedes:
▶ Escoger tu cita en cualquier oficina
▶ Consultar y actualizar tu demanda de empleo online
▶ Acreditarte con CLAVE para acceder a tu perfil
▶ Realizar tu primera inscripción desde la APP
#AtenciónAlCiudadano #SAE https://t.co/LYiOU9nl6Z</t>
  </si>
  <si>
    <t>📊 El SAE presenta el informe de diagnóstico, clave para diseñar la estrategia del II Plan de Empleo dirigido a más de 161.000 personas . Solo el 20,15% de las personas con discapacidad están empleadas.
#inclusión #discapacidad #empleo #Andalucía https://t.co/B2ldPzcXfE</t>
  </si>
  <si>
    <t>🎉 El SAE lanza la primera ‘Guía Interactiva de Empleo para Personas Migrantes’ en Andalucía. 
Diseñada en Granada con inteligencia artificial, esta herramienta facilita el acceso a recursos públicosenfocados a mejorar la empleabilidad
🔗 Accede aquí: https://t.co/AHvipm107Q https://t.co/FT667NKIqZ</t>
  </si>
  <si>
    <t>¡Nuevas facilidades en el #SAE para ti! Ahora puedes:
▶ Escoger tu cita en cualquier oficina
▶ Consultar y actualizar tu demanda de empleo online
▶ Acreditarte con CLAVE para acceder a tu perfil
▶ Realizar tu primera inscripción desde la APP
#AtenciónAlCiudadano #SAE https://t.co/hSKe3Bmcby</t>
  </si>
  <si>
    <t>😴💤 https://t.co/ByTWDGOGx6</t>
  </si>
  <si>
    <t>@IreneAguiarG XY, pues ya está, fin de la discusión, aunque se le quiera dar vuelta a la tómbola una y otra vez.</t>
  </si>
  <si>
    <t>Voy a ser juez olímpico de boxeo solo me falta saber la tómbola donde las regalan</t>
  </si>
  <si>
    <t>Conocé los resultados de la Quiniela y la Tómbola vespertina y nocturna del miércoles 31 de julio de 2024 https://t.co/C7bnScheH5</t>
  </si>
  <si>
    <t>Conocé los resultados de la Quiniela y la Tómbola vespertina y nocturna del lunes 5 de agosto de 2024 https://t.co/bUwx6wkOxR</t>
  </si>
  <si>
    <t>Conocé los resultados de la Quiniela y la Tómbola vespertina y nocturna del jueves 1° de agosto de 2024 https://t.co/nrvtyuRnNF</t>
  </si>
  <si>
    <t>VIDEO| Tutorial paso a paso para postular a su estudiante al Sistema de Admisión Escolar (SAE) https://t.co/pbVROgRnBK #ElDesconcierto</t>
  </si>
  <si>
    <t>Bravo y Martínez piden tramitar proyecto que elimina el SAE https://t.co/md9PDusdLO</t>
  </si>
  <si>
    <t>@Mineduc holi si van a postular al mineduc con el sae haganlo desde una pestaña incognita, así pesca la página :]</t>
  </si>
  <si>
    <t>La plataforma del Sistema de Admisión escolar y anótate en la lista son las medidas más neoliberales desde los semáforos de Lavin, pero ustedes no están listos para esa conversación</t>
  </si>
  <si>
    <t>@MrsVanBuren Eso también aplica para los niños que tienen que recorrer más de 20km para llegar a su colegio gracias a la admisión escolar nueva. Colegios que fueron afectados, sin techumbres. Las políticas laborales son las malas porque no existe sentido común</t>
  </si>
  <si>
    <t>Sistema de Admisión Escolar (SAE): Los mitos y verdades de la plataforma de postulación a colegios https://t.co/7I6TgeWOjo https://t.co/xdxnAHPV0D</t>
  </si>
  <si>
    <t>Comenzó proceso de postulación a colegios por el Sistema de Admisión Escolar https://t.co/tBca9xzUws https://t.co/mtGGMR9lkK</t>
  </si>
  <si>
    <t>La reducción de la ratio de alumnos por clase mejora el aprendizaje de los alumnos, incrementando su rendimiento académico y reduciendo también la probabilidad de repetir curso https://t.co/E69t1E0YCI https://t.co/eyw0cirTu2 https://t.co/JaZ1FxK4wz</t>
  </si>
  <si>
    <t>Comienzan las postulaciones a establecimientos educacionales a través del Sistema de Admisión Escolar https://t.co/gjFygMKa2d a través de @radiopaulina</t>
  </si>
  <si>
    <t>Un dato para los apoderados 
Admisión escolar https://t.co/XAEmG8pieQ</t>
  </si>
  <si>
    <t>Yo estuve en la finca donde grabaron el primer video de Karol jé 
Cuando el manager era José Gaviria 
Confirmo ajjajajajja
Y silvestre canto la colegiala en la tómbola de mi colegio 😂</t>
  </si>
  <si>
    <t>@T13 Es necesarip poner mano dura ya para tantos delincuentes y basta de la tombola de Bachelet.Deben hechar a esas ....de los colegios,son manzanas mas q podridas.</t>
  </si>
  <si>
    <t>@AlanBarrosoA Tenias que haber elegido la Chochona en la tómbola de tu pueblo, en lugar del titulo de "politólogue". Esto te viene muy grande y más, cuando intentas imitar a los mayores.</t>
  </si>
  <si>
    <t>Sistema de Admisión Escolar (SAE): Los mitos y verdades de la plataforma https://t.co/fHG6cP0Gmd</t>
  </si>
  <si>
    <t>@marioofdz3 se sacó el curso de entrenadora en la tómbola</t>
  </si>
  <si>
    <t>Que pecao de la gente de esta generación, en mi tiempo a los colegios nos llevaban a Balvin, Maluma, Golpe a Golpe, al Broko y a los niños de hoy en día les llevan a Cris Valencia.</t>
  </si>
  <si>
    <t>Sistema de Admisión Escolar (SAE): Los mitos y verdades de la plataforma de postulación a colegios https://t.co/IT1GLH2hlP https://t.co/8Eok0YHQjh</t>
  </si>
  <si>
    <t>@antofaopina2022 @cmds_antof La tómbola de Bachelet..!!! Ha destruido la educación</t>
  </si>
  <si>
    <t>Ya me llama Rapero Pero hasta el de la Tómbola Antojitos, ahora sí que sí. @kiroleros https://t.co/QnQyDHctnr</t>
  </si>
  <si>
    <t>@Manu14_JB "RaperoPero", así fuiste bautizado en Kiroleros y así triunfas en la vida y en la Tómbola Antojitos.
Te ha tocado un gran premio... y ahora tienes una gran responsabilidad. #GranPoderGranResponsabilidad https://t.co/hHoWGnIfHv</t>
  </si>
  <si>
    <t>Ayer vimos un espectáculo de drones, luego el concierto de Ana Mena, me compré una granizada, mi amiga me consiguió un peluche de Kuromi en la tómbola, y comí palomitas, noche redonda en mi opinión 🪩</t>
  </si>
  <si>
    <t>Este viernes comienzan las postulaciones al Sistema de Admisión Escolar 2025: ¿Cómo postular?
https://t.co/GY5FFgmec9</t>
  </si>
  <si>
    <t>Sistema de Admisión Escolar 2025: Entrega de resultados y otras fechas claves del SAE
https://t.co/n5jsuK49bz</t>
  </si>
  <si>
    <t>Senadores de izquierda y derecha impulsan proyecto de ley para modificar el Sistema de Admisión Escolar: ¿De qué se trata? https://t.co/AyM0TAodPz</t>
  </si>
  <si>
    <t>@Mineduc No funciona el sistema de admisión escolar 🤦‍♀️</t>
  </si>
  <si>
    <t>@Garcimonero @10DMayo1 No sé necesita ser ingeniero para hacer obras ni construir puentes..... Cualquier puede.....
Así como quieren que sean jueces y magistrados
Solo que ponga tu nombre en la tómbola https://t.co/Sr0x9nF8WQ</t>
  </si>
  <si>
    <t>#SENAPREDBiobio Se declara #Alerta Roja para la comuna de Arauco por desborde.
https://t.co/W39Ui5Zkk3 https://t.co/4NqDbuyq8T</t>
  </si>
  <si>
    <t>Ojo este es el momento en que debe preparar la salida de su casa. Tenga listo sus bolsos, elementos básicos, animales y si puede salga ahora. Cuando llega el SAE debe salir de inmediato.👇</t>
  </si>
  <si>
    <t>La tómbola judicial https://t.co/3szjhxZ9i8 via @El_Universal_Mx</t>
  </si>
  <si>
    <t>Pues sí, así https://t.co/b03DXU6lmkí estamos, "così sto" no  Eccoci qui, no. [molto meglio, certo direbbe l'altro,  y  el otro y el de más allá y la tómbola en dónde tal vez me tocasen y no me enteré.] ¡Vaya!</t>
  </si>
  <si>
    <t>La columna FOCUS DE @homsricardo //
La tómbola judicial
      Vía.    @El_Universal_Mx https://t.co/VLEoG2FrKK</t>
  </si>
  <si>
    <t>@ClaudioXGG De todas las pendejadas que ha dicho y dice todos los días Amloco desde su farsa mañanera, lo de la tómbola de los jueces es lo más idiota y estupido que he escuchado. La degradación de la clase política, y además le aplauden. Y ya no se diga d los medios de comunicación q avalan</t>
  </si>
  <si>
    <t>La tómbola judicial, de @homsricardo 
https://t.co/l5XFVSPcyy vía @El_Universal_Mx</t>
  </si>
  <si>
    <t>Hoy comenzó el proceso de Admisión Escolar 2025. 
En ese sentido, destaco la mirada de Macarena Hernández, investigadora del Centro de Justicia Educacional (@justiciaeduc) de la @ucatolica, al resaltar que el SAE «democratiza la información de los establecimientos a las familias» https://t.co/phclxtpXxG</t>
  </si>
  <si>
    <t>@nico_cataldo @justiciaeduc @ucatolica @Mineduc Me llama la atención que no se pida la opinión y orientación de quienes trabajamos en los establecimientos educacionales, y que convivimos con el SAE año tras año.  En variados aspectos de la educación es así, lo que debiese cambiar para mejorar muchos aspectos.</t>
  </si>
  <si>
    <t>📣 El viernes 2 de agosto comenzó el periodo regular de postulación a colegios a través del Sistema de Admisión Escolar (#SAE), cuya evidencia muestra que más del 80% de los y las postulantes quedan en sus primeras preferencias de establecimiento. 🏫 (1/2) https://t.co/szokfpSKcY</t>
  </si>
  <si>
    <t>¡Piden poner fin a la "tòmbola" escolar!
--Proyecto duerme en el Congreso por mas de un año.
--Entre otras cosas permite la selección en base a distintos criterios, entre ellos el rendimiento académico de los estudiantes.   https://t.co/oC3mk8ugov</t>
  </si>
  <si>
    <t>Sistema de Admisión Escolar (SAE): Los mitos y verdades de la plataforma de postulación a colegios https://t.co/DiAY1yEEJA https://t.co/ts6rwv7sfy</t>
  </si>
  <si>
    <t>@RicardoBSalinas Que se esfuerze tío richi como tu cundo tu primo le. Echo. Ganas a las concesiones de. Tele y te. Ganaste la. Tuya en la. Tómbola</t>
  </si>
  <si>
    <t>@RaulSolisUE "No,yo creo que todos los medallistas  lo consiguen  jugando a la tómbola "</t>
  </si>
  <si>
    <t>@Pedro_Torrijos Lo mismo he pensado, en la tómbola</t>
  </si>
  <si>
    <t>@DrAntorse El artículo 197 constitucional.</t>
  </si>
  <si>
    <t>@SoyLyn05 #NarcoPresidenteAMLO666 
#NarcoPresidentaClaudia 
Y lo que falta, y la tómbola de Claudia pronostica que líneas del metro tendrán problemas mañana. https://t.co/jvRHnEDut3</t>
  </si>
  <si>
    <t>@CarolinaDarias @sanchezcastejon Tuve q mirar si era parodia porque están regalando medallitas de esas de la tómbola a todos ustedes que no están haciendo nada 😳y resulta que a los que hicieron un Docu circo para humillar más a la mujer, maltratada a sus actores y a los políticos de turno le toca medallitas😳⚖️</t>
  </si>
  <si>
    <t>@rodolfo_garciac la peor de todas, Merino en Vitacura, la que se ganó el cupo en la tómbola de la derechita cobarde y corrupta, pese a ser de otra comuna, y, como era de esperar, lo ha sido pésimo como alcalde</t>
  </si>
  <si>
    <t>@CarlaTornasol se ganó el cargo en la tómbola de la derechita cobarde y corrupta, nunca debió ser candidato en esta comuna, nunca ha vivido acá y no sabe nada de las necesidades de los vecinos</t>
  </si>
  <si>
    <t>La tómbola judicial, @homsricardo https://t.co/mDvqoVA9Ah</t>
  </si>
  <si>
    <t>Sistema de Admisión Escolar: ¿Hasta cuándo hay plazo para postular y cómo realizarla? https://t.co/rMAlwZyjQU</t>
  </si>
  <si>
    <t>@biobio La tómbola de la Bachelet solo hizo mezclar a simios 🦧 con rabia, con alumnos que serán reales aportes al país… 
Pero ellos con su cagá de ideología creen que la están haciendo de oro…
Cobarde qls…!!! desahogas tu inseguridad, golpeando a los más débiles…🇨🇱🇨🇱🇨🇱</t>
  </si>
  <si>
    <t>Jajajajajajaja 😂
Literalmente como experto en la materia puedo decir que @antesandres tiene razón: V de Vendetta no va de política; va de mis cojones morenos echando perras en la tómbola de la feria de Pedro Muñoz.</t>
  </si>
  <si>
    <t>#Jujuy Repasá los resultados de la Tómbola de la jornada y enterate si tuviste suerte
https://t.co/zUAjX7w2ww</t>
  </si>
  <si>
    <t>#Jujuy Repasá los resultados de la Tómbola de la jornada y enterate si tuviste suerte https://t.co/ljn12sAoCK</t>
  </si>
  <si>
    <t>Además, sumó una reforma educacional que destrozó la educación pública, niveló hacia abajo y le quitó los patines al resto. La Ley de Inclusión y la tómbola, borraron el derecho de los padres a elegir el establecimiento de sus hijos y permitieron que en las salas de clases, https://t.co/MPmXJd3pRS</t>
  </si>
  <si>
    <t>RT/ La Hermandad del Rocío de Camas pone a disposición del público "pepones" para contribuir con la tómbola  
https://t.co/jOoy3hQ7xp
@HdadRocioCamas @AyuntaCamas @Victor_AvilaM @MarianOlid 
#Camas #HermandadDelRocío #Pepones #Feria #FiestasPatronales #Tómbola #Donativos</t>
  </si>
  <si>
    <t>La Hermandad del Rocío de Camas pone a disposición del público "pepones" para contribuir con la tómbola  
https://t.co/jOoy3hPzHR
@HdadRocioCamas @AyuntaCamas @Victor_AvilaM @MarianOlid 
#Camas #HermandadDelRocío #Pepones #Feria #FiestasPatronales #Tómbola #Muñecos #Donativos</t>
  </si>
  <si>
    <t>Sistema de Admisión Escolar 2025: así funciona la plataforma que determina el colegio que le corresponde a cada estudiante en Chile https://t.co/CDurSpbbkO</t>
  </si>
  <si>
    <t>Todos los conductores de autobus franceses han conseguido el carnet en la tómbola, al parecer</t>
  </si>
  <si>
    <t>@DeniseDresserG @lopezobrador_ Será La tómbola que le dió el premio de dipu pluri  federal a Sergio Mayer</t>
  </si>
  <si>
    <t>🔵 #REGION | SISTEMA DE ADMISIÓN ESCOLAR (SAE): LOS MITOS Y VERDADES DE LA PLATAFORMA DE POSTULACIÓN A COLEGIOS
Más información aquí 👇
https://t.co/1aDe1TasdG</t>
  </si>
  <si>
    <t>🔵 #REGION | 102 PUNTOS DE APOYO SE HAN DISPUESTO EN LA REGIÓN PARA ACOMPAÑAR A LAS FAMILIAS EN EL PROCESO DE POSTULACIÓN DEL SISTEMA DE ADMISIÓN ESCOLAR 2025
Más información aquí 👇
https://t.co/o7970crcoA</t>
  </si>
  <si>
    <t>#Región: Disponen 102 puntos de apoyo en la región para acompañar proceso de postulación del Sistema de Admisión Escolar 2025 vía @LaLiguaNoticias 
https://t.co/4kI98ADYhb</t>
  </si>
  <si>
    <t>La gran fiesta donde se degustan cientos de pimientos gratis y se juega a la tómbola en Sanlúcar
https://t.co/N30Q5wDJ6w</t>
  </si>
  <si>
    <t>Sistema de admisión escolar 2025: Cómo, cuándo y dónde postular https://t.co/9Gmlx8GQa3</t>
  </si>
  <si>
    <t>SISTEMA DE ADMISIÓN ESCOLAR (SAE): SECREDUC ENTREGA CONSEJOS A FAMILIAS QUE ESTE AÑO DEBEN POSTULAR A UN ESTABLECIMIENTO EDUCATIVO
https://t.co/4fC8gJYsDW</t>
  </si>
  <si>
    <t>Alumno con TEA queda grave tras recibir brutal agresión en liceo de Antofagasta: fue golpeado hasta quedar inconsciente https://t.co/DUJFUipJ5A</t>
  </si>
  <si>
    <t>@Reforma LO DE LA TÓMBOLA SERÁ EN EL CASO DE PROSPECTOS CON LAS MISMAS CALIFICACIONES Y CONTEO DE VOTOS, NO QUE  SEA EL SISTEMA A SEGUIR, NO DESVIRTUEN LA VERDADERA INFORMACIÓN, Y NO SERÁ UN HECHO , FUE UNA IDEA DE MOMENTO.</t>
  </si>
  <si>
    <t>Si tienes que hablar/convencer a alguien de si prefiere que le toque el premio gordo de la tómbola o que le toque el premio gordo del euromillón, mal vamos....</t>
  </si>
  <si>
    <t>🎙️ @NachoJP_: “Si Nico Williams tiene dudas, Deco debería ponerse en contacto con él”
🔴 EN DIRECTO: https://t.co/NeXjUVCN6Y https://t.co/hWMP9QhYp2</t>
  </si>
  <si>
    <t>@antofaopina2022 @cmds_antof Aquí el problema no es la exclusión, el problema es que con el SAE los colegios se llenaron de delincuentes y la ley los ampara porque son “niños”.</t>
  </si>
  <si>
    <t>@Mictia00 Q una grajea misteriosa valga 6k no se yo eh, la pasaría a la de 3k me parece demasiado poco para 6k, el de la tombola de 6k y si mejor q sean 2 boletos? Por 6k y q te caiga en un triste boleto nambre, yo me mato supongo q sera un premio "malo" pero minimo no tan malo para 6k</t>
  </si>
  <si>
    <t>@Ellioctop todas las ruletas tienen cosas mas buenas de su precio y su contraparte mala, los precios estan puestos y claramente pensados. Por eso es una ruleta. l
La tombola de 6k tiene mas posibilidad de entrada a la tombola. y es un premio temporal porque es de máximo 10 cupos.</t>
  </si>
  <si>
    <t>A esa sí la sacaron de la tómbola</t>
  </si>
  <si>
    <t>En la tómbola del mundo
Yo he tenido mucha suerte
Porque todo mi cariño
A tu número jugué… https://t.co/nEweFlARdm</t>
  </si>
  <si>
    <t>@claudiaaldanas Sra conciencia de clase, cuentanos mejor si con tus hijes hiciste la fila con la tómbola o te la saltaste? 🫠🫠 https://t.co/xe22X2pJ5b</t>
  </si>
  <si>
    <t>@Capichi__Libre @elindepcom @CFriasCruz Claro, a Pedro le está tocando cada vez más fuerte un suplicatorio al TS en la tómbola de las imputaciones.</t>
  </si>
  <si>
    <t>A Pedro le está tocando cada vez más fuerte un suplicatorio al TS en la tómbola de las imputaciones.</t>
  </si>
  <si>
    <t>¡Hoy 2 de agosto, a las 9:00 horas, comienza el proceso de #AdmisiónEscolar 2025! 
Postula a tu hija o hijo en https://t.co/Gj4scT7ik3 hasta el 30 de agosto a las 14:00 hrs. 
Ingresa al menos seis establecimientos de tu interés. https://t.co/kHCjBPtw5M</t>
  </si>
  <si>
    <t>@Mineduc Postula a 6 porque es un asco la tómbola! Ni siquiera podemos elegir el que por cercanía nos convenga</t>
  </si>
  <si>
    <t>@larroqueandres Excelente programa el SAE y su implementación va en buen camino</t>
  </si>
  <si>
    <t>@elpuntavui Guaita quina cara de bones samaritanes que fan, semblen aquelles xoxones que hi ha a la tómbola ,</t>
  </si>
  <si>
    <t>Es fascinante ver a la derecha preocupada por la solidaridad fiscal en Cataluña mientras defienden la política fiscal de Ayuso que baja los impuestos a los más ricos.</t>
  </si>
  <si>
    <t>PERDON gracias x el sae furro https://t.co/u3rJ9A9eFd</t>
  </si>
  <si>
    <t>Sistema de Admisión Escolar (SAE): Mineduc entrega consejos a familias que este año deben postular a un establecimiento educativo https://t.co/7PHNW6VFCm a través de @PrensaEvento</t>
  </si>
  <si>
    <t>@XochitlGalvez LA TÓMBOLA LE ESTE SANGRANDO LA BOCA</t>
  </si>
  <si>
    <t>@biobio Las consecuencias de cambiar la selección por la tómbola. Ahora cualquier delincuente entra a un liceo, arma tomas, capea clases, agrede a otros compañeros, asalta, etc.
La selección permitía que jovenes con vocación y estudiosos accedieran a la educación, no lacras de suburbios</t>
  </si>
  <si>
    <t>"La tómbola judicial" #Opinión de @homsricardo ✍️ 
👉 https://t.co/SOi5VOYHf3 https://t.co/tvCjzShwWF</t>
  </si>
  <si>
    <t>La columna FOCUS DE @homsricardo //
La tómbola judicial
      Vía.    @El_Universal_Mx https://t.co/bmxP5w4iA5</t>
  </si>
  <si>
    <t>@biobio gracias bachelett por el invento de la tombola y mesclar peras con manzanas</t>
  </si>
  <si>
    <t>politica</t>
  </si>
  <si>
    <t>melipilla talagante</t>
  </si>
  <si>
    <t>paris2024 parisrtve4a</t>
  </si>
  <si>
    <t>sistemadeadmisiónescolar</t>
  </si>
  <si>
    <t>regióndelosríos</t>
  </si>
  <si>
    <t>contingenciachile</t>
  </si>
  <si>
    <t>tmax560 tmaxalicante</t>
  </si>
  <si>
    <t>sistemadeadmisiónescolar sae mitosyverdades postulacióncolegios educación</t>
  </si>
  <si>
    <t>tiktok</t>
  </si>
  <si>
    <t>partidopopularcorrupto tiktok</t>
  </si>
  <si>
    <t>admisiónescolar2025</t>
  </si>
  <si>
    <t>admisiónescolar</t>
  </si>
  <si>
    <t>pitutos madurotiranodictador</t>
  </si>
  <si>
    <t>tesirve</t>
  </si>
  <si>
    <t>inoticiascl noticias</t>
  </si>
  <si>
    <t>especiales</t>
  </si>
  <si>
    <t>iquique altohospicio nuevaeducaciónpública</t>
  </si>
  <si>
    <t>adano</t>
  </si>
  <si>
    <t>pinosgenil</t>
  </si>
  <si>
    <t>chile</t>
  </si>
  <si>
    <t>nomasadmisionportombola</t>
  </si>
  <si>
    <t>educación</t>
  </si>
  <si>
    <t>sistemadeadmisiónescolar educación profesores mineduc</t>
  </si>
  <si>
    <t>entrevista nuestrapautaam</t>
  </si>
  <si>
    <t>leyantibullying</t>
  </si>
  <si>
    <t>valdiviacl</t>
  </si>
  <si>
    <t>educaciónuc</t>
  </si>
  <si>
    <t>iquique tarapacá</t>
  </si>
  <si>
    <t>sae atenciónalciudadano sae</t>
  </si>
  <si>
    <t>inclusión discapacidad empleo andalucía</t>
  </si>
  <si>
    <t>granpodergranresponsabilidad</t>
  </si>
  <si>
    <t>senapredbiobio alerta</t>
  </si>
  <si>
    <t>sae</t>
  </si>
  <si>
    <t>narcopresidenteamlo666 narcopresidentaclaudia</t>
  </si>
  <si>
    <t>jujuy</t>
  </si>
  <si>
    <t>camas hermandaddelrocío pepones feria fiestaspatronales tómbola donativos</t>
  </si>
  <si>
    <t>camas hermandaddelrocío pepones feria fiestaspatronales tómbola muñecos donativos</t>
  </si>
  <si>
    <t>region</t>
  </si>
  <si>
    <t>región</t>
  </si>
  <si>
    <t>opinión</t>
  </si>
  <si>
    <t>http://www.sistemadeadmisionescolar.cl https://youtu.be/beu4FjEJY2Y?si=1Fv1MLUcQPKy601h</t>
  </si>
  <si>
    <t>https://blog.funcas.es/los-nuevos-datos-sobre-el-numero-de-alumnos-por-docente-en-espana-y-su-efecto-en-el-aprendizaje/ https://papers.ssrn.com/sol3/papers.cfm?abstract_id=3719762</t>
  </si>
  <si>
    <t>elarsenal.net</t>
  </si>
  <si>
    <t>adnradio.cl</t>
  </si>
  <si>
    <t>radioagricultura.cl</t>
  </si>
  <si>
    <t>com.mx</t>
  </si>
  <si>
    <t>sistemadeadmisionescolar.cl</t>
  </si>
  <si>
    <t>g5noticias.cl</t>
  </si>
  <si>
    <t>preludioradio.cl</t>
  </si>
  <si>
    <t>chillanonline.cl</t>
  </si>
  <si>
    <t>radioprensa.cl</t>
  </si>
  <si>
    <t>cadenaser.com</t>
  </si>
  <si>
    <t>diarioelranco.cl</t>
  </si>
  <si>
    <t>contingenciachile.cl</t>
  </si>
  <si>
    <t>latercera.com</t>
  </si>
  <si>
    <t>meganoticias.cl</t>
  </si>
  <si>
    <t>bionoticias.cl</t>
  </si>
  <si>
    <t>portaleduca.cl</t>
  </si>
  <si>
    <t>tiktok.com</t>
  </si>
  <si>
    <t>youtube.com</t>
  </si>
  <si>
    <t>x.com</t>
  </si>
  <si>
    <t>sistemadeadmisionescolar.cl youtu.be</t>
  </si>
  <si>
    <t>diariosol.cl</t>
  </si>
  <si>
    <t>elpueblodeceuta.es</t>
  </si>
  <si>
    <t>24horas.cl</t>
  </si>
  <si>
    <t>bit.ly</t>
  </si>
  <si>
    <t>pnt.cl</t>
  </si>
  <si>
    <t>fmdos.cl</t>
  </si>
  <si>
    <t>eldesconcierto.cl</t>
  </si>
  <si>
    <t>lafontana.cl</t>
  </si>
  <si>
    <t>cutlly.com</t>
  </si>
  <si>
    <t>com.ar</t>
  </si>
  <si>
    <t>lacuarta.com</t>
  </si>
  <si>
    <t>vinetur.com</t>
  </si>
  <si>
    <t>mineduc.cl</t>
  </si>
  <si>
    <t>desdepuebla.com</t>
  </si>
  <si>
    <t>eitb.eus</t>
  </si>
  <si>
    <t>antofagastaonline.cl</t>
  </si>
  <si>
    <t>reduca.cl</t>
  </si>
  <si>
    <t>radionuevomundo.cl</t>
  </si>
  <si>
    <t>instagram.com</t>
  </si>
  <si>
    <t>theobjective.com</t>
  </si>
  <si>
    <t>chilevision.cl</t>
  </si>
  <si>
    <t>youtu.be</t>
  </si>
  <si>
    <t>loperadigital.com</t>
  </si>
  <si>
    <t>radioudec.cl</t>
  </si>
  <si>
    <t>ift.tt</t>
  </si>
  <si>
    <t>olimerca.com</t>
  </si>
  <si>
    <t>elresumen.cl</t>
  </si>
  <si>
    <t>radiofestival.cl</t>
  </si>
  <si>
    <t>itvpatagonia.com</t>
  </si>
  <si>
    <t>tinyurl.com</t>
  </si>
  <si>
    <t>elreporterodeiquique.com</t>
  </si>
  <si>
    <t>radiolautarotalca.cl</t>
  </si>
  <si>
    <t>amnoticias.cl</t>
  </si>
  <si>
    <t>campinadigital.me</t>
  </si>
  <si>
    <t>genially.com</t>
  </si>
  <si>
    <t>com.uy</t>
  </si>
  <si>
    <t>ladiscusion.cl</t>
  </si>
  <si>
    <t>pacificotelevisionhd.cl</t>
  </si>
  <si>
    <t>vlnradio.cl</t>
  </si>
  <si>
    <t>funcas.es ssrn.com</t>
  </si>
  <si>
    <t>radiopaulina.cl</t>
  </si>
  <si>
    <t>paislobo.cl</t>
  </si>
  <si>
    <t>zona11aysen.cl</t>
  </si>
  <si>
    <t>encancha.cl</t>
  </si>
  <si>
    <t>senapred.cl</t>
  </si>
  <si>
    <t>vamos.as</t>
  </si>
  <si>
    <t>tiroalblanco.cl</t>
  </si>
  <si>
    <t>tehuelchenoticias.cl</t>
  </si>
  <si>
    <t>ow.ly</t>
  </si>
  <si>
    <t>aljarafeymas.com</t>
  </si>
  <si>
    <t>radiocrystal.cl</t>
  </si>
  <si>
    <t>laliguanoticias.cl</t>
  </si>
  <si>
    <t>lavozdelsur.es</t>
  </si>
  <si>
    <t>cnnchile.com</t>
  </si>
  <si>
    <t>radiopolar.com</t>
  </si>
  <si>
    <t>t13.cl</t>
  </si>
  <si>
    <t>prensaeventos.cl</t>
  </si>
  <si>
    <t>pmecklenburg rvletelier</t>
  </si>
  <si>
    <t>clausdebuen lopezobrador_</t>
  </si>
  <si>
    <t>rocha4t arturozaldivarl scjn</t>
  </si>
  <si>
    <t>juncalssolano mx_diputados</t>
  </si>
  <si>
    <t>miguelpr83 libertaddigital</t>
  </si>
  <si>
    <t>ctajadura el_pais</t>
  </si>
  <si>
    <t>gracearcosm nico_cataldo junji_chile mineduc</t>
  </si>
  <si>
    <t>denisedresserg lopezobrador_</t>
  </si>
  <si>
    <t>amparobarista mineduc agenciaeduca</t>
  </si>
  <si>
    <t>aleja_27f ely_enjoy</t>
  </si>
  <si>
    <t>puck455 butaca131 navarra_com</t>
  </si>
  <si>
    <t>alearratiam camara_cl</t>
  </si>
  <si>
    <t>antofaopina2022 cmds_antof</t>
  </si>
  <si>
    <t>srtacotilleo</t>
  </si>
  <si>
    <t>cfbadalonafutur jjavierperezr</t>
  </si>
  <si>
    <t>sergiosierratv cfhercules</t>
  </si>
  <si>
    <t>salermico phlosmonigotes jjavierperezr</t>
  </si>
  <si>
    <t>cefalopodo chtajo mitecogob</t>
  </si>
  <si>
    <t>manolo67985717 antoniomaestre</t>
  </si>
  <si>
    <t>malules7532791 rbsotomayor</t>
  </si>
  <si>
    <t>gonzavpl</t>
  </si>
  <si>
    <t>yolanda_diaz_ garciaperezmari</t>
  </si>
  <si>
    <t>alexmar03804657 mrhitchcok mcubillossigall mbachelet</t>
  </si>
  <si>
    <t>jordiwild elonmusk nicolasmaduro realdonaldtrump</t>
  </si>
  <si>
    <t>homsricardo el_universal_mx</t>
  </si>
  <si>
    <t>dlacalle pedro_casares sanchezcastejon psoe gpscongreso cristinanarbona montseminguez begonasarre patri_blanquer ferran_verdejo aliciaalvarezsc gonzalo_redondo elisagarrido</t>
  </si>
  <si>
    <t>starla__ mineduc</t>
  </si>
  <si>
    <t>unrajador jlmartinsaez</t>
  </si>
  <si>
    <t>mineduc pjudicialchile supereduc_cl</t>
  </si>
  <si>
    <t>rnuevomundo mineduc nico_cataldo</t>
  </si>
  <si>
    <t>empleojunta jaenjunta</t>
  </si>
  <si>
    <t>yomisma19710043 vanika96177525</t>
  </si>
  <si>
    <t>poropinar1 comentemostele</t>
  </si>
  <si>
    <t>pivotes_cl udd_cl</t>
  </si>
  <si>
    <t>monerohernandez ntrguadalajara monerorape</t>
  </si>
  <si>
    <t>jorgerincon_n ine inemexico</t>
  </si>
  <si>
    <t>perdigueroasp valentina_doc</t>
  </si>
  <si>
    <t>ps_martin_ _ayme</t>
  </si>
  <si>
    <t>reignofmydays infarruco chaarrllyyy</t>
  </si>
  <si>
    <t>mtlch50 pebarrero psoe_m psoelatina psoemadridayto walterscansetti _diegomoreno cctrecerosas rojo_cherry catitaidola manlio anabelcresv</t>
  </si>
  <si>
    <t>miquel_r jimenezyoneli</t>
  </si>
  <si>
    <t>abarra17353680 eldiarioes</t>
  </si>
  <si>
    <t>scarlett_suzuya lorzagirl realidadesdiv</t>
  </si>
  <si>
    <t>infarruco chaarrllyyy</t>
  </si>
  <si>
    <t>kanano76 antofaopina2022 cmds_antof</t>
  </si>
  <si>
    <t>butaca131 navarra_com</t>
  </si>
  <si>
    <t>lattecast saludand</t>
  </si>
  <si>
    <t>saempleo empleojunta jaenjunta</t>
  </si>
  <si>
    <t>garcimonero 10dmayo1</t>
  </si>
  <si>
    <t>justiciaeduc ucatolica</t>
  </si>
  <si>
    <t>nico_cataldo justiciaeduc ucatolica mineduc</t>
  </si>
  <si>
    <t>carolinadarias sanchezcastejon</t>
  </si>
  <si>
    <t>carlatornasol</t>
  </si>
  <si>
    <t>hdadrociocamas ayuntacamas victor_avilam marianolid</t>
  </si>
  <si>
    <t>capichi__libre elindepcom cfriascruz</t>
  </si>
  <si>
    <t>https://t.co/AiOH7jbu8V https://pbs.twimg.com/media/GUS0n0zWEAANino.jpg</t>
  </si>
  <si>
    <t>https://t.co/Mvw3wL1vIG https://pbs.twimg.com/media/GUONWlKWwAADL1L.jpg</t>
  </si>
  <si>
    <t>https://t.co/iTuimDjeht https://pbs.twimg.com/media/GUG4gHdXQAAIWJ6.jpg</t>
  </si>
  <si>
    <t>https://t.co/ZVj6tWL1t8 https://pbs.twimg.com/media/GT7iAd8XIAARmUD.jpg</t>
  </si>
  <si>
    <t>https://t.co/9ZVvk3gHQs https://pbs.twimg.com/ext_tw_video_thumb/1820512276106907649/pu/img/m8dDd3-Dsw0QwUcn.jpg</t>
  </si>
  <si>
    <t>https://t.co/A6IT8yACF3 https://pbs.twimg.com/media/GUE6rlDWYAAuF8I.jpg</t>
  </si>
  <si>
    <t>https://t.co/mwMMEDETi6 https://pbs.twimg.com/media/GT6tIxvW0AAXiun.jpg</t>
  </si>
  <si>
    <t>https://t.co/RjxcFQeQVQ https://pbs.twimg.com/media/GUVKBS_XMAALQL7.jpg</t>
  </si>
  <si>
    <t>https://t.co/mkrDyYfK0u https://t.co/mkrDyYfK0u https://t.co/mkrDyYfK0u https://pbs.twimg.com/media/GUPUUuOXUAAl9aW.jpg https://pbs.twimg.com/media/GUPUUuOWAAAUqNq.jpg https://pbs.twimg.com/media/GUPUdRyXUAAYe7s.jpg</t>
  </si>
  <si>
    <t>https://t.co/bMLx8oxGvl https://pbs.twimg.com/ext_tw_video_thumb/1819463158425178112/pu/img/f2CdP7ZTVDlezYFH.jpg</t>
  </si>
  <si>
    <t>https://t.co/qy7tIDvs4n https://pbs.twimg.com/tweet_video_thumb/GUJGrQ8XYAAt3J4.jpg</t>
  </si>
  <si>
    <t>https://t.co/9VQlQS8Ure https://pbs.twimg.com/tweet_video_thumb/GT-T-iiXsAACz3s.jpg</t>
  </si>
  <si>
    <t>https://t.co/VZtZLBqlub https://pbs.twimg.com/media/GUE5ihsWMAA4iLH.jpg</t>
  </si>
  <si>
    <t>https://t.co/X9J1sDToWj https://pbs.twimg.com/media/GUN2q5VXAAEznJu.jpg</t>
  </si>
  <si>
    <t>https://t.co/uLBzNYAzCl https://pbs.twimg.com/media/GT_ZmFTWAAg4CZK.jpg</t>
  </si>
  <si>
    <t>https://t.co/IiZFddJf0G https://pbs.twimg.com/media/GUASpsIXcAAtCGV.jpg</t>
  </si>
  <si>
    <t>https://t.co/O1PJ0Do5oL https://pbs.twimg.com/media/GUOZBgkWUAApQss.jpg</t>
  </si>
  <si>
    <t>https://t.co/uXwWWluyCH https://pbs.twimg.com/media/GT61gXvWQAIhnvt.jpg</t>
  </si>
  <si>
    <t>https://t.co/ehcqfK78Vy https://pbs.twimg.com/media/GUUmfrlW8AAwg9U.jpg</t>
  </si>
  <si>
    <t>https://t.co/dV9SlieaLv https://pbs.twimg.com/media/GUEdOwAX0AEHtBB.jpg</t>
  </si>
  <si>
    <t>https://t.co/otErgv6qlH https://pbs.twimg.com/media/GT_EZsaWYAA5G56.jpg</t>
  </si>
  <si>
    <t>https://t.co/PB9UbFG9L9 https://pbs.twimg.com/media/GT71HkHWUAA_ZOW.jpg</t>
  </si>
  <si>
    <t>https://t.co/CCgIcpS3T3 https://pbs.twimg.com/media/GT5GUj-XIAE61yK.jpg</t>
  </si>
  <si>
    <t>https://t.co/EFTLzBQANy https://pbs.twimg.com/media/GUEXFwcXQAAK3iB.jpg</t>
  </si>
  <si>
    <t>https://t.co/sfA0HdBUaZ https://pbs.twimg.com/media/GUDsyArW0AAfd-u.jpg</t>
  </si>
  <si>
    <t>https://t.co/J9n559nBjW https://pbs.twimg.com/media/GURTUMeW0AAWL7q.jpg</t>
  </si>
  <si>
    <t>https://t.co/bVheU5O6hz https://pbs.twimg.com/media/GT-qpWsWcAAlPBD.jpg</t>
  </si>
  <si>
    <t>https://t.co/wo4Zg8wzof https://pbs.twimg.com/media/GT5qoStW4AEUbYf.jpg</t>
  </si>
  <si>
    <t>https://t.co/nSBqnbFNTU https://pbs.twimg.com/media/GT_jXDMW8AgGZac.jpg</t>
  </si>
  <si>
    <t>https://t.co/BMR2BEGstX https://t.co/BMR2BEGstX https://t.co/BMR2BEGstX https://pbs.twimg.com/media/GUVSQd-X0AA1NM6.jpg https://pbs.twimg.com/media/GUVSRaIWkAAN7px.jpg https://pbs.twimg.com/media/GUVSSLEWMAAgd9c.jpg</t>
  </si>
  <si>
    <t>https://t.co/vaHGtRTdx6 https://pbs.twimg.com/media/GT6f_qkbEAAvnfy.jpg</t>
  </si>
  <si>
    <t>https://t.co/Nei4PO6jbd https://t.co/Nei4PO6jbd https://t.co/Nei4PO6jbd https://t.co/Nei4PO6jbd https://pbs.twimg.com/media/GT53JfrWsAET1o0.jpg https://pbs.twimg.com/media/GT53JftXEAAQyEP.jpg https://pbs.twimg.com/media/GT53JftWcAAWxUI.jpg https://pbs.twimg.com/media/GT53JfmX0AACRcW.jpg</t>
  </si>
  <si>
    <t>https://t.co/ng44RfbGu3 https://pbs.twimg.com/media/GT4FJzqWEAA8Ip8.jpg</t>
  </si>
  <si>
    <t>https://t.co/SKbbdvE2Rr https://pbs.twimg.com/media/GT9OE8bWEAAP9VJ.jpg</t>
  </si>
  <si>
    <t>https://t.co/e6q2JYLBFq https://pbs.twimg.com/media/GUPWzVhWkAAPw6j.jpg</t>
  </si>
  <si>
    <t>https://t.co/t5MbPRpFgB https://pbs.twimg.com/media/GT8FnYJXUAAHrAR.jpg</t>
  </si>
  <si>
    <t>https://t.co/oVQCDXcWWG https://pbs.twimg.com/media/GUTN6VLWsAEVBRs.jpg</t>
  </si>
  <si>
    <t>https://t.co/yPdJFw64yd https://pbs.twimg.com/media/GUAAJ5UXoAAYvF3.jpg</t>
  </si>
  <si>
    <t>https://t.co/Ia36Pz9BSy https://pbs.twimg.com/media/GT-gzX7XgAAyxXb.jpg</t>
  </si>
  <si>
    <t>https://t.co/oiguPaj4bE https://pbs.twimg.com/media/GT-b3GIWsAEUqah.jpg</t>
  </si>
  <si>
    <t>https://t.co/PdJc3OR35z https://pbs.twimg.com/media/GUVwOPsXoAAPPb-.jpg</t>
  </si>
  <si>
    <t>https://t.co/a659CQcyjS https://pbs.twimg.com/media/GT5-uFjXsAAdEr4.jpg</t>
  </si>
  <si>
    <t>https://t.co/25XDozC3Pd https://pbs.twimg.com/media/GULyHL0WAAAw2pv.jpg</t>
  </si>
  <si>
    <t>https://t.co/8M24sA476T https://pbs.twimg.com/media/GT_dA2yWAAQvt3J.jpg</t>
  </si>
  <si>
    <t>https://t.co/5YeJmW0SQl https://pbs.twimg.com/ext_tw_video_thumb/1819387641613234177/pu/img/rLqqaVUSzrUlQ6VN.jpg</t>
  </si>
  <si>
    <t>https://t.co/MpJj3wN14o https://pbs.twimg.com/media/GT1QC8DW0AAhmCy.jpg</t>
  </si>
  <si>
    <t>https://t.co/fgS7LZoAVx https://pbs.twimg.com/media/GT4bxDwX0AA1iRi.jpg</t>
  </si>
  <si>
    <t>https://t.co/gicKMhChLE https://pbs.twimg.com/media/GUGEEGrWkAEZfpb.jpg</t>
  </si>
  <si>
    <t>https://t.co/LFPc8rt9io https://t.co/LFPc8rt9io https://pbs.twimg.com/media/GT-9EE4X0AECO8J.jpg https://pbs.twimg.com/media/GT-9EE1XgAAdCxY.jpg</t>
  </si>
  <si>
    <t>https://t.co/7LnUQ5T943 https://pbs.twimg.com/media/GUOrn-DXoAAyTXv.jpg</t>
  </si>
  <si>
    <t>https://t.co/ToWBHud89r https://pbs.twimg.com/media/GT_uY4_XcAAcZZr.jpg</t>
  </si>
  <si>
    <t>https://t.co/HjIQxLEi5F https://t.co/HjIQxLEi5F https://pbs.twimg.com/media/GT-8Lg-XkAEjaHW.jpg https://pbs.twimg.com/media/GT-8LiXXsAAxGe4.jpg</t>
  </si>
  <si>
    <t>https://t.co/1Eev3Udy5m https://pbs.twimg.com/media/GT7OhwWWoAEK4yO.jpg</t>
  </si>
  <si>
    <t>https://t.co/q8hoEzyJxD https://t.co/q8hoEzyJxD https://pbs.twimg.com/media/GT5C1yJWoAAXChX.jpg https://pbs.twimg.com/media/GT5C7OQXwAAEsjd.jpg</t>
  </si>
  <si>
    <t>https://t.co/wnzl1adKW2 https://pbs.twimg.com/media/GT6SawuXkAcd2cG.jpg</t>
  </si>
  <si>
    <t>https://t.co/8kqAugSS0i https://pbs.twimg.com/ext_tw_video_thumb/1819472677515448320/pu/img/tiuD_OIbSN7thcGQ.jpg</t>
  </si>
  <si>
    <t>https://t.co/iEuwonPqEg https://pbs.twimg.com/media/GUP0fX2WQAARGKy.jpg</t>
  </si>
  <si>
    <t>https://t.co/xSYfcFVoV8 https://pbs.twimg.com/tweet_video_thumb/GT6_bM5WEAA3iie.jpg</t>
  </si>
  <si>
    <t>https://t.co/iRHmMgCH5p https://t.co/iRHmMgCH5p https://t.co/iRHmMgCH5p https://t.co/iRHmMgCH5p https://pbs.twimg.com/media/GUOq4a9XkAAhJtC.jpg https://pbs.twimg.com/media/GUOq4a6WgAAgIx9.jpg https://pbs.twimg.com/media/GUOq4a4XYAAhABw.jpg https://pbs.twimg.com/media/GUOq4a5WIAA-oKv.jpg</t>
  </si>
  <si>
    <t>https://t.co/BVi1vTpMsh https://t.co/BVi1vTpMsh https://t.co/BVi1vTpMsh https://t.co/BVi1vTpMsh https://pbs.twimg.com/media/GT6wP_MWYAAV4Or.jpg https://pbs.twimg.com/media/GT6wP_UWEAAiVNB.jpg https://pbs.twimg.com/media/GT6wP_UXEAAI4jj.jpg https://pbs.twimg.com/media/GT6wP_XW4AA7tBb.jpg</t>
  </si>
  <si>
    <t>https://t.co/jZM9Pb6hOx https://t.co/jZM9Pb6hOx https://t.co/jZM9Pb6hOx https://t.co/jZM9Pb6hOx https://pbs.twimg.com/media/GT99MlhXEAAzlnf.jpg https://pbs.twimg.com/media/GT99MlZW4AAaBnp.jpg https://pbs.twimg.com/media/GT99MlfXsAAhWoB.jpg https://pbs.twimg.com/media/GT99MlhXcAAi1zt.jpg</t>
  </si>
  <si>
    <t>https://t.co/zZiOgGGKHE https://t.co/zZiOgGGKHE https://pbs.twimg.com/media/GT2XjLnWUAA230x.jpg https://pbs.twimg.com/media/GT2O-2CXIAAC-BQ.jpg</t>
  </si>
  <si>
    <t>https://t.co/gVHx997mXd https://pbs.twimg.com/media/GUOGplMXgAAY_IR.jpg</t>
  </si>
  <si>
    <t>https://t.co/QgYFkhbB85 https://pbs.twimg.com/media/GUOszgAWQAAcWOB.jpg</t>
  </si>
  <si>
    <t>https://t.co/KNtWOxzjKD https://pbs.twimg.com/media/GUOwm09WUAAFBEd.jpg</t>
  </si>
  <si>
    <t>https://t.co/hOepSnCXx2 https://t.co/hOepSnCXx2 https://t.co/hOepSnCXx2 https://t.co/hOepSnCXx2 https://pbs.twimg.com/media/GUOoQp6XYAACGVg.jpg https://pbs.twimg.com/media/GUOoQp6WAAA0DvB.jpg https://pbs.twimg.com/media/GUOoQqDX0AAJgX7.jpg https://pbs.twimg.com/media/GUOoQp4XUAAXHtR.jpg</t>
  </si>
  <si>
    <t>https://t.co/KK3AEVlQPH https://pbs.twimg.com/media/GUFDiC-W4AAFfU2.jpg</t>
  </si>
  <si>
    <t>https://t.co/DTEOxyoOSm https://pbs.twimg.com/media/GT6Mt3fXIAMouQc.jpg</t>
  </si>
  <si>
    <t>https://t.co/LYiOU9nl6Z https://pbs.twimg.com/ext_tw_video_thumb/1820353174110134272/pu/img/ZwwQQY54J7U3GVp9.jpg</t>
  </si>
  <si>
    <t>https://t.co/B2ldPzcXfE https://pbs.twimg.com/ext_tw_video_thumb/1819326427918954496/pu/img/CQ21PkCVZRIxWPs1.jpg</t>
  </si>
  <si>
    <t>https://t.co/FT667NKIqZ https://t.co/FT667NKIqZ https://pbs.twimg.com/media/GT994kaXUAAY6mf.jpg https://pbs.twimg.com/media/GT994vhXIAAQpf_.jpg</t>
  </si>
  <si>
    <t>https://t.co/hSKe3Bmcby https://pbs.twimg.com/ext_tw_video_thumb/1818948944463884289/pu/img/QnPjiGsbgEbHUybJ.jpg</t>
  </si>
  <si>
    <t>https://t.co/ByTWDGOGx6 https://pbs.twimg.com/media/GT7XPsNWsAANQaG.png</t>
  </si>
  <si>
    <t>https://t.co/xdxnAHPV0D https://pbs.twimg.com/media/GUKMvflXAAEeXwq.jpg</t>
  </si>
  <si>
    <t>https://t.co/mtGGMR9lkK https://pbs.twimg.com/media/GUAgJ4OWEAAX7cO.jpg</t>
  </si>
  <si>
    <t>https://t.co/JaZ1FxK4wz https://pbs.twimg.com/media/GUNSXJLWUAA6Wck.jpg</t>
  </si>
  <si>
    <t>https://t.co/XAEmG8pieQ https://pbs.twimg.com/media/GUSXz4gXcAA2oZN.jpg</t>
  </si>
  <si>
    <t>https://t.co/8Eok0YHQjh https://pbs.twimg.com/media/GULmennXkAA4NSY.jpg</t>
  </si>
  <si>
    <t>https://t.co/QnQyDHctnr https://pbs.twimg.com/ext_tw_video_thumb/1820610955216125952/pu/img/ta9IL6Atkx20ceia.jpg</t>
  </si>
  <si>
    <t>https://t.co/hHoWGnIfHv https://pbs.twimg.com/tweet_video_thumb/GUSINuSWoAA6IWq.jpg</t>
  </si>
  <si>
    <t>https://t.co/Sr0x9nF8WQ https://pbs.twimg.com/media/GT5-4R5WIAEjylw.png</t>
  </si>
  <si>
    <t>https://t.co/4NqDbuyq8T https://pbs.twimg.com/media/GT5i14AWMAA3vPD.png</t>
  </si>
  <si>
    <t>https://t.co/phclxtpXxG https://pbs.twimg.com/media/GT_ARvOWwAAfrS2.jpg</t>
  </si>
  <si>
    <t>https://t.co/szokfpSKcY https://t.co/szokfpSKcY https://pbs.twimg.com/media/GUQN6yCW4AA2gJj.jpg https://pbs.twimg.com/media/GUQN6yMXsAAY-TD.jpg</t>
  </si>
  <si>
    <t>https://t.co/ts6rwv7sfy https://pbs.twimg.com/media/GUN2W4SXgAI0Lwi.jpg</t>
  </si>
  <si>
    <t>https://t.co/jvRHnEDut3 https://t.co/jvRHnEDut3 https://pbs.twimg.com/media/GT6RzDJXkAcFkkq.jpg https://pbs.twimg.com/media/GT6STvyXkAcxoOA.jpg</t>
  </si>
  <si>
    <t>https://t.co/mDvqoVA9Ah https://t.co/mDvqoVA9Ah https://pbs.twimg.com/media/GUDqvE7W4AAp5Ya.png https://pbs.twimg.com/media/GUDqy0xXMAE75qU.png</t>
  </si>
  <si>
    <t>https://t.co/MPmXJd3pRS https://pbs.twimg.com/media/GUP__T9XUAEKOce.jpg</t>
  </si>
  <si>
    <t>https://t.co/hWMP9QhYp2 https://pbs.twimg.com/media/GT12Mt6WwAAIg1A.jpg</t>
  </si>
  <si>
    <t>https://t.co/nEweFlARdm https://pbs.twimg.com/media/GUCQQyYXcAAk6p-.jpg</t>
  </si>
  <si>
    <t>https://t.co/xe22X2pJ5b https://pbs.twimg.com/tweet_video_thumb/GUGGbKCWUAAeSlK.jpg</t>
  </si>
  <si>
    <t>https://t.co/kHCjBPtw5M https://pbs.twimg.com/media/GT71aeiWUAE2d0d.jpg</t>
  </si>
  <si>
    <t>https://t.co/u3rJ9A9eFd https://t.co/u3rJ9A9eFd https://pbs.twimg.com/media/GUP2CjoXcAE9w-2.jpg https://pbs.twimg.com/media/GUP2CjqWkAAMgVf.jpg</t>
  </si>
  <si>
    <t>https://t.co/tvCjzShwWF https://pbs.twimg.com/media/GUF1N1-XgAAQ9Gz.jpg</t>
  </si>
  <si>
    <t>photo</t>
  </si>
  <si>
    <t>video</t>
  </si>
  <si>
    <t>photo photo photo</t>
  </si>
  <si>
    <t>animated_gif</t>
  </si>
  <si>
    <t>photo photo photo photo</t>
  </si>
  <si>
    <t>photo photo</t>
  </si>
  <si>
    <t>Twitter for Android</t>
  </si>
  <si>
    <t>Twitter for iPhone</t>
  </si>
  <si>
    <t>Twitter Web App</t>
  </si>
  <si>
    <t>1745487705423622144g5_noticias</t>
  </si>
  <si>
    <t>meganoticiascl1645513211750281</t>
  </si>
  <si>
    <t>Twitter for Mac</t>
  </si>
  <si>
    <t>TweetDeck Web App</t>
  </si>
  <si>
    <t>PedroPadilla</t>
  </si>
  <si>
    <t>eldesconcierto1644033179454435</t>
  </si>
  <si>
    <t>INoticiasCL_APP_WRI</t>
  </si>
  <si>
    <t>Metricool</t>
  </si>
  <si>
    <t>dlvr.it</t>
  </si>
  <si>
    <t>Hootsuite Inc.</t>
  </si>
  <si>
    <t>Sprinklr Publishing</t>
  </si>
  <si>
    <t>1709241463165399041CHVNoticias</t>
  </si>
  <si>
    <t>IFTTT</t>
  </si>
  <si>
    <t>ElResume-v1</t>
  </si>
  <si>
    <t>1684881050353221632SAEmpleo</t>
  </si>
  <si>
    <t>ElPaisMake</t>
  </si>
  <si>
    <t>VLN Radio</t>
  </si>
  <si>
    <t>es</t>
  </si>
  <si>
    <t>qme</t>
  </si>
  <si>
    <t>ca</t>
  </si>
  <si>
    <t>12:34:58</t>
  </si>
  <si>
    <t>00:17:47</t>
  </si>
  <si>
    <t>10:48:17</t>
  </si>
  <si>
    <t>13:30:27</t>
  </si>
  <si>
    <t>10:45:57</t>
  </si>
  <si>
    <t>11:07:39</t>
  </si>
  <si>
    <t>21:06:10</t>
  </si>
  <si>
    <t>04:10:58</t>
  </si>
  <si>
    <t>18:05:22</t>
  </si>
  <si>
    <t>23:39:02</t>
  </si>
  <si>
    <t>20:50:19</t>
  </si>
  <si>
    <t>23:39:05</t>
  </si>
  <si>
    <t>15:18:54</t>
  </si>
  <si>
    <t>16:29:39</t>
  </si>
  <si>
    <t>18:57:25</t>
  </si>
  <si>
    <t>16:57:33</t>
  </si>
  <si>
    <t>15:50:02</t>
  </si>
  <si>
    <t>00:32:05</t>
  </si>
  <si>
    <t>13:40:14</t>
  </si>
  <si>
    <t>03:29:07</t>
  </si>
  <si>
    <t>19:45:59</t>
  </si>
  <si>
    <t>19:19:32</t>
  </si>
  <si>
    <t>07:50:30</t>
  </si>
  <si>
    <t>20:53:31</t>
  </si>
  <si>
    <t>05:59:21</t>
  </si>
  <si>
    <t>05:58:28</t>
  </si>
  <si>
    <t>20:54:54</t>
  </si>
  <si>
    <t>13:23:33</t>
  </si>
  <si>
    <t>21:43:47</t>
  </si>
  <si>
    <t>17:32:20</t>
  </si>
  <si>
    <t>13:44:49</t>
  </si>
  <si>
    <t>13:42:36</t>
  </si>
  <si>
    <t>10:09:04</t>
  </si>
  <si>
    <t>13:42:40</t>
  </si>
  <si>
    <t>16:12:00</t>
  </si>
  <si>
    <t>16:05:00</t>
  </si>
  <si>
    <t>15:47:06</t>
  </si>
  <si>
    <t>22:35:01</t>
  </si>
  <si>
    <t>17:32:04</t>
  </si>
  <si>
    <t>08:36:45</t>
  </si>
  <si>
    <t>18:19:29</t>
  </si>
  <si>
    <t>18:44:02</t>
  </si>
  <si>
    <t>10:15:00</t>
  </si>
  <si>
    <t>11:38:46</t>
  </si>
  <si>
    <t>14:58:12</t>
  </si>
  <si>
    <t>20:41:59</t>
  </si>
  <si>
    <t>01:21:04</t>
  </si>
  <si>
    <t>13:47:35</t>
  </si>
  <si>
    <t>17:46:25</t>
  </si>
  <si>
    <t>07:21:30</t>
  </si>
  <si>
    <t>21:33:01</t>
  </si>
  <si>
    <t>22:00:22</t>
  </si>
  <si>
    <t>14:05:24</t>
  </si>
  <si>
    <t>16:58:19</t>
  </si>
  <si>
    <t>19:28:46</t>
  </si>
  <si>
    <t>19:27:37</t>
  </si>
  <si>
    <t>19:25:51</t>
  </si>
  <si>
    <t>19:08:03</t>
  </si>
  <si>
    <t>19:07:41</t>
  </si>
  <si>
    <t>19:06:15</t>
  </si>
  <si>
    <t>19:05:21</t>
  </si>
  <si>
    <t>19:28:54</t>
  </si>
  <si>
    <t>18:24:07</t>
  </si>
  <si>
    <t>19:27:58</t>
  </si>
  <si>
    <t>13:43:37</t>
  </si>
  <si>
    <t>00:12:49</t>
  </si>
  <si>
    <t>22:35:43</t>
  </si>
  <si>
    <t>19:25:50</t>
  </si>
  <si>
    <t>08:08:57</t>
  </si>
  <si>
    <t>18:48:21</t>
  </si>
  <si>
    <t>14:43:00</t>
  </si>
  <si>
    <t>16:41:29</t>
  </si>
  <si>
    <t>18:40:16</t>
  </si>
  <si>
    <t>18:40:00</t>
  </si>
  <si>
    <t>05:01:57</t>
  </si>
  <si>
    <t>07:56:50</t>
  </si>
  <si>
    <t>22:13:15</t>
  </si>
  <si>
    <t>11:05:02</t>
  </si>
  <si>
    <t>14:27:00</t>
  </si>
  <si>
    <t>15:48:58</t>
  </si>
  <si>
    <t>20:00:29</t>
  </si>
  <si>
    <t>19:03:01</t>
  </si>
  <si>
    <t>11:33:33</t>
  </si>
  <si>
    <t>21:24:42</t>
  </si>
  <si>
    <t>16:39:46</t>
  </si>
  <si>
    <t>12:27:21</t>
  </si>
  <si>
    <t>12:24:32</t>
  </si>
  <si>
    <t>09:37:42</t>
  </si>
  <si>
    <t>13:19:22</t>
  </si>
  <si>
    <t>13:50:19</t>
  </si>
  <si>
    <t>11:32:35</t>
  </si>
  <si>
    <t>21:48:29</t>
  </si>
  <si>
    <t>13:20:10</t>
  </si>
  <si>
    <t>18:15:45</t>
  </si>
  <si>
    <t>12:57:37</t>
  </si>
  <si>
    <t>11:58:46</t>
  </si>
  <si>
    <t>16:37:22</t>
  </si>
  <si>
    <t>15:28:57</t>
  </si>
  <si>
    <t>17:37:41</t>
  </si>
  <si>
    <t>16:43:51</t>
  </si>
  <si>
    <t>06:56:47</t>
  </si>
  <si>
    <t>18:57:46</t>
  </si>
  <si>
    <t>18:28:35</t>
  </si>
  <si>
    <t>18:27:26</t>
  </si>
  <si>
    <t>18:27:21</t>
  </si>
  <si>
    <t>18:26:34</t>
  </si>
  <si>
    <t>18:25:41</t>
  </si>
  <si>
    <t>18:25:33</t>
  </si>
  <si>
    <t>18:23:07</t>
  </si>
  <si>
    <t>18:22:49</t>
  </si>
  <si>
    <t>18:21:43</t>
  </si>
  <si>
    <t>18:21:28</t>
  </si>
  <si>
    <t>18:20:11</t>
  </si>
  <si>
    <t>18:18:33</t>
  </si>
  <si>
    <t>19:05:01</t>
  </si>
  <si>
    <t>19:01:35</t>
  </si>
  <si>
    <t>19:01:23</t>
  </si>
  <si>
    <t>19:00:15</t>
  </si>
  <si>
    <t>18:59:17</t>
  </si>
  <si>
    <t>18:59:03</t>
  </si>
  <si>
    <t>18:13:36</t>
  </si>
  <si>
    <t>18:05:20</t>
  </si>
  <si>
    <t>16:40:51</t>
  </si>
  <si>
    <t>18:13:43</t>
  </si>
  <si>
    <t>18:11:00</t>
  </si>
  <si>
    <t>18:10:03</t>
  </si>
  <si>
    <t>18:08:53</t>
  </si>
  <si>
    <t>06:51:14</t>
  </si>
  <si>
    <t>06:51:06</t>
  </si>
  <si>
    <t>06:49:58</t>
  </si>
  <si>
    <t>12:48:58</t>
  </si>
  <si>
    <t>03:30:57</t>
  </si>
  <si>
    <t>18:16:28</t>
  </si>
  <si>
    <t>04:01:00</t>
  </si>
  <si>
    <t>14:28:33</t>
  </si>
  <si>
    <t>19:20:35</t>
  </si>
  <si>
    <t>19:25:07</t>
  </si>
  <si>
    <t>13:00:01</t>
  </si>
  <si>
    <t>15:04:08</t>
  </si>
  <si>
    <t>23:46:41</t>
  </si>
  <si>
    <t>19:59:15</t>
  </si>
  <si>
    <t>13:43:53</t>
  </si>
  <si>
    <t>11:14:49</t>
  </si>
  <si>
    <t>15:43:55</t>
  </si>
  <si>
    <t>02:15:19</t>
  </si>
  <si>
    <t>00:49:26</t>
  </si>
  <si>
    <t>17:59:47</t>
  </si>
  <si>
    <t>06:04:05</t>
  </si>
  <si>
    <t>12:58:25</t>
  </si>
  <si>
    <t>12:34:35</t>
  </si>
  <si>
    <t>12:39:07</t>
  </si>
  <si>
    <t>04:02:29</t>
  </si>
  <si>
    <t>01:15:27</t>
  </si>
  <si>
    <t>08:01:46</t>
  </si>
  <si>
    <t>13:31:32</t>
  </si>
  <si>
    <t>11:47:09</t>
  </si>
  <si>
    <t>16:11:00</t>
  </si>
  <si>
    <t>12:39:11</t>
  </si>
  <si>
    <t>13:53:26</t>
  </si>
  <si>
    <t>13:41:39</t>
  </si>
  <si>
    <t>12:50:57</t>
  </si>
  <si>
    <t>02:44:02</t>
  </si>
  <si>
    <t>05:17:58</t>
  </si>
  <si>
    <t>16:34:01</t>
  </si>
  <si>
    <t>17:20:06</t>
  </si>
  <si>
    <t>18:04:33</t>
  </si>
  <si>
    <t>00:41:01</t>
  </si>
  <si>
    <t>13:09:52</t>
  </si>
  <si>
    <t>14:38:20</t>
  </si>
  <si>
    <t>23:52:00</t>
  </si>
  <si>
    <t>13:59:02</t>
  </si>
  <si>
    <t>13:06:20</t>
  </si>
  <si>
    <t>22:36:29</t>
  </si>
  <si>
    <t>17:46:35</t>
  </si>
  <si>
    <t>14:48:10</t>
  </si>
  <si>
    <t>06:30:05</t>
  </si>
  <si>
    <t>06:27:11</t>
  </si>
  <si>
    <t>23:16:49</t>
  </si>
  <si>
    <t>18:58:29</t>
  </si>
  <si>
    <t>01:10:35</t>
  </si>
  <si>
    <t>12:58:10</t>
  </si>
  <si>
    <t>19:25:34</t>
  </si>
  <si>
    <t>12:28:41</t>
  </si>
  <si>
    <t>12:07:03</t>
  </si>
  <si>
    <t>00:47:16</t>
  </si>
  <si>
    <t>06:55:00</t>
  </si>
  <si>
    <t>15:08:18</t>
  </si>
  <si>
    <t>21:24:18</t>
  </si>
  <si>
    <t>15:21:23</t>
  </si>
  <si>
    <t>14:27:22</t>
  </si>
  <si>
    <t>12:19:09</t>
  </si>
  <si>
    <t>18:41:49</t>
  </si>
  <si>
    <t>17:49:56</t>
  </si>
  <si>
    <t>15:21:43</t>
  </si>
  <si>
    <t>19:36:02</t>
  </si>
  <si>
    <t>07:17:10</t>
  </si>
  <si>
    <t>02:19:18</t>
  </si>
  <si>
    <t>02:33:49</t>
  </si>
  <si>
    <t>12:32:03</t>
  </si>
  <si>
    <t>15:37:55</t>
  </si>
  <si>
    <t>07:45:34</t>
  </si>
  <si>
    <t>02:51:24</t>
  </si>
  <si>
    <t>08:09:58</t>
  </si>
  <si>
    <t>12:16:31</t>
  </si>
  <si>
    <t>20:26:28</t>
  </si>
  <si>
    <t>16:51:40</t>
  </si>
  <si>
    <t>17:28:06</t>
  </si>
  <si>
    <t>20:06:29</t>
  </si>
  <si>
    <t>15:00:04</t>
  </si>
  <si>
    <t>14:38:18</t>
  </si>
  <si>
    <t>08:00:01</t>
  </si>
  <si>
    <t>00:00:55</t>
  </si>
  <si>
    <t>17:06:28</t>
  </si>
  <si>
    <t>16:59:25</t>
  </si>
  <si>
    <t>00:09:21</t>
  </si>
  <si>
    <t>07:00:00</t>
  </si>
  <si>
    <t>15:34:25</t>
  </si>
  <si>
    <t>11:18:39</t>
  </si>
  <si>
    <t>08:08:54</t>
  </si>
  <si>
    <t>23:40:00</t>
  </si>
  <si>
    <t>14:16:46</t>
  </si>
  <si>
    <t>14:32:07</t>
  </si>
  <si>
    <t>15:49:50</t>
  </si>
  <si>
    <t>18:07:39</t>
  </si>
  <si>
    <t>14:28:14</t>
  </si>
  <si>
    <t>21:10:01</t>
  </si>
  <si>
    <t>11:00:10</t>
  </si>
  <si>
    <t>21:00:09</t>
  </si>
  <si>
    <t>21:56:05</t>
  </si>
  <si>
    <t>21:50:24</t>
  </si>
  <si>
    <t>17:10:46</t>
  </si>
  <si>
    <t>20:47:56</t>
  </si>
  <si>
    <t>16:47:17</t>
  </si>
  <si>
    <t>11:32:00</t>
  </si>
  <si>
    <t>22:41:47</t>
  </si>
  <si>
    <t>13:09:31</t>
  </si>
  <si>
    <t>18:18:01</t>
  </si>
  <si>
    <t>21:20:03</t>
  </si>
  <si>
    <t>20:38:33</t>
  </si>
  <si>
    <t>21:18:32</t>
  </si>
  <si>
    <t>21:08:11</t>
  </si>
  <si>
    <t>15:38:26</t>
  </si>
  <si>
    <t>03:25:06</t>
  </si>
  <si>
    <t>20:03:57</t>
  </si>
  <si>
    <t>13:58:24</t>
  </si>
  <si>
    <t>20:10:18</t>
  </si>
  <si>
    <t>21:42:51</t>
  </si>
  <si>
    <t>16:20:47</t>
  </si>
  <si>
    <t>18:51:26</t>
  </si>
  <si>
    <t>20:10:38</t>
  </si>
  <si>
    <t>15:46:43</t>
  </si>
  <si>
    <t>18:57:38</t>
  </si>
  <si>
    <t>09:53:07</t>
  </si>
  <si>
    <t>22:31:14</t>
  </si>
  <si>
    <t>14:48:24</t>
  </si>
  <si>
    <t>23:49:23</t>
  </si>
  <si>
    <t>01:15:26</t>
  </si>
  <si>
    <t>13:08:18</t>
  </si>
  <si>
    <t>13:02:25</t>
  </si>
  <si>
    <t>15:55:35</t>
  </si>
  <si>
    <t>16:12:05</t>
  </si>
  <si>
    <t>17:27:35</t>
  </si>
  <si>
    <t>15:35:10</t>
  </si>
  <si>
    <t>16:46:43</t>
  </si>
  <si>
    <t>15:38:45</t>
  </si>
  <si>
    <t>01:02:45</t>
  </si>
  <si>
    <t>14:15:28</t>
  </si>
  <si>
    <t>22:11:47</t>
  </si>
  <si>
    <t>06:20:54</t>
  </si>
  <si>
    <t>13:31:59</t>
  </si>
  <si>
    <t>16:17:58</t>
  </si>
  <si>
    <t>13:53:06</t>
  </si>
  <si>
    <t>05:33:38</t>
  </si>
  <si>
    <t>08:36:28</t>
  </si>
  <si>
    <t>20:11:39</t>
  </si>
  <si>
    <t>18:58:06</t>
  </si>
  <si>
    <t>21:28:30</t>
  </si>
  <si>
    <t>19:05:42</t>
  </si>
  <si>
    <t>08:43:43</t>
  </si>
  <si>
    <t>06:59:49</t>
  </si>
  <si>
    <t>07:36:00</t>
  </si>
  <si>
    <t>16:22:22</t>
  </si>
  <si>
    <t>12:33:01</t>
  </si>
  <si>
    <t>01:04:00</t>
  </si>
  <si>
    <t>15:22:21</t>
  </si>
  <si>
    <t>11:00:00</t>
  </si>
  <si>
    <t>10:00:00</t>
  </si>
  <si>
    <t>21:48:09</t>
  </si>
  <si>
    <t>12:38:41</t>
  </si>
  <si>
    <t>14:27:12</t>
  </si>
  <si>
    <t>11:15:25</t>
  </si>
  <si>
    <t>11:15:21</t>
  </si>
  <si>
    <t>11:15:17</t>
  </si>
  <si>
    <t>16:20:58</t>
  </si>
  <si>
    <t>14:01:06</t>
  </si>
  <si>
    <t>14:03:42</t>
  </si>
  <si>
    <t>21:47:26</t>
  </si>
  <si>
    <t>17:44:50</t>
  </si>
  <si>
    <t>18:56:33</t>
  </si>
  <si>
    <t>21:45:01</t>
  </si>
  <si>
    <t>09:19:49</t>
  </si>
  <si>
    <t>13:31:57</t>
  </si>
  <si>
    <t>09:01:58</t>
  </si>
  <si>
    <t>22:14:21</t>
  </si>
  <si>
    <t>14:24:46</t>
  </si>
  <si>
    <t>22:12:02</t>
  </si>
  <si>
    <t>15:12:27</t>
  </si>
  <si>
    <t>20:40:51</t>
  </si>
  <si>
    <t>22:05:22</t>
  </si>
  <si>
    <t>01:28:30</t>
  </si>
  <si>
    <t>21:58:30</t>
  </si>
  <si>
    <t>00:01:01</t>
  </si>
  <si>
    <t>07:53:37</t>
  </si>
  <si>
    <t>13:29:50</t>
  </si>
  <si>
    <t>14:59:20</t>
  </si>
  <si>
    <t>18:08:15</t>
  </si>
  <si>
    <t>16:24:57</t>
  </si>
  <si>
    <t>12:20:43</t>
  </si>
  <si>
    <t>15:21:54</t>
  </si>
  <si>
    <t>13:20:42</t>
  </si>
  <si>
    <t>13:23:53</t>
  </si>
  <si>
    <t>01:22:41</t>
  </si>
  <si>
    <t>11:30:58</t>
  </si>
  <si>
    <t>12:34:17</t>
  </si>
  <si>
    <t>18:28:01</t>
  </si>
  <si>
    <t>15:23:48</t>
  </si>
  <si>
    <t>14:46:09</t>
  </si>
  <si>
    <t>17:29:42</t>
  </si>
  <si>
    <t>23:01:32</t>
  </si>
  <si>
    <t>12:23:32</t>
  </si>
  <si>
    <t>11:57:06</t>
  </si>
  <si>
    <t>15:42:06</t>
  </si>
  <si>
    <t>15:03:10</t>
  </si>
  <si>
    <t>19:26:24</t>
  </si>
  <si>
    <t>21:57:47</t>
  </si>
  <si>
    <t>16:48:29</t>
  </si>
  <si>
    <t>08:34:28</t>
  </si>
  <si>
    <t>20:26:27</t>
  </si>
  <si>
    <t>18:19:22</t>
  </si>
  <si>
    <t>12:30:32</t>
  </si>
  <si>
    <t>20:02:02</t>
  </si>
  <si>
    <t>23:51:50</t>
  </si>
  <si>
    <t>12:05:36</t>
  </si>
  <si>
    <t>02:15:00</t>
  </si>
  <si>
    <t>22:23:49</t>
  </si>
  <si>
    <t>08:25:00</t>
  </si>
  <si>
    <t>11:29:38</t>
  </si>
  <si>
    <t>18:17:00</t>
  </si>
  <si>
    <t>20:39:46</t>
  </si>
  <si>
    <t>07:38:32</t>
  </si>
  <si>
    <t>16:35:00</t>
  </si>
  <si>
    <t>21:45:00</t>
  </si>
  <si>
    <t>00:52:23</t>
  </si>
  <si>
    <t>10:20:00</t>
  </si>
  <si>
    <t>20:23:32</t>
  </si>
  <si>
    <t>15:02:38</t>
  </si>
  <si>
    <t>16:22:10</t>
  </si>
  <si>
    <t>09:13:13</t>
  </si>
  <si>
    <t>09:16:04</t>
  </si>
  <si>
    <t>20:05:31</t>
  </si>
  <si>
    <t>22:53:15</t>
  </si>
  <si>
    <t>02:19:26</t>
  </si>
  <si>
    <t>02:23:21</t>
  </si>
  <si>
    <t>17:09:25</t>
  </si>
  <si>
    <t>05:54:50</t>
  </si>
  <si>
    <t>23:50:21</t>
  </si>
  <si>
    <t>11:38:35</t>
  </si>
  <si>
    <t>11:48:31</t>
  </si>
  <si>
    <t>13:05:45</t>
  </si>
  <si>
    <t>12:33:41</t>
  </si>
  <si>
    <t>21:27:38</t>
  </si>
  <si>
    <t>09:26:13</t>
  </si>
  <si>
    <t>21:14:56</t>
  </si>
  <si>
    <t>15:30:11</t>
  </si>
  <si>
    <t>18:08:39</t>
  </si>
  <si>
    <t>03:37:22</t>
  </si>
  <si>
    <t>01:35:00</t>
  </si>
  <si>
    <t>12:34:27</t>
  </si>
  <si>
    <t>21:19:14</t>
  </si>
  <si>
    <t>-6,0636797,37,1480999 
-6,0636797,37,3617662 
-5,8836566,37,3617662 
-5,8836566,37,1480999 
-6,0636797,37,1480999</t>
  </si>
  <si>
    <t>-6,0635046,37,3580414 
-6,0635046,37,3819025 
-6,0225097,37,3819025 
-6,0225097,37,3580414 
-6,0635046,37,3580414</t>
  </si>
  <si>
    <t>España</t>
  </si>
  <si>
    <t>ES</t>
  </si>
  <si>
    <t>Dos Hermanas, España</t>
  </si>
  <si>
    <t>Tomares, España</t>
  </si>
  <si>
    <t>ffb7261abbaa67ed</t>
  </si>
  <si>
    <t>e88681ebd19bf4f7</t>
  </si>
  <si>
    <t>Dos Hermanas</t>
  </si>
  <si>
    <t>Tomares</t>
  </si>
  <si>
    <t>city</t>
  </si>
  <si>
    <t>3_1820778745646419968</t>
  </si>
  <si>
    <t>3_1820454093459996672</t>
  </si>
  <si>
    <t>3_1819938586331922432</t>
  </si>
  <si>
    <t>3_1819139797169938432</t>
  </si>
  <si>
    <t>7_1820512276106907649</t>
  </si>
  <si>
    <t>3_1819800244789338112</t>
  </si>
  <si>
    <t>3_1819081665806782464</t>
  </si>
  <si>
    <t>3_1820943010479157248</t>
  </si>
  <si>
    <t>3_1820532126858563584 3_1820532126858477568 3_1820532273843752960</t>
  </si>
  <si>
    <t>7_1819463158425178112</t>
  </si>
  <si>
    <t>16_1820094908507578368</t>
  </si>
  <si>
    <t>16_1819335477113106432</t>
  </si>
  <si>
    <t>3_1819798989757100032</t>
  </si>
  <si>
    <t>3_1820429153704804353</t>
  </si>
  <si>
    <t>3_1819412022762536968</t>
  </si>
  <si>
    <t>3_1819474756887867392</t>
  </si>
  <si>
    <t>3_1820466925589123072</t>
  </si>
  <si>
    <t>3_1819090867237306370</t>
  </si>
  <si>
    <t>3_1820903950058450944</t>
  </si>
  <si>
    <t>3_1819767863676227585</t>
  </si>
  <si>
    <t>3_1819388720178421760</t>
  </si>
  <si>
    <t>3_1819160809806647296</t>
  </si>
  <si>
    <t>3_1818968618572390401</t>
  </si>
  <si>
    <t>3_1819761112105041920</t>
  </si>
  <si>
    <t>3_1819714593377144832</t>
  </si>
  <si>
    <t>3_1820671755775561728</t>
  </si>
  <si>
    <t>3_1819360401923928064</t>
  </si>
  <si>
    <t>3_1819008539953651713</t>
  </si>
  <si>
    <t>3_1819422759614607368</t>
  </si>
  <si>
    <t>3_1820952067218853888 3_1820952083366842368 3_1820952096503377920</t>
  </si>
  <si>
    <t>3_1819067215611891712</t>
  </si>
  <si>
    <t>3_1819022304510128129 3_1819022304518541312 3_1819022304518500352 3_1819022304489230336</t>
  </si>
  <si>
    <t>3_1818896965549035520</t>
  </si>
  <si>
    <t>3_1819258621328232448</t>
  </si>
  <si>
    <t>3_1820534851826520064</t>
  </si>
  <si>
    <t>3_1819178948535734272</t>
  </si>
  <si>
    <t>3_1820806551365398529</t>
  </si>
  <si>
    <t>3_1819454419462758400</t>
  </si>
  <si>
    <t>3_1819349578937761792</t>
  </si>
  <si>
    <t>3_1819344145321734145</t>
  </si>
  <si>
    <t>3_1820985014374342656</t>
  </si>
  <si>
    <t>3_1819030629733871616</t>
  </si>
  <si>
    <t>3_1820283404656443392</t>
  </si>
  <si>
    <t>3_1819415781257379844</t>
  </si>
  <si>
    <t>7_1819387641613234177</t>
  </si>
  <si>
    <t>3_1818697835937714176</t>
  </si>
  <si>
    <t>3_1818921829139992576</t>
  </si>
  <si>
    <t>3_1819880930481180673</t>
  </si>
  <si>
    <t>3_1819380652208279553 3_1819380652195676160</t>
  </si>
  <si>
    <t>3_1820487377548189696</t>
  </si>
  <si>
    <t>3_1819434885863403520</t>
  </si>
  <si>
    <t>3_1819379680497078273 3_1819379680870379520</t>
  </si>
  <si>
    <t>3_1819118378813923329</t>
  </si>
  <si>
    <t>3_1818964791265763328 3_1818964884710735872</t>
  </si>
  <si>
    <t>3_1819052287957897223</t>
  </si>
  <si>
    <t>7_1819472677515448320</t>
  </si>
  <si>
    <t>3_1820567494202900480</t>
  </si>
  <si>
    <t>16_1819101773543378944</t>
  </si>
  <si>
    <t>3_1820486560673927168 3_1820486560661274624 3_1820486560652943360 3_1820486560657055744</t>
  </si>
  <si>
    <t>3_1819085088212017152 3_1819085088245551104 3_1819085088245616640 3_1819085088258187264</t>
  </si>
  <si>
    <t>3_1819310429664907264 3_1819310429631340544 3_1819310429656559616 3_1819310429664931840</t>
  </si>
  <si>
    <t>3_1818776455196594176 3_1818767034836000768</t>
  </si>
  <si>
    <t>3_1820446723304554496</t>
  </si>
  <si>
    <t>3_1820488675152510976</t>
  </si>
  <si>
    <t>3_1820492855485288448</t>
  </si>
  <si>
    <t>3_1820483678469840896 3_1820483678469750784 3_1820483678507618304 3_1820483678461448192</t>
  </si>
  <si>
    <t>3_1819809976627421184</t>
  </si>
  <si>
    <t>3_1819046019121750019</t>
  </si>
  <si>
    <t>7_1820353174110134272</t>
  </si>
  <si>
    <t>7_1819326427918954496</t>
  </si>
  <si>
    <t>3_1819311185281372160 3_1819311188263510016</t>
  </si>
  <si>
    <t>7_1818948944463884289</t>
  </si>
  <si>
    <t>3_1819127964069441536</t>
  </si>
  <si>
    <t>3_1820171946971037697</t>
  </si>
  <si>
    <t>3_1819489603541143552</t>
  </si>
  <si>
    <t>3_1820389231941799936</t>
  </si>
  <si>
    <t>3_1820747066961784832</t>
  </si>
  <si>
    <t>3_1820270613115670528</t>
  </si>
  <si>
    <t>7_1820610955216125952</t>
  </si>
  <si>
    <t>16_1820729918709211136</t>
  </si>
  <si>
    <t>3_1819030804845961217</t>
  </si>
  <si>
    <t>3_1818999977210687488</t>
  </si>
  <si>
    <t>3_1819384185447956480</t>
  </si>
  <si>
    <t>3_1820595452879757312 3_1820595452921753600</t>
  </si>
  <si>
    <t>3_1820428809826435074</t>
  </si>
  <si>
    <t>3_1819051605708214279 3_1819052167447154695</t>
  </si>
  <si>
    <t>3_1819712343955136512 3_1819712408337723393</t>
  </si>
  <si>
    <t>3_1820580137542307841</t>
  </si>
  <si>
    <t>3_1818739785382412288</t>
  </si>
  <si>
    <t>3_1819612867533959168</t>
  </si>
  <si>
    <t>16_1819883525543186432</t>
  </si>
  <si>
    <t>3_1819161134726795265</t>
  </si>
  <si>
    <t>3_1820569198172532737 3_1820569198180864000</t>
  </si>
  <si>
    <t>3_1819864605121806336</t>
  </si>
  <si>
    <t>1819713568649904347</t>
  </si>
  <si>
    <t>1820615214171103438</t>
  </si>
  <si>
    <t>1818961948115083363</t>
  </si>
  <si>
    <t>1820814695974015077</t>
  </si>
  <si>
    <t>1820048525364760844</t>
  </si>
  <si>
    <t>1820778761735782838</t>
  </si>
  <si>
    <t>1819117444159394032</t>
  </si>
  <si>
    <t>1819224345845100610</t>
  </si>
  <si>
    <t>1820883880418931198</t>
  </si>
  <si>
    <t>1820605465723605316</t>
  </si>
  <si>
    <t>1820925393710338319</t>
  </si>
  <si>
    <t>1819155924218736996</t>
  </si>
  <si>
    <t>1819030051112841478</t>
  </si>
  <si>
    <t>1819772630125224068</t>
  </si>
  <si>
    <t>1819085042481877294</t>
  </si>
  <si>
    <t>1820504427838452074</t>
  </si>
  <si>
    <t>1819762660193468648</t>
  </si>
  <si>
    <t>1819169264475295902</t>
  </si>
  <si>
    <t>1820454771263685045</t>
  </si>
  <si>
    <t>1819938591700644028</t>
  </si>
  <si>
    <t>1820909201050497411</t>
  </si>
  <si>
    <t>1819815380992590029</t>
  </si>
  <si>
    <t>1820004369649078450</t>
  </si>
  <si>
    <t>1819476645054451754</t>
  </si>
  <si>
    <t>1819251622704218499</t>
  </si>
  <si>
    <t>1819251401823846585</t>
  </si>
  <si>
    <t>1819839381596741708</t>
  </si>
  <si>
    <t>1819363407528710437</t>
  </si>
  <si>
    <t>1820576459679002857</t>
  </si>
  <si>
    <t>1820875568499564938</t>
  </si>
  <si>
    <t>1820455924445671777</t>
  </si>
  <si>
    <t>1820455365802115312</t>
  </si>
  <si>
    <t>1820764018073620635</t>
  </si>
  <si>
    <t>1820817771384492490</t>
  </si>
  <si>
    <t>1820855351123578964</t>
  </si>
  <si>
    <t>1819404038569402862</t>
  </si>
  <si>
    <t>1819399534336004197</t>
  </si>
  <si>
    <t>1819139803721372073</t>
  </si>
  <si>
    <t>1820513113562546562</t>
  </si>
  <si>
    <t>1819291231798567328</t>
  </si>
  <si>
    <t>1819800272698290249</t>
  </si>
  <si>
    <t>1819081671440060697</t>
  </si>
  <si>
    <t>1819315957640094180</t>
  </si>
  <si>
    <t>1820061815591629282</t>
  </si>
  <si>
    <t>1819387227710853240</t>
  </si>
  <si>
    <t>1820560906520006924</t>
  </si>
  <si>
    <t>1819543978804441522</t>
  </si>
  <si>
    <t>1819369456566427759</t>
  </si>
  <si>
    <t>1820516726750298140</t>
  </si>
  <si>
    <t>1819272294109266186</t>
  </si>
  <si>
    <t>1820936137541591474</t>
  </si>
  <si>
    <t>1820943019639730627</t>
  </si>
  <si>
    <t>1819736330269847613</t>
  </si>
  <si>
    <t>1820142233053786354</t>
  </si>
  <si>
    <t>1819455316863734143</t>
  </si>
  <si>
    <t>1819455030363410826</t>
  </si>
  <si>
    <t>1819454583477096935</t>
  </si>
  <si>
    <t>1819450105965302178</t>
  </si>
  <si>
    <t>1819450011165642979</t>
  </si>
  <si>
    <t>1819449653932511451</t>
  </si>
  <si>
    <t>1819449424080523342</t>
  </si>
  <si>
    <t>1819455353383538690</t>
  </si>
  <si>
    <t>1819439050056458364</t>
  </si>
  <si>
    <t>1819817503691788653</t>
  </si>
  <si>
    <t>1820818011294417132</t>
  </si>
  <si>
    <t>1820976353224913049</t>
  </si>
  <si>
    <t>1820951916211286424</t>
  </si>
  <si>
    <t>1819454580889211301</t>
  </si>
  <si>
    <t>1819284238581002478</t>
  </si>
  <si>
    <t>1820532311143940097</t>
  </si>
  <si>
    <t>1819021015839617109</t>
  </si>
  <si>
    <t>1819413222585139650</t>
  </si>
  <si>
    <t>1819080724211028008</t>
  </si>
  <si>
    <t>1819443045240393731</t>
  </si>
  <si>
    <t>1819961951641841717</t>
  </si>
  <si>
    <t>1819281186834747576</t>
  </si>
  <si>
    <t>1820946261828329945</t>
  </si>
  <si>
    <t>1819328549632819648</t>
  </si>
  <si>
    <t>1819741764322009364</t>
  </si>
  <si>
    <t>1819762391808193002</t>
  </si>
  <si>
    <t>1819463299232346477</t>
  </si>
  <si>
    <t>1819086448660042088</t>
  </si>
  <si>
    <t>1820785278132330936</t>
  </si>
  <si>
    <t>1820934044483297427</t>
  </si>
  <si>
    <t>1819412786725650620</t>
  </si>
  <si>
    <t>1818986878206681391</t>
  </si>
  <si>
    <t>1818986169599762439</t>
  </si>
  <si>
    <t>1818944183861719436</t>
  </si>
  <si>
    <t>1819724742883963387</t>
  </si>
  <si>
    <t>1820094919442317497</t>
  </si>
  <si>
    <t>1819335485019279668</t>
  </si>
  <si>
    <t>1819490479324401789</t>
  </si>
  <si>
    <t>1819724946232189345</t>
  </si>
  <si>
    <t>1819799331035062706</t>
  </si>
  <si>
    <t>1819356883825701059</t>
  </si>
  <si>
    <t>1820429234172481867</t>
  </si>
  <si>
    <t>1819412185455395307</t>
  </si>
  <si>
    <t>1819394965002133676</t>
  </si>
  <si>
    <t>1819789752364847209</t>
  </si>
  <si>
    <t>1819051426389107089</t>
  </si>
  <si>
    <t>1819990853084987487</t>
  </si>
  <si>
    <t>1819447515596706101</t>
  </si>
  <si>
    <t>1819440173341425675</t>
  </si>
  <si>
    <t>1819439885414981735</t>
  </si>
  <si>
    <t>1819439863264862229</t>
  </si>
  <si>
    <t>1819439665751248904</t>
  </si>
  <si>
    <t>1819439443087954219</t>
  </si>
  <si>
    <t>1819439408464253209</t>
  </si>
  <si>
    <t>1819438799362928896</t>
  </si>
  <si>
    <t>1819438723257467351</t>
  </si>
  <si>
    <t>1819438443862139156</t>
  </si>
  <si>
    <t>1819438383313359291</t>
  </si>
  <si>
    <t>1819438060070662146</t>
  </si>
  <si>
    <t>1819437650060755261</t>
  </si>
  <si>
    <t>1819449341259796536</t>
  </si>
  <si>
    <t>1819448479879778678</t>
  </si>
  <si>
    <t>1819448426901475690</t>
  </si>
  <si>
    <t>1819448140657013020</t>
  </si>
  <si>
    <t>1819447899069337619</t>
  </si>
  <si>
    <t>1819447839686381906</t>
  </si>
  <si>
    <t>1819074013672427945</t>
  </si>
  <si>
    <t>1819071935856467990</t>
  </si>
  <si>
    <t>1819050671850594658</t>
  </si>
  <si>
    <t>1819436429761548556</t>
  </si>
  <si>
    <t>1819435748774363544</t>
  </si>
  <si>
    <t>1819435507639599273</t>
  </si>
  <si>
    <t>1819435216831750598</t>
  </si>
  <si>
    <t>1819989453491851305</t>
  </si>
  <si>
    <t>1819989423439659304</t>
  </si>
  <si>
    <t>1819989137673384403</t>
  </si>
  <si>
    <t>1820804256602952005</t>
  </si>
  <si>
    <t>1821026214141628522</t>
  </si>
  <si>
    <t>1819074737680564469</t>
  </si>
  <si>
    <t>1819584225437159840</t>
  </si>
  <si>
    <t>1820466928873562317</t>
  </si>
  <si>
    <t>1819090870031008225</t>
  </si>
  <si>
    <t>1820903953514594564</t>
  </si>
  <si>
    <t>1820082260822950082</t>
  </si>
  <si>
    <t>1819388722711839081</t>
  </si>
  <si>
    <t>1819221837567451366</t>
  </si>
  <si>
    <t>1820607389076193439</t>
  </si>
  <si>
    <t>1820550152710459532</t>
  </si>
  <si>
    <t>1819368525011493228</t>
  </si>
  <si>
    <t>1818968624016593185</t>
  </si>
  <si>
    <t>1819761122175488038</t>
  </si>
  <si>
    <t>1819195242169639390</t>
  </si>
  <si>
    <t>1820260793943732361</t>
  </si>
  <si>
    <t>1820520090678575229</t>
  </si>
  <si>
    <t>1818890426201358560</t>
  </si>
  <si>
    <t>1818994696208712032</t>
  </si>
  <si>
    <t>1819713473183625459</t>
  </si>
  <si>
    <t>1819714614914929047</t>
  </si>
  <si>
    <t>1820671764352926017</t>
  </si>
  <si>
    <t>1819904953965572457</t>
  </si>
  <si>
    <t>1820731981602116019</t>
  </si>
  <si>
    <t>1819003031964279222</t>
  </si>
  <si>
    <t>1819339147116491112</t>
  </si>
  <si>
    <t>1819405548489724205</t>
  </si>
  <si>
    <t>1820801795985195230</t>
  </si>
  <si>
    <t>1819008543036510210</t>
  </si>
  <si>
    <t>1819005577302806735</t>
  </si>
  <si>
    <t>1818992815038247330</t>
  </si>
  <si>
    <t>1819927247030984727</t>
  </si>
  <si>
    <t>1818878819811356701</t>
  </si>
  <si>
    <t>1819773728345231656</t>
  </si>
  <si>
    <t>1819422937658617892</t>
  </si>
  <si>
    <t>1819796513234587889</t>
  </si>
  <si>
    <t>1820258675820245316</t>
  </si>
  <si>
    <t>1818997576907075806</t>
  </si>
  <si>
    <t>1819744615915823117</t>
  </si>
  <si>
    <t>1820608726241366362</t>
  </si>
  <si>
    <t>1820821888572219738</t>
  </si>
  <si>
    <t>1818996688637333652</t>
  </si>
  <si>
    <t>1820952108763369826</t>
  </si>
  <si>
    <t>1819067217373548949</t>
  </si>
  <si>
    <t>1819022314341650680</t>
  </si>
  <si>
    <t>1819000168345149646</t>
  </si>
  <si>
    <t>1818896968099176779</t>
  </si>
  <si>
    <t>1819258625287762082</t>
  </si>
  <si>
    <t>1820962262422585591</t>
  </si>
  <si>
    <t>1820534859737244083</t>
  </si>
  <si>
    <t>1819178951379439879</t>
  </si>
  <si>
    <t>1820806571368079757</t>
  </si>
  <si>
    <t>1819454512631075303</t>
  </si>
  <si>
    <t>1819349602635522508</t>
  </si>
  <si>
    <t>1819344157074194861</t>
  </si>
  <si>
    <t>1820985022775537881</t>
  </si>
  <si>
    <t>1818903238965330110</t>
  </si>
  <si>
    <t>1819752158385885250</t>
  </si>
  <si>
    <t>1819846783293444600</t>
  </si>
  <si>
    <t>1819030673400758623</t>
  </si>
  <si>
    <t>1819379468844093895</t>
  </si>
  <si>
    <t>1819709591568982304</t>
  </si>
  <si>
    <t>1819081116420358543</t>
  </si>
  <si>
    <t>1820517611681325333</t>
  </si>
  <si>
    <t>1819755536356700247</t>
  </si>
  <si>
    <t>1820544312809058318</t>
  </si>
  <si>
    <t>1819271206660366392</t>
  </si>
  <si>
    <t>1820283410490822690</t>
  </si>
  <si>
    <t>1820287063238820003</t>
  </si>
  <si>
    <t>1820800000445616202</t>
  </si>
  <si>
    <t>1819034836147028402</t>
  </si>
  <si>
    <t>1819640738868510846</t>
  </si>
  <si>
    <t>1819929100632445378</t>
  </si>
  <si>
    <t>1820371658592387537</t>
  </si>
  <si>
    <t>1819346540835598617</t>
  </si>
  <si>
    <t>1819107453532860695</t>
  </si>
  <si>
    <t>1819415783643939017</t>
  </si>
  <si>
    <t>1819787341667401761</t>
  </si>
  <si>
    <t>1820914361499619449</t>
  </si>
  <si>
    <t>1819387698395709624</t>
  </si>
  <si>
    <t>1819382221574492653</t>
  </si>
  <si>
    <t>1818919602144829446</t>
  </si>
  <si>
    <t>1820973358688989263</t>
  </si>
  <si>
    <t>1820506673011655071</t>
  </si>
  <si>
    <t>1820142509471027296</t>
  </si>
  <si>
    <t>1820250707267571890</t>
  </si>
  <si>
    <t>1820716435338887462</t>
  </si>
  <si>
    <t>1819033955812655145</t>
  </si>
  <si>
    <t>1818969588098310597</t>
  </si>
  <si>
    <t>1818921835699765613</t>
  </si>
  <si>
    <t>1819880932276367826</t>
  </si>
  <si>
    <t>1819014411475915241</t>
  </si>
  <si>
    <t>1819380663625077236</t>
  </si>
  <si>
    <t>1820487385563771209</t>
  </si>
  <si>
    <t>1819434905828233665</t>
  </si>
  <si>
    <t>1819379687753134469</t>
  </si>
  <si>
    <t>1819118413232423083</t>
  </si>
  <si>
    <t>1818964938276168017</t>
  </si>
  <si>
    <t>1820565477950673359</t>
  </si>
  <si>
    <t>1819130002949951905</t>
  </si>
  <si>
    <t>1819128572474269804</t>
  </si>
  <si>
    <t>1819782979889037405</t>
  </si>
  <si>
    <t>1819112852503830889</t>
  </si>
  <si>
    <t>1819052290570948780</t>
  </si>
  <si>
    <t>1820422499823460603</t>
  </si>
  <si>
    <t>1820591055982510386</t>
  </si>
  <si>
    <t>1819359876348314082</t>
  </si>
  <si>
    <t>1819437515712901176</t>
  </si>
  <si>
    <t>1819120936076935658</t>
  </si>
  <si>
    <t>1819472880541093906</t>
  </si>
  <si>
    <t>1820207719665553903</t>
  </si>
  <si>
    <t>1820567501455114500</t>
  </si>
  <si>
    <t>1819034965431988520</t>
  </si>
  <si>
    <t>1820662353693745595</t>
  </si>
  <si>
    <t>1819101784352411996</t>
  </si>
  <si>
    <t>1819734569018343845</t>
  </si>
  <si>
    <t>1819465771959177686</t>
  </si>
  <si>
    <t>1820938612252213302</t>
  </si>
  <si>
    <t>1819770397904007171</t>
  </si>
  <si>
    <t>1819445921895096775</t>
  </si>
  <si>
    <t>1819465853613887951</t>
  </si>
  <si>
    <t>1820486600108982453</t>
  </si>
  <si>
    <t>1819085095837552826</t>
  </si>
  <si>
    <t>1819310452075082084</t>
  </si>
  <si>
    <t>1818776464273133998</t>
  </si>
  <si>
    <t>1819022372327903280</t>
  </si>
  <si>
    <t>1819883294751916454</t>
  </si>
  <si>
    <t>1819180172744314928</t>
  </si>
  <si>
    <t>1820446733467316438</t>
  </si>
  <si>
    <t>1820445253721059339</t>
  </si>
  <si>
    <t>1820488833068310986</t>
  </si>
  <si>
    <t>1820492986473717807</t>
  </si>
  <si>
    <t>1820149599723827595</t>
  </si>
  <si>
    <t>1820483696249729216</t>
  </si>
  <si>
    <t>1819052147767480837</t>
  </si>
  <si>
    <t>1819397433685623104</t>
  </si>
  <si>
    <t>1820626531560853558</t>
  </si>
  <si>
    <t>1819376473221796082</t>
  </si>
  <si>
    <t>1819133954126909630</t>
  </si>
  <si>
    <t>1818894657482268875</t>
  </si>
  <si>
    <t>1819003143805432243</t>
  </si>
  <si>
    <t>1819769691713515989</t>
  </si>
  <si>
    <t>1819008459443949598</t>
  </si>
  <si>
    <t>1818882764256473501</t>
  </si>
  <si>
    <t>1818928775192514924</t>
  </si>
  <si>
    <t>1819103723311837396</t>
  </si>
  <si>
    <t>1819809990275740043</t>
  </si>
  <si>
    <t>1820210225242124591</t>
  </si>
  <si>
    <t>1820174288369996155</t>
  </si>
  <si>
    <t>1819655374833582178</t>
  </si>
  <si>
    <t>1820716390862459364</t>
  </si>
  <si>
    <t>1820725498516787320</t>
  </si>
  <si>
    <t>1819046021546078422</t>
  </si>
  <si>
    <t>1820437854712909863</t>
  </si>
  <si>
    <t>1819177296005083560</t>
  </si>
  <si>
    <t>1819393307291554267</t>
  </si>
  <si>
    <t>1820354049100632317</t>
  </si>
  <si>
    <t>1819327285335343587</t>
  </si>
  <si>
    <t>1819312184737882563</t>
  </si>
  <si>
    <t>1818949797681733939</t>
  </si>
  <si>
    <t>1819128008545902883</t>
  </si>
  <si>
    <t>1819352118630748571</t>
  </si>
  <si>
    <t>1819741814867341674</t>
  </si>
  <si>
    <t>1818968773572829586</t>
  </si>
  <si>
    <t>1820780698212393469</t>
  </si>
  <si>
    <t>1819331129503019444</t>
  </si>
  <si>
    <t>1819408057178165495</t>
  </si>
  <si>
    <t>1819010472009462116</t>
  </si>
  <si>
    <t>1819373511258825016</t>
  </si>
  <si>
    <t>1820577377732251841</t>
  </si>
  <si>
    <t>1819429165067538740</t>
  </si>
  <si>
    <t>1820171986166817132</t>
  </si>
  <si>
    <t>1819489605168578660</t>
  </si>
  <si>
    <t>1820389236878496230</t>
  </si>
  <si>
    <t>1819365522351280458</t>
  </si>
  <si>
    <t>1820747132749463923</t>
  </si>
  <si>
    <t>1819859377957777627</t>
  </si>
  <si>
    <t>1819741201219695047</t>
  </si>
  <si>
    <t>1820221183289139571</t>
  </si>
  <si>
    <t>1820115589072822574</t>
  </si>
  <si>
    <t>1820923009621696558</t>
  </si>
  <si>
    <t>1819494730247663753</t>
  </si>
  <si>
    <t>1820270624046039355</t>
  </si>
  <si>
    <t>1819130612701106396</t>
  </si>
  <si>
    <t>1820610995087122527</t>
  </si>
  <si>
    <t>1820729931690660105</t>
  </si>
  <si>
    <t>1820089767037677969</t>
  </si>
  <si>
    <t>1819025124319728101</t>
  </si>
  <si>
    <t>1820522218176282746</t>
  </si>
  <si>
    <t>1820858609376674017</t>
  </si>
  <si>
    <t>1819347595803660671</t>
  </si>
  <si>
    <t>1819030806620520480</t>
  </si>
  <si>
    <t>1819000301866688700</t>
  </si>
  <si>
    <t>1819001105126150550</t>
  </si>
  <si>
    <t>1819906774503141574</t>
  </si>
  <si>
    <t>1820422242045448529</t>
  </si>
  <si>
    <t>1819713398205980672</t>
  </si>
  <si>
    <t>1819077643280740357</t>
  </si>
  <si>
    <t>1819756057234964656</t>
  </si>
  <si>
    <t>1819384197548761480</t>
  </si>
  <si>
    <t>1819425352717889812</t>
  </si>
  <si>
    <t>1820596028875149812</t>
  </si>
  <si>
    <t>1818985916377010432</t>
  </si>
  <si>
    <t>1820428817359643088</t>
  </si>
  <si>
    <t>1820847828748718524</t>
  </si>
  <si>
    <t>1820838028358615468</t>
  </si>
  <si>
    <t>1819092337043140796</t>
  </si>
  <si>
    <t>1820579984937021575</t>
  </si>
  <si>
    <t>1819052595518079132</t>
  </si>
  <si>
    <t>1818928270269624768</t>
  </si>
  <si>
    <t>1820556996921442493</t>
  </si>
  <si>
    <t>1820887406448668849</t>
  </si>
  <si>
    <t>1819712456341483879</t>
  </si>
  <si>
    <t>1820550855105356202</t>
  </si>
  <si>
    <t>1819159133729488914</t>
  </si>
  <si>
    <t>1820068566101614811</t>
  </si>
  <si>
    <t>1819557549760221637</t>
  </si>
  <si>
    <t>1819195162083709192</t>
  </si>
  <si>
    <t>1820586533357019524</t>
  </si>
  <si>
    <t>1820375439292117425</t>
  </si>
  <si>
    <t>1819697127485755644</t>
  </si>
  <si>
    <t>1820886808932315563</t>
  </si>
  <si>
    <t>1819110800105013672</t>
  </si>
  <si>
    <t>1818914193271062554</t>
  </si>
  <si>
    <t>1820498751422685326</t>
  </si>
  <si>
    <t>1820939153246150656</t>
  </si>
  <si>
    <t>1820623921172914268</t>
  </si>
  <si>
    <t>1820041991608000644</t>
  </si>
  <si>
    <t>1819106711946301713</t>
  </si>
  <si>
    <t>1819388343433535560</t>
  </si>
  <si>
    <t>1819045973462548620</t>
  </si>
  <si>
    <t>1819300412102471812</t>
  </si>
  <si>
    <t>1818938741177582044</t>
  </si>
  <si>
    <t>1818739791892247004</t>
  </si>
  <si>
    <t>1819144391455658221</t>
  </si>
  <si>
    <t>1820645828035252699</t>
  </si>
  <si>
    <t>1820646815248592989</t>
  </si>
  <si>
    <t>1820869800207511598</t>
  </si>
  <si>
    <t>1819612874190270833</t>
  </si>
  <si>
    <t>1819883535366242683</t>
  </si>
  <si>
    <t>1818974607245811920</t>
  </si>
  <si>
    <t>1818977104710520857</t>
  </si>
  <si>
    <t>1819221838074921399</t>
  </si>
  <si>
    <t>1820083706364604763</t>
  </si>
  <si>
    <t>1819350859731358065</t>
  </si>
  <si>
    <t>1819485232149500063</t>
  </si>
  <si>
    <t>1818941295223541976</t>
  </si>
  <si>
    <t>1820569201779806411</t>
  </si>
  <si>
    <t>1819395278002143556</t>
  </si>
  <si>
    <t>1820159930764005698</t>
  </si>
  <si>
    <t>1819215891772363065</t>
  </si>
  <si>
    <t>1819909871640461645</t>
  </si>
  <si>
    <t>1819713440023281807</t>
  </si>
  <si>
    <t>1819483116714467359</t>
  </si>
  <si>
    <t>1819709249653498291</t>
  </si>
  <si>
    <t>1819026886829154367</t>
  </si>
  <si>
    <t>1818992691767591158</t>
  </si>
  <si>
    <t>1819023518861795604</t>
  </si>
  <si>
    <t>1819083649461244136</t>
  </si>
  <si>
    <t>1820464521707983082</t>
  </si>
  <si>
    <t>1820907346597474352</t>
  </si>
  <si>
    <t>1819411244442701979</t>
  </si>
  <si>
    <t>1819773313553690811</t>
  </si>
  <si>
    <t>1820812046985765357</t>
  </si>
  <si>
    <t>1820453126735827270</t>
  </si>
  <si>
    <t>1820431201137463571</t>
  </si>
  <si>
    <t>1820737332506472761</t>
  </si>
  <si>
    <t>1820804203712844129</t>
  </si>
  <si>
    <t>1818652445930561723</t>
  </si>
  <si>
    <t>1820526813027684798</t>
  </si>
  <si>
    <t>1819338525914935404</t>
  </si>
  <si>
    <t>1818300310827208792</t>
  </si>
  <si>
    <t>1820455693868007755</t>
  </si>
  <si>
    <t>1818661972545528008</t>
  </si>
  <si>
    <t>1820288257353032108</t>
  </si>
  <si>
    <t>1819447925954801832</t>
  </si>
  <si>
    <t>1819474558594044241</t>
  </si>
  <si>
    <t>1819385214113599539</t>
  </si>
  <si>
    <t>1818748652527272128</t>
  </si>
  <si>
    <t>1820619886890025363</t>
  </si>
  <si>
    <t>1820951912390504450</t>
  </si>
  <si>
    <t>1819032969362739283</t>
  </si>
  <si>
    <t>1820842230082310536</t>
  </si>
  <si>
    <t>1820528227745677331</t>
  </si>
  <si>
    <t>1820582443319242785</t>
  </si>
  <si>
    <t>1819341171316928846</t>
  </si>
  <si>
    <t>1818983939119165839</t>
  </si>
  <si>
    <t>1818977362798666049</t>
  </si>
  <si>
    <t>1818942733014188519</t>
  </si>
  <si>
    <t>1819663135717855613</t>
  </si>
  <si>
    <t>1818928709220368538</t>
  </si>
  <si>
    <t>1819489837864325193</t>
  </si>
  <si>
    <t>1819314795583004781</t>
  </si>
  <si>
    <t>1819857792196616451</t>
  </si>
  <si>
    <t>1820789821528314156</t>
  </si>
  <si>
    <t>1820592309949403138</t>
  </si>
  <si>
    <t>1819827110564774062</t>
  </si>
  <si>
    <t>1818961864572760441</t>
  </si>
  <si>
    <t>1820158828522205530</t>
  </si>
  <si>
    <t>1818993198779240639</t>
  </si>
  <si>
    <t>1820711572190134315</t>
  </si>
  <si>
    <t>1820481993139683584</t>
  </si>
  <si>
    <t>1818985981145440535</t>
  </si>
  <si>
    <t>1818636712601346112</t>
  </si>
  <si>
    <t>1819297023322976549</t>
  </si>
  <si>
    <t>1819198936470438162</t>
  </si>
  <si>
    <t>1820255459200082243</t>
  </si>
  <si>
    <t>1820882971118989635</t>
  </si>
  <si>
    <t>1818668468763607081</t>
  </si>
  <si>
    <t>1819348987641557007</t>
  </si>
  <si>
    <t>1819080046684131393</t>
  </si>
  <si>
    <t>1819338663530029501</t>
  </si>
  <si>
    <t>1819063102027218984</t>
  </si>
  <si>
    <t>1820544152062345575</t>
  </si>
  <si>
    <t>1820584566882500692</t>
  </si>
  <si>
    <t>1820117749386879263</t>
  </si>
  <si>
    <t>1818748767799005227</t>
  </si>
  <si>
    <t>1819125877201949161</t>
  </si>
  <si>
    <t>1820706933994615286</t>
  </si>
  <si>
    <t>1819033439217008989</t>
  </si>
  <si>
    <t>1817754078891360620</t>
  </si>
  <si>
    <t>1818602735140303227</t>
  </si>
  <si>
    <t>1819477992890110216</t>
  </si>
  <si>
    <t>1816943101807591833</t>
  </si>
  <si>
    <t>1819015226383118607</t>
  </si>
  <si>
    <t>1820573159546093944</t>
  </si>
  <si>
    <t>1818627768164262193</t>
  </si>
  <si>
    <t>1820186770509623632</t>
  </si>
  <si>
    <t>1819029686418276435</t>
  </si>
  <si>
    <t>1818925161233481832</t>
  </si>
  <si>
    <t>1819714207006298544</t>
  </si>
  <si>
    <t>1819124300021903743</t>
  </si>
  <si>
    <t>1820920776024899937</t>
  </si>
  <si>
    <t>1819757490973622576</t>
  </si>
  <si>
    <t>1820486491958923374</t>
  </si>
  <si>
    <t>1819085083221152133</t>
  </si>
  <si>
    <t>1819835630626406841</t>
  </si>
  <si>
    <t>1820364436412022973</t>
  </si>
  <si>
    <t>1820100157007933777</t>
  </si>
  <si>
    <t>1820145143208607823</t>
  </si>
  <si>
    <t>1818619955497025755</t>
  </si>
  <si>
    <t>1818977202014245326</t>
  </si>
  <si>
    <t>1819030845052883080</t>
  </si>
  <si>
    <t>1820394939571720394</t>
  </si>
  <si>
    <t>1819133418921169157</t>
  </si>
  <si>
    <t>1819319969030533222</t>
  </si>
  <si>
    <t>1819502485389955247</t>
  </si>
  <si>
    <t>1820104320643109238</t>
  </si>
  <si>
    <t>1820919961549676578</t>
  </si>
  <si>
    <t>1818477749700362730</t>
  </si>
  <si>
    <t>1820414726276325663</t>
  </si>
  <si>
    <t>1820616979729821839</t>
  </si>
  <si>
    <t>1820557370918944966</t>
  </si>
  <si>
    <t>1818902628648014136</t>
  </si>
  <si>
    <t>1820569892212617259</t>
  </si>
  <si>
    <t>1818814555981545749</t>
  </si>
  <si>
    <t>1818679010236260376</t>
  </si>
  <si>
    <t>1820520506740929003</t>
  </si>
  <si>
    <t>1820865143992901801</t>
  </si>
  <si>
    <t>1820586521927340110</t>
  </si>
  <si>
    <t>1820644835105144970</t>
  </si>
  <si>
    <t>1819517788307747042</t>
  </si>
  <si>
    <t>1818972162104947138</t>
  </si>
  <si>
    <t>1818974372280897950</t>
  </si>
  <si>
    <t>1820082260239905239</t>
  </si>
  <si>
    <t>1819440546118602945</t>
  </si>
  <si>
    <t>1819828933379977545</t>
  </si>
  <si>
    <t>1819418044860621124</t>
  </si>
  <si>
    <t>914431655405920256</t>
  </si>
  <si>
    <t>1193908437362577408</t>
  </si>
  <si>
    <t>14638581</t>
  </si>
  <si>
    <t>185882316</t>
  </si>
  <si>
    <t>491718378</t>
  </si>
  <si>
    <t>144712423</t>
  </si>
  <si>
    <t>185599833</t>
  </si>
  <si>
    <t>2302035528</t>
  </si>
  <si>
    <t>899081012172300288</t>
  </si>
  <si>
    <t>1287462962064699394</t>
  </si>
  <si>
    <t>2570949123</t>
  </si>
  <si>
    <t>248566038</t>
  </si>
  <si>
    <t>169929768</t>
  </si>
  <si>
    <t>2203521230</t>
  </si>
  <si>
    <t>1257789842148261888</t>
  </si>
  <si>
    <t>183281288</t>
  </si>
  <si>
    <t>519497576</t>
  </si>
  <si>
    <t>156492835</t>
  </si>
  <si>
    <t>18248645</t>
  </si>
  <si>
    <t>435299501</t>
  </si>
  <si>
    <t>1470208535137079297</t>
  </si>
  <si>
    <t>961116889278795777</t>
  </si>
  <si>
    <t>1571343800966021120</t>
  </si>
  <si>
    <t>1676339406528032768</t>
  </si>
  <si>
    <t>76054417</t>
  </si>
  <si>
    <t>120575756</t>
  </si>
  <si>
    <t>104863717</t>
  </si>
  <si>
    <t>1209685950</t>
  </si>
  <si>
    <t>1421836352</t>
  </si>
  <si>
    <t>1187777651253170177</t>
  </si>
  <si>
    <t>919687772277002241</t>
  </si>
  <si>
    <t>1389630809661972487</t>
  </si>
  <si>
    <t>1525070877552943104</t>
  </si>
  <si>
    <t>1399791662906449920</t>
  </si>
  <si>
    <t>2651287484</t>
  </si>
  <si>
    <t>1253123691346636800</t>
  </si>
  <si>
    <t>191683457</t>
  </si>
  <si>
    <t>409285722</t>
  </si>
  <si>
    <t>254542275</t>
  </si>
  <si>
    <t>1448323596</t>
  </si>
  <si>
    <t>891062893</t>
  </si>
  <si>
    <t>2600048012</t>
  </si>
  <si>
    <t>2458471</t>
  </si>
  <si>
    <t>921268233755340800</t>
  </si>
  <si>
    <t>1664033130410303495</t>
  </si>
  <si>
    <t>482389606</t>
  </si>
  <si>
    <t>1514372213323055123</t>
  </si>
  <si>
    <t>1312066005372416001</t>
  </si>
  <si>
    <t>761862806</t>
  </si>
  <si>
    <t>1572737682140270592</t>
  </si>
  <si>
    <t>307577818</t>
  </si>
  <si>
    <t>219630975</t>
  </si>
  <si>
    <t>607496418</t>
  </si>
  <si>
    <t>15951068</t>
  </si>
  <si>
    <t>254210954</t>
  </si>
  <si>
    <t>27708897</t>
  </si>
  <si>
    <t>29270179</t>
  </si>
  <si>
    <t>21530204</t>
  </si>
  <si>
    <t>1707808725736587265</t>
  </si>
  <si>
    <t>204579019</t>
  </si>
  <si>
    <t>1782454111582949377</t>
  </si>
  <si>
    <t>270022127</t>
  </si>
  <si>
    <t>312963709</t>
  </si>
  <si>
    <t>73948999</t>
  </si>
  <si>
    <t>794336622292701184</t>
  </si>
  <si>
    <t>1298680144496939008</t>
  </si>
  <si>
    <t>1658896750248173572</t>
  </si>
  <si>
    <t>1244291337274437632</t>
  </si>
  <si>
    <t>111469750</t>
  </si>
  <si>
    <t>256620656</t>
  </si>
  <si>
    <t>422529654</t>
  </si>
  <si>
    <t>1664987499800805376</t>
  </si>
  <si>
    <t>937732539502026752</t>
  </si>
  <si>
    <t>169979854</t>
  </si>
  <si>
    <t>1463243191994527744</t>
  </si>
  <si>
    <t>53316590</t>
  </si>
  <si>
    <t>60912608</t>
  </si>
  <si>
    <t>1013051904396595200</t>
  </si>
  <si>
    <t>1064885410571137025</t>
  </si>
  <si>
    <t>917816316609916929</t>
  </si>
  <si>
    <t>815994028189696004</t>
  </si>
  <si>
    <t>1524462371225452546</t>
  </si>
  <si>
    <t>1503890119035691009</t>
  </si>
  <si>
    <t>2760282147</t>
  </si>
  <si>
    <t>2198531940</t>
  </si>
  <si>
    <t>1349109249796935681</t>
  </si>
  <si>
    <t>1275855342421921794</t>
  </si>
  <si>
    <t>1432584109</t>
  </si>
  <si>
    <t>247888588</t>
  </si>
  <si>
    <t>1126841091288965120</t>
  </si>
  <si>
    <t>4428170668</t>
  </si>
  <si>
    <t>3395436645</t>
  </si>
  <si>
    <t>1652750708431638540</t>
  </si>
  <si>
    <t>867157204318789637</t>
  </si>
  <si>
    <t>2941520332</t>
  </si>
  <si>
    <t>1551195061483872258</t>
  </si>
  <si>
    <t>244955241</t>
  </si>
  <si>
    <t>303085304</t>
  </si>
  <si>
    <t>140583083</t>
  </si>
  <si>
    <t>33930729</t>
  </si>
  <si>
    <t>24952459</t>
  </si>
  <si>
    <t>1624130744</t>
  </si>
  <si>
    <t>1525449034571333632</t>
  </si>
  <si>
    <t>169239292</t>
  </si>
  <si>
    <t>237809423</t>
  </si>
  <si>
    <t>3215795291</t>
  </si>
  <si>
    <t>143547941</t>
  </si>
  <si>
    <t>59855362</t>
  </si>
  <si>
    <t>1608873720294117379</t>
  </si>
  <si>
    <t>462922493</t>
  </si>
  <si>
    <t>1493969131573583873</t>
  </si>
  <si>
    <t>835169181628678145</t>
  </si>
  <si>
    <t>261225455</t>
  </si>
  <si>
    <t>1529461603351113730</t>
  </si>
  <si>
    <t>1462166849718824966</t>
  </si>
  <si>
    <t>343106439</t>
  </si>
  <si>
    <t>905469450421506053</t>
  </si>
  <si>
    <t>1462987982411993088</t>
  </si>
  <si>
    <t>249173310</t>
  </si>
  <si>
    <t>1421423393979654152</t>
  </si>
  <si>
    <t>286215534</t>
  </si>
  <si>
    <t>12723412</t>
  </si>
  <si>
    <t>85437334</t>
  </si>
  <si>
    <t/>
  </si>
  <si>
    <t>1819378572181586094</t>
  </si>
  <si>
    <t>1819382004682535374</t>
  </si>
  <si>
    <t>1819389539669930045</t>
  </si>
  <si>
    <t>1819394184182149268</t>
  </si>
  <si>
    <t>1819430908421603437</t>
  </si>
  <si>
    <t>1819447488379867282</t>
  </si>
  <si>
    <t>1819378446666993850</t>
  </si>
  <si>
    <t>1820814673580531883</t>
  </si>
  <si>
    <t>1819855424319054128</t>
  </si>
  <si>
    <t>1819006412502008196</t>
  </si>
  <si>
    <t>1819515443285315904</t>
  </si>
  <si>
    <t>1818991793054056951</t>
  </si>
  <si>
    <t>1819983258928533580</t>
  </si>
  <si>
    <t>1821025882544243042</t>
  </si>
  <si>
    <t>1820239809970831650</t>
  </si>
  <si>
    <t>1819391496786780647</t>
  </si>
  <si>
    <t>1820257668910522450</t>
  </si>
  <si>
    <t>1819726684716679409</t>
  </si>
  <si>
    <t>1819107793850585133</t>
  </si>
  <si>
    <t>1819102243456483599</t>
  </si>
  <si>
    <t>1819049085736788181</t>
  </si>
  <si>
    <t>1820205435431076116</t>
  </si>
  <si>
    <t>1819034198285676571</t>
  </si>
  <si>
    <t>1819465737637073130</t>
  </si>
  <si>
    <t>1820382226002895076</t>
  </si>
  <si>
    <t>1820420863654568234</t>
  </si>
  <si>
    <t>1818760913656463470</t>
  </si>
  <si>
    <t>1819766310794117196</t>
  </si>
  <si>
    <t>1819045661406339108</t>
  </si>
  <si>
    <t>1820920472919236988</t>
  </si>
  <si>
    <t>1820420840267124878</t>
  </si>
  <si>
    <t>1818903357337034800</t>
  </si>
  <si>
    <t>1820887194657288422</t>
  </si>
  <si>
    <t>1820586527560200222</t>
  </si>
  <si>
    <t>1818973293589692600</t>
  </si>
  <si>
    <t>1820063810293497920</t>
  </si>
  <si>
    <t>1023357292257927168</t>
  </si>
  <si>
    <t>881580337511489536</t>
  </si>
  <si>
    <t>1227973271192207362</t>
  </si>
  <si>
    <t>1593599329968832516</t>
  </si>
  <si>
    <t>819714458742325248</t>
  </si>
  <si>
    <t>1339647399854297088</t>
  </si>
  <si>
    <t>1194743679250042881</t>
  </si>
  <si>
    <t>1522254046735876104</t>
  </si>
  <si>
    <t>1523431745470689280</t>
  </si>
  <si>
    <t>1219631852866220037</t>
  </si>
  <si>
    <t>1341844772210831367</t>
  </si>
  <si>
    <t>1552773418419904518</t>
  </si>
  <si>
    <t>1579580900714635265</t>
  </si>
  <si>
    <t>884039450011066368</t>
  </si>
  <si>
    <t>1046869960633536514</t>
  </si>
  <si>
    <t>991230522008526848</t>
  </si>
  <si>
    <t>1337109218386718725</t>
  </si>
  <si>
    <t>1801972698202959872</t>
  </si>
  <si>
    <t>716343086016815104</t>
  </si>
  <si>
    <t>1511546056894562311</t>
  </si>
  <si>
    <t>1612781061657731074</t>
  </si>
  <si>
    <t>1788015735224057856</t>
  </si>
  <si>
    <t>1157307121735798785</t>
  </si>
  <si>
    <t>1616754491964932098</t>
  </si>
  <si>
    <t>1618198906088701952</t>
  </si>
  <si>
    <t>1809763139422146560</t>
  </si>
  <si>
    <t>992392796500889600</t>
  </si>
  <si>
    <t>1240677877441540096</t>
  </si>
  <si>
    <t>1492164312831561732</t>
  </si>
  <si>
    <t>1309474908854980608</t>
  </si>
  <si>
    <t>854035435097649152</t>
  </si>
  <si>
    <t>1156226460765630469</t>
  </si>
  <si>
    <t>1699162102957481984</t>
  </si>
  <si>
    <t>1034122091136790528</t>
  </si>
  <si>
    <t>1397278745539629063</t>
  </si>
  <si>
    <t>822377691256995841</t>
  </si>
  <si>
    <t>1428810598402383874</t>
  </si>
  <si>
    <t>1813448552812822528</t>
  </si>
  <si>
    <t>1656114300350615552</t>
  </si>
  <si>
    <t>1343355062605721600</t>
  </si>
  <si>
    <t>1629475484168757248</t>
  </si>
  <si>
    <t>1107802411987619841</t>
  </si>
  <si>
    <t>1498040788072214530</t>
  </si>
  <si>
    <t>727100775017664512</t>
  </si>
  <si>
    <t>1271602673737965571</t>
  </si>
  <si>
    <t>1574865128717135872</t>
  </si>
  <si>
    <t>809701846889676800</t>
  </si>
  <si>
    <t>1554581411952316417</t>
  </si>
  <si>
    <t>783387228018008065</t>
  </si>
  <si>
    <t>701745606369353728</t>
  </si>
  <si>
    <t>1409713742108139522</t>
  </si>
  <si>
    <t>1158410324007170053</t>
  </si>
  <si>
    <t>1759447980132683776</t>
  </si>
  <si>
    <t>1487511346358980614</t>
  </si>
  <si>
    <t>886695811400306688</t>
  </si>
  <si>
    <t>1381157394592509953</t>
  </si>
  <si>
    <t>1328689321185062917</t>
  </si>
  <si>
    <t>727004541275672576</t>
  </si>
  <si>
    <t>1090704993752178691</t>
  </si>
  <si>
    <t>1808997978067382275</t>
  </si>
  <si>
    <t>1248819394920222722</t>
  </si>
  <si>
    <t>1633060113211617286</t>
  </si>
  <si>
    <t>1006928092600918017</t>
  </si>
  <si>
    <t>955587576735334400</t>
  </si>
  <si>
    <t>1531243363328049154</t>
  </si>
  <si>
    <t>1466105979846774784</t>
  </si>
  <si>
    <t>1022826827507814400</t>
  </si>
  <si>
    <t>844748072160776192</t>
  </si>
  <si>
    <t>1765383747178754048</t>
  </si>
  <si>
    <t>1471233503673176065</t>
  </si>
  <si>
    <t>1659820291193819143</t>
  </si>
  <si>
    <t>1425961839138156549</t>
  </si>
  <si>
    <t>1556297433742811137</t>
  </si>
  <si>
    <t>1050810570570649601</t>
  </si>
  <si>
    <t>1212876354351288320</t>
  </si>
  <si>
    <t>1771960946333732864</t>
  </si>
  <si>
    <t>1302226255136411648</t>
  </si>
  <si>
    <t>1322902872053481475</t>
  </si>
  <si>
    <t>1791977440597667840</t>
  </si>
  <si>
    <t>1152592088967651330</t>
  </si>
  <si>
    <t>1031533103989309442</t>
  </si>
  <si>
    <t>1254049061424037890</t>
  </si>
  <si>
    <t>1071592705065660417</t>
  </si>
  <si>
    <t>1798158788551135233</t>
  </si>
  <si>
    <t>844610602345615360</t>
  </si>
  <si>
    <t>1612667522532212736</t>
  </si>
  <si>
    <t>1319120511796973568</t>
  </si>
  <si>
    <t>1700525261794471936</t>
  </si>
  <si>
    <t>1610086619205206018</t>
  </si>
  <si>
    <t>1437782474805895177</t>
  </si>
  <si>
    <t>1137499029888282624</t>
  </si>
  <si>
    <t>1187087452214906886</t>
  </si>
  <si>
    <t>1377352198863081476</t>
  </si>
  <si>
    <t>1511015794242686978</t>
  </si>
  <si>
    <t>1647974787380047875</t>
  </si>
  <si>
    <t>990012825547485184</t>
  </si>
  <si>
    <t>1348056373414780929</t>
  </si>
  <si>
    <t>905096505182363649</t>
  </si>
  <si>
    <t>1126571237235417088</t>
  </si>
  <si>
    <t>1620159658366492672</t>
  </si>
  <si>
    <t>1496755254150447106</t>
  </si>
  <si>
    <t>849749355435364352</t>
  </si>
  <si>
    <t>1390801351391825924</t>
  </si>
  <si>
    <t>1344337895797235713</t>
  </si>
  <si>
    <t>924905675884339200</t>
  </si>
  <si>
    <t>1818969969347952640</t>
  </si>
  <si>
    <t>1333876091883286533</t>
  </si>
  <si>
    <t>843453886321119234</t>
  </si>
  <si>
    <t>1511758054995472394</t>
  </si>
  <si>
    <t>1799172055180435456</t>
  </si>
  <si>
    <t>968783130697064449</t>
  </si>
  <si>
    <t>1783647307423956992</t>
  </si>
  <si>
    <t>1576425579942903809</t>
  </si>
  <si>
    <t>1079558214587482112</t>
  </si>
  <si>
    <t>1466738237574160388</t>
  </si>
  <si>
    <t>ps_martin_</t>
  </si>
  <si>
    <t>kxngofxce</t>
  </si>
  <si>
    <t>Name</t>
  </si>
  <si>
    <t>User ID</t>
  </si>
  <si>
    <t>Followers</t>
  </si>
  <si>
    <t>Followed</t>
  </si>
  <si>
    <t>Tweets</t>
  </si>
  <si>
    <t>Listed Count</t>
  </si>
  <si>
    <t>Favourites Count</t>
  </si>
  <si>
    <t>Media Count</t>
  </si>
  <si>
    <t>Verified</t>
  </si>
  <si>
    <t>Joined Twitter Date (UTC)</t>
  </si>
  <si>
    <t>Location</t>
  </si>
  <si>
    <t>Description</t>
  </si>
  <si>
    <t>URLs (Details)</t>
  </si>
  <si>
    <t>Expanded URLs (Details)</t>
  </si>
  <si>
    <t>Display URLs (Details)</t>
  </si>
  <si>
    <t>Description URLs (Details)</t>
  </si>
  <si>
    <t>Description Expanded URLs (Details)</t>
  </si>
  <si>
    <t>Description Display URLS (Details)</t>
  </si>
  <si>
    <t>Pinned Tweet ID</t>
  </si>
  <si>
    <t>URL</t>
  </si>
  <si>
    <t>Is Blue Verified</t>
  </si>
  <si>
    <t>You Are Followed By</t>
  </si>
  <si>
    <t>You Are Following</t>
  </si>
  <si>
    <t>Can DM</t>
  </si>
  <si>
    <t>Can Media Tag</t>
  </si>
  <si>
    <t>Default Profile</t>
  </si>
  <si>
    <t>Default Profile Image</t>
  </si>
  <si>
    <t>Has Custom Timelines</t>
  </si>
  <si>
    <t>Is Translator</t>
  </si>
  <si>
    <t>Profile Banner URL</t>
  </si>
  <si>
    <t>Profile Interstitial Type</t>
  </si>
  <si>
    <t>Translator Type</t>
  </si>
  <si>
    <t>Want Retweets</t>
  </si>
  <si>
    <t>Withheld</t>
  </si>
  <si>
    <t>Tweeted Search Term?</t>
  </si>
  <si>
    <t>Custom Menu Item Text</t>
  </si>
  <si>
    <t>Custom Menu Item Action</t>
  </si>
  <si>
    <t>BioBioChile</t>
  </si>
  <si>
    <t>pablogarcia_1223</t>
  </si>
  <si>
    <t>Gonzo</t>
  </si>
  <si>
    <t>PQ</t>
  </si>
  <si>
    <t>Manuel Díaz</t>
  </si>
  <si>
    <t>Marissa Rivera</t>
  </si>
  <si>
    <t>@jugadorespromesas</t>
  </si>
  <si>
    <t>anxo durán</t>
  </si>
  <si>
    <t>Kiosco DANI</t>
  </si>
  <si>
    <t>Un_Tipo_Cualquiera</t>
  </si>
  <si>
    <t>Cristina Esteban Calonje</t>
  </si>
  <si>
    <t>Vdy</t>
  </si>
  <si>
    <t>LA RESISTENCIA P. WARTEMBERG</t>
  </si>
  <si>
    <t>Radio ADN</t>
  </si>
  <si>
    <t>Agricultura</t>
  </si>
  <si>
    <t>@Edu_Valparaiso</t>
  </si>
  <si>
    <t>Radio Valentín Letelier</t>
  </si>
  <si>
    <t>pablo mecklenburg</t>
  </si>
  <si>
    <t>FranciscoAV</t>
  </si>
  <si>
    <t>SandLar</t>
  </si>
  <si>
    <t>Claudia de Buen Unna</t>
  </si>
  <si>
    <t>Andrés Manuel</t>
  </si>
  <si>
    <t>bruna⁴</t>
  </si>
  <si>
    <t>Cornelius marido de Zira</t>
  </si>
  <si>
    <t>Eduardo Pérez</t>
  </si>
  <si>
    <t>Gramou 🖐️</t>
  </si>
  <si>
    <t>A N G E L</t>
  </si>
  <si>
    <t>Gustavo de Hoyos R.</t>
  </si>
  <si>
    <t>El Universal</t>
  </si>
  <si>
    <t>mimichichu</t>
  </si>
  <si>
    <t>Lalaw🌸</t>
  </si>
  <si>
    <t>Ilustre Municipalidad de Alhué</t>
  </si>
  <si>
    <t>G5 Noticias</t>
  </si>
  <si>
    <t>Antonio Sierra Lozano</t>
  </si>
  <si>
    <t>🅰🅳🆁🅸🅰🅽 🅾🅸🆉🎙️</t>
  </si>
  <si>
    <t>Mario</t>
  </si>
  <si>
    <t>Suprema Corte</t>
  </si>
  <si>
    <t>Arturo Zaldívar</t>
  </si>
  <si>
    <t>Juan Carlos Rocha</t>
  </si>
  <si>
    <t>H. Cámara de Diputados</t>
  </si>
  <si>
    <t>Juncal Solano</t>
  </si>
  <si>
    <t>☆*⁠.⁠✧inesita ✧⁠*☆</t>
  </si>
  <si>
    <t>Quenna Independiente siempre, aislado nunca.</t>
  </si>
  <si>
    <t>D я e S S 🔥</t>
  </si>
  <si>
    <t>.</t>
  </si>
  <si>
    <t>David Álvarez</t>
  </si>
  <si>
    <t>Libertad Digital</t>
  </si>
  <si>
    <t>Miguel Ángel Pérez</t>
  </si>
  <si>
    <t>Gerardo Gilsanz</t>
  </si>
  <si>
    <t>José Alberto Chozas</t>
  </si>
  <si>
    <t>EL PAÍS</t>
  </si>
  <si>
    <t>carmelo tajadura</t>
  </si>
  <si>
    <t>Sibaritastur (Jorge)</t>
  </si>
  <si>
    <t>Vinetur</t>
  </si>
  <si>
    <t>Preludio Radio</t>
  </si>
  <si>
    <t>ChillanOnline</t>
  </si>
  <si>
    <t>Acción Educar</t>
  </si>
  <si>
    <t>Daniel Rodríguez</t>
  </si>
  <si>
    <t>Rubi62</t>
  </si>
  <si>
    <t>Diego Zapata - superviviente del bipartidismo.</t>
  </si>
  <si>
    <t>RadioPrensa #SiempreAlerta 🔴</t>
  </si>
  <si>
    <t>Radio Valencia SER</t>
  </si>
  <si>
    <t>GVA Educació</t>
  </si>
  <si>
    <t>TONY GABBANA 🏳️‍🌈 ✨</t>
  </si>
  <si>
    <t>𝐶𝑎𝑟𝑚𝑒𝑛 𝐺𝑙𝑜𝑟𝑖𝑎 🐦‍⬛</t>
  </si>
  <si>
    <t>Mirna Marta Quinteros</t>
  </si>
  <si>
    <t>WenaChile</t>
  </si>
  <si>
    <t>joaquin</t>
  </si>
  <si>
    <t>Andrés Larroque</t>
  </si>
  <si>
    <t>beltran</t>
  </si>
  <si>
    <t>JUNJI Chile</t>
  </si>
  <si>
    <t>Grace Arcos Maturana</t>
  </si>
  <si>
    <t>Ministerio de Educación</t>
  </si>
  <si>
    <t>Nicolás Cataldo 🌳🧔🏻‍♂️</t>
  </si>
  <si>
    <t>ElBachValdiviano</t>
  </si>
  <si>
    <t>CNN Chile</t>
  </si>
  <si>
    <t>fernando schz</t>
  </si>
  <si>
    <t>Denise Dresser</t>
  </si>
  <si>
    <t>PistolJosed</t>
  </si>
  <si>
    <t>Thor</t>
  </si>
  <si>
    <t>Diario El Ranco</t>
  </si>
  <si>
    <t>Sergio</t>
  </si>
  <si>
    <t>Team Leo Messi</t>
  </si>
  <si>
    <t>Admisión Escolar 2025</t>
  </si>
  <si>
    <t>Agencia de Calidad de la Educación</t>
  </si>
  <si>
    <t>BLOQUEADA 🇨🇱🌈</t>
  </si>
  <si>
    <t>elizabeth palacios</t>
  </si>
  <si>
    <t>Mr and Mrs 💋</t>
  </si>
  <si>
    <t>Romy🌺</t>
  </si>
  <si>
    <t>Daniela Cuadra</t>
  </si>
  <si>
    <t>Mauricio Risco Risco</t>
  </si>
  <si>
    <t>evelyn ^-^!!!</t>
  </si>
  <si>
    <t>Camila</t>
  </si>
  <si>
    <t>Dani Aleja</t>
  </si>
  <si>
    <t>Fernanda</t>
  </si>
  <si>
    <t>Navarra.com</t>
  </si>
  <si>
    <t>Butaca131</t>
  </si>
  <si>
    <t>puck45</t>
  </si>
  <si>
    <t>AleO</t>
  </si>
  <si>
    <t>𝐤𝐡𝐢𝐬𝐬𝐚.</t>
  </si>
  <si>
    <t>Contingencia Chile Radio y Noticias</t>
  </si>
  <si>
    <t>Camilo Romero</t>
  </si>
  <si>
    <t>Dirección de Educación Pública de Chile (DEP)</t>
  </si>
  <si>
    <t>Alejandra Arratia Martínez</t>
  </si>
  <si>
    <t>Diputadas y Diputados de Chile</t>
  </si>
  <si>
    <t>shoffy... 🇨🇱</t>
  </si>
  <si>
    <t>Patri@8638 GM💙L🖤🦁🌋</t>
  </si>
  <si>
    <t>Pedro_Lorenzo</t>
  </si>
  <si>
    <t>CMDS Antofagasta</t>
  </si>
  <si>
    <t>koke_nortino</t>
  </si>
  <si>
    <t>La Tercera</t>
  </si>
  <si>
    <t>Benigno Piñera</t>
  </si>
  <si>
    <t>Alba Medina</t>
  </si>
  <si>
    <t>AlfonsoCC98</t>
  </si>
  <si>
    <t>Meganoticias</t>
  </si>
  <si>
    <t>Myriam Gómez</t>
  </si>
  <si>
    <t>Seremi de Educación Región de Aysén</t>
  </si>
  <si>
    <t>Eduardo Vírgala Foruria</t>
  </si>
  <si>
    <t>THE OBJECTIVE</t>
  </si>
  <si>
    <t>Leo</t>
  </si>
  <si>
    <t>Selva Andreoli</t>
  </si>
  <si>
    <t>Cojimanki</t>
  </si>
  <si>
    <t>Boniatobill🔻☮️😇</t>
  </si>
  <si>
    <t>🦢 swan song | Boric Imputado</t>
  </si>
  <si>
    <t>Se escribe superricos.</t>
  </si>
  <si>
    <t>El Duque de la Tómbola 💙🤍🖤</t>
  </si>
  <si>
    <t>CF Badalona Futur</t>
  </si>
  <si>
    <t>Hércules CF 💙🤍💯</t>
  </si>
  <si>
    <t>Sergio Sierra</t>
  </si>
  <si>
    <t>DannyMelómano🇪🇸</t>
  </si>
  <si>
    <t>G a l i H C F ⚪💙⚪⚫</t>
  </si>
  <si>
    <t>Javier 💯💙🤍🖤</t>
  </si>
  <si>
    <t>Peña Los Monigotes</t>
  </si>
  <si>
    <t>Salérmico</t>
  </si>
  <si>
    <t>Eduardo Diaz Comellas</t>
  </si>
  <si>
    <t>Transición Ecológica y Reto Demográfico</t>
  </si>
  <si>
    <t>Confederación Hidrográfica del Tajo</t>
  </si>
  <si>
    <t>Jaime Zamorano</t>
  </si>
  <si>
    <t>FERNANDO CHANDIA</t>
  </si>
  <si>
    <t>Prensa Educa ®</t>
  </si>
  <si>
    <t>Lo dicho, paso de locos... Me voy de X.</t>
  </si>
  <si>
    <t>manolo</t>
  </si>
  <si>
    <t>Roberto Sotomayor 🔻</t>
  </si>
  <si>
    <t>Malules</t>
  </si>
  <si>
    <t>AntonioMaestre</t>
  </si>
  <si>
    <t>Manolito Desencadenado</t>
  </si>
  <si>
    <t>Íñigo Errejón</t>
  </si>
  <si>
    <t>Hagov.wav</t>
  </si>
  <si>
    <t>Mauro Salgado</t>
  </si>
  <si>
    <t>Minerva 🇨🇱</t>
  </si>
  <si>
    <t>moniato</t>
  </si>
  <si>
    <t>Alejo</t>
  </si>
  <si>
    <t>Radio Sol Antofagasta</t>
  </si>
  <si>
    <t>Fran...Cielo2🇪🇦🇪🇦🇪🇦🇪🇦</t>
  </si>
  <si>
    <t>María Pérez OLY</t>
  </si>
  <si>
    <t>Yolanda Díaz</t>
  </si>
  <si>
    <t>El Pueblo de Ceuta</t>
  </si>
  <si>
    <t>Roy</t>
  </si>
  <si>
    <t>C. Torres</t>
  </si>
  <si>
    <t>Michelle Bachelet</t>
  </si>
  <si>
    <t>Marcela Cubillos Sigall</t>
  </si>
  <si>
    <t>The Real Mr. Hitchcock</t>
  </si>
  <si>
    <t>Alex Martinez del 55,87</t>
  </si>
  <si>
    <t>24 Horas</t>
  </si>
  <si>
    <t>Pedro Padilla Ruiz</t>
  </si>
  <si>
    <t>Fundación NovaGob</t>
  </si>
  <si>
    <t>M.A.R.C</t>
  </si>
  <si>
    <t>Donald J. Trump</t>
  </si>
  <si>
    <t>Nicolás Maduro</t>
  </si>
  <si>
    <t>Elon Musk</t>
  </si>
  <si>
    <t>Jordi Wild</t>
  </si>
  <si>
    <t>Hector Castro Gallegos</t>
  </si>
  <si>
    <t>Ricardo Homs</t>
  </si>
  <si>
    <t>Elias</t>
  </si>
  <si>
    <t>Chilquinta</t>
  </si>
  <si>
    <t>FMDOS</t>
  </si>
  <si>
    <t>🐀</t>
  </si>
  <si>
    <t>啊了</t>
  </si>
  <si>
    <t>XtinaKhor</t>
  </si>
  <si>
    <t>El Desconcierto</t>
  </si>
  <si>
    <t>LA FONTANA</t>
  </si>
  <si>
    <t>Elsa💋</t>
  </si>
  <si>
    <t>Rhollmann ᅠ</t>
  </si>
  <si>
    <t>Sureña pobre,carmenglo</t>
  </si>
  <si>
    <t>Pente el Chillíos 💪۞</t>
  </si>
  <si>
    <t>Fran Rico</t>
  </si>
  <si>
    <t>INoticias.CL | noticias de 🇨🇱 y del 🌎</t>
  </si>
  <si>
    <t>DUPLOS</t>
  </si>
  <si>
    <t>Daniel Alvarez</t>
  </si>
  <si>
    <t>REFORMA</t>
  </si>
  <si>
    <t>ELBA</t>
  </si>
  <si>
    <t>Kilian</t>
  </si>
  <si>
    <t>Elisa Garrido</t>
  </si>
  <si>
    <t>GONZALO</t>
  </si>
  <si>
    <t>Alicia Álvarez González</t>
  </si>
  <si>
    <t>Ferran Verdejo Vicente</t>
  </si>
  <si>
    <t>Patricia_Blanquer</t>
  </si>
  <si>
    <t>Bego Nasarre /❤️</t>
  </si>
  <si>
    <t>Montse Mínguez</t>
  </si>
  <si>
    <t>Cristina Narbona</t>
  </si>
  <si>
    <t>PSOE Congreso</t>
  </si>
  <si>
    <t>PSOE</t>
  </si>
  <si>
    <t>Pedro Casares</t>
  </si>
  <si>
    <t>Daniel Lacalle</t>
  </si>
  <si>
    <t>Pedro Sánchez</t>
  </si>
  <si>
    <t>Jose A. Sanchez</t>
  </si>
  <si>
    <t>.M.</t>
  </si>
  <si>
    <t>Naty</t>
  </si>
  <si>
    <t>Yordi</t>
  </si>
  <si>
    <t>Cristy Thorne</t>
  </si>
  <si>
    <t>Nuevo Diario Web</t>
  </si>
  <si>
    <t>La Cuarta</t>
  </si>
  <si>
    <t>Codere Colombia</t>
  </si>
  <si>
    <t>Servicio Local de Educación Pública (SLEP) Iquique</t>
  </si>
  <si>
    <t>Seremi de Educación Región de Tarapacá</t>
  </si>
  <si>
    <t>Marina AGBB</t>
  </si>
  <si>
    <t>Pienso, luego pisto</t>
  </si>
  <si>
    <t>Adano</t>
  </si>
  <si>
    <t>Angel Luis</t>
  </si>
  <si>
    <t>MT2</t>
  </si>
  <si>
    <t>La Tómbola Oficial</t>
  </si>
  <si>
    <t>Somos Libres.</t>
  </si>
  <si>
    <t>Claudio X. González G.</t>
  </si>
  <si>
    <t>Roberto Desachy</t>
  </si>
  <si>
    <t>Juan Celis</t>
  </si>
  <si>
    <t>Jose Luis Martín</t>
  </si>
  <si>
    <t>Un Rajador Nato</t>
  </si>
  <si>
    <t>Ayto. de Pinos Genil</t>
  </si>
  <si>
    <t>Jose Luis</t>
  </si>
  <si>
    <t>larisa🐉</t>
  </si>
  <si>
    <t>José María Español</t>
  </si>
  <si>
    <t>Max Pradera 🚀</t>
  </si>
  <si>
    <t>Emmanuel Rincón</t>
  </si>
  <si>
    <t>Claudia Diaz</t>
  </si>
  <si>
    <t>Supereduc</t>
  </si>
  <si>
    <t>Poder Judicial Chile</t>
  </si>
  <si>
    <t>Ismael Sanz</t>
  </si>
  <si>
    <t>EITB Noticias</t>
  </si>
  <si>
    <t>Barrio Tuétano</t>
  </si>
  <si>
    <t>Lee karo-Lyn</t>
  </si>
  <si>
    <t>ᅠ ‍𝘩𝑒𝑦.ᅠ ‍⁺ ┈𝒌iddoᅠ ‍</t>
  </si>
  <si>
    <t>el camino del medio</t>
  </si>
  <si>
    <t>Ex-Ante</t>
  </si>
  <si>
    <t>MrLegalJargon</t>
  </si>
  <si>
    <t>Radio Antofagasta Online</t>
  </si>
  <si>
    <t>zezii busca mutis 🩷</t>
  </si>
  <si>
    <t>13 barras sagradas</t>
  </si>
  <si>
    <t>Félix Bolaños</t>
  </si>
  <si>
    <t>Pmc</t>
  </si>
  <si>
    <t>Javier Flores</t>
  </si>
  <si>
    <t>Lobo</t>
  </si>
  <si>
    <t>La Abuela García®™</t>
  </si>
  <si>
    <t>Gabs111🏳️‍🌈</t>
  </si>
  <si>
    <t>Johnny Quid</t>
  </si>
  <si>
    <t>Reduca</t>
  </si>
  <si>
    <t>Peñalolén</t>
  </si>
  <si>
    <t>Cat</t>
  </si>
  <si>
    <t>Vero</t>
  </si>
  <si>
    <t>Canela ES</t>
  </si>
  <si>
    <t>Cristian A. A. Vera S.</t>
  </si>
  <si>
    <t>Radio Nuevo Mundo 🎙️</t>
  </si>
  <si>
    <t>Pao twitera🌳🌳🌳🌳🌳🌳</t>
  </si>
  <si>
    <t>el vecino de نxue</t>
  </si>
  <si>
    <t>Ricardo 🔻</t>
  </si>
  <si>
    <t>Hdad. de Santiago 🇦🇹</t>
  </si>
  <si>
    <t>CHV Noticias</t>
  </si>
  <si>
    <t>ESCUELA LOS ESTANDARTES COPIAPO</t>
  </si>
  <si>
    <t>YouTube</t>
  </si>
  <si>
    <t>Lopera Digital</t>
  </si>
  <si>
    <t>Junta Jaén</t>
  </si>
  <si>
    <t>Consejería de Empleo, Empresa y Trabajo Autónomo</t>
  </si>
  <si>
    <t>Seremi de Educación Región del Biobío</t>
  </si>
  <si>
    <t>Radio UdeC</t>
  </si>
  <si>
    <t>Coquimbo Noticias</t>
  </si>
  <si>
    <t>💜Majo💜</t>
  </si>
  <si>
    <t>Vanika🍓🎀✨️💜✨️💜✨️💜✨️</t>
  </si>
  <si>
    <t>isal.es.</t>
  </si>
  <si>
    <t>COMENTO TV 📺</t>
  </si>
  <si>
    <t>Achu 🔻</t>
  </si>
  <si>
    <t>Roberto Mulach</t>
  </si>
  <si>
    <t>Hugo Gutiérrez</t>
  </si>
  <si>
    <t>ValentinaSeguel</t>
  </si>
  <si>
    <t>UDD</t>
  </si>
  <si>
    <t>Pivotes - Centro de Incidencia Pública</t>
  </si>
  <si>
    <t>Chicharo 😎💪</t>
  </si>
  <si>
    <t>Monero Rapé ✍🏼</t>
  </si>
  <si>
    <t>El Diario NTR Guadalajara</t>
  </si>
  <si>
    <t>Hernández</t>
  </si>
  <si>
    <t>Revista Olimerca</t>
  </si>
  <si>
    <t>ASAJA-SEVILLA</t>
  </si>
  <si>
    <t>Cuchito 23</t>
  </si>
  <si>
    <t>El Resumen</t>
  </si>
  <si>
    <t>Alvaro</t>
  </si>
  <si>
    <t>Beatriz de la Riera🇪🇦</t>
  </si>
  <si>
    <t>Reyes Maroto</t>
  </si>
  <si>
    <t>Seremi de Educación Región de Los Ríos</t>
  </si>
  <si>
    <t>Taps</t>
  </si>
  <si>
    <t>Maia</t>
  </si>
  <si>
    <t>Radio Festival</t>
  </si>
  <si>
    <t>Seremi de Educación Región de Valparaíso</t>
  </si>
  <si>
    <t>Ramiro Daniel</t>
  </si>
  <si>
    <t>@INEMexico</t>
  </si>
  <si>
    <t>INE</t>
  </si>
  <si>
    <t>Jorge Rincón N</t>
  </si>
  <si>
    <t>Yasbel Nina🤍</t>
  </si>
  <si>
    <t>Meta-Mórfica🦋</t>
  </si>
  <si>
    <t>Túflipas</t>
  </si>
  <si>
    <t>Alfredo Perdiguero M. 🇪🇸</t>
  </si>
  <si>
    <t>Francisco Javier</t>
  </si>
  <si>
    <t>scorpius2.0</t>
  </si>
  <si>
    <t>Ayme 🇵🇸</t>
  </si>
  <si>
    <t>Pablo</t>
  </si>
  <si>
    <t>Manu Fresno</t>
  </si>
  <si>
    <t>Michael "Requeté" Scofield 🇪🇸</t>
  </si>
  <si>
    <t>Charly Porro</t>
  </si>
  <si>
    <t>infa</t>
  </si>
  <si>
    <t>squid</t>
  </si>
  <si>
    <t>ITV Noticias</t>
  </si>
  <si>
    <t>Subsecretaría de Políticas Sociales</t>
  </si>
  <si>
    <t>Radio Comarca de Barros - Almendralejo</t>
  </si>
  <si>
    <t>aangeeell10</t>
  </si>
  <si>
    <t>Aitana</t>
  </si>
  <si>
    <t>Alisson</t>
  </si>
  <si>
    <t>Gabriel Boric Font</t>
  </si>
  <si>
    <t>T13</t>
  </si>
  <si>
    <t>Gonzalo Rguez.</t>
  </si>
  <si>
    <t>ANABEL CV /❤️</t>
  </si>
  <si>
    <t>Victorino Granizo</t>
  </si>
  <si>
    <t>Adriana</t>
  </si>
  <si>
    <t>LauraBueno</t>
  </si>
  <si>
    <t>Asociación Centro Cultural Trece Rosas</t>
  </si>
  <si>
    <t>Diego Moreno</t>
  </si>
  <si>
    <t>Walter Scansetti /❤️🇪🇦🇦🇷🇮🇹🇪🇺</t>
  </si>
  <si>
    <t>PSOE en Ayto Madrid</t>
  </si>
  <si>
    <t>PSOE Latina🌹</t>
  </si>
  <si>
    <t>PSOE Madrid</t>
  </si>
  <si>
    <t>Pedro Barrero</t>
  </si>
  <si>
    <t>M Teresa López Chamosa/❤</t>
  </si>
  <si>
    <t>Yoneli Jimenez</t>
  </si>
  <si>
    <t>Miquel Ramos 🥘</t>
  </si>
  <si>
    <t>Facultad Educación UC</t>
  </si>
  <si>
    <t>Gustavo Astudillo S.</t>
  </si>
  <si>
    <t>El agitador 🖕🤟</t>
  </si>
  <si>
    <t>elDiario.es</t>
  </si>
  <si>
    <t>Abarra</t>
  </si>
  <si>
    <t>Julián Álvarez</t>
  </si>
  <si>
    <t>maria scherer</t>
  </si>
  <si>
    <t>Peter</t>
  </si>
  <si>
    <t>Jos Colón</t>
  </si>
  <si>
    <t>El Reportero de Iquique</t>
  </si>
  <si>
    <t>Paola Palanco</t>
  </si>
  <si>
    <t>miss_fin</t>
  </si>
  <si>
    <t>Artemisa 🇵🇸🏳️‍🌈</t>
  </si>
  <si>
    <t>Lorzagirl y @lorzagirl.bsky.social</t>
  </si>
  <si>
    <t>blue berryy</t>
  </si>
  <si>
    <t>Anna BaeGui</t>
  </si>
  <si>
    <t>Antonio Baños</t>
  </si>
  <si>
    <t>Luis del Pino</t>
  </si>
  <si>
    <t>martaluska Guerrera</t>
  </si>
  <si>
    <t>Claudia</t>
  </si>
  <si>
    <t>Luis Roco</t>
  </si>
  <si>
    <t>Gobierno de Chile</t>
  </si>
  <si>
    <t>Seremi Educación Región del Maule</t>
  </si>
  <si>
    <t>Luis Rubio</t>
  </si>
  <si>
    <t>Javitxu</t>
  </si>
  <si>
    <t>The Lust of Ass</t>
  </si>
  <si>
    <t>Consejería de Salud y Consumo</t>
  </si>
  <si>
    <t>Latte {☕} develatter.bsky.social</t>
  </si>
  <si>
    <t>🇺🇦 Movimiento en Defensa de la República 🇲🇽</t>
  </si>
  <si>
    <t>Campiña Digital</t>
  </si>
  <si>
    <t>Serv. Andaluz Empleo</t>
  </si>
  <si>
    <t>Leonel Diaz</t>
  </si>
  <si>
    <t>Irene Aguiar</t>
  </si>
  <si>
    <t>mazunykever</t>
  </si>
  <si>
    <t>Milena Eldan Ors, merluza, del 56 % y del 38 %</t>
  </si>
  <si>
    <t>La Discusión</t>
  </si>
  <si>
    <t>bun 🐰🍓</t>
  </si>
  <si>
    <t>Jorge Schiappacasse Araya</t>
  </si>
  <si>
    <t>🫶🏻</t>
  </si>
  <si>
    <t>Ale</t>
  </si>
  <si>
    <t>Pacífico Televisión</t>
  </si>
  <si>
    <t>RADIO PAULINA</t>
  </si>
  <si>
    <t>Pasan Cosas - Bío Bío, Chile - Informativo Express</t>
  </si>
  <si>
    <t>Zurda Burguesa</t>
  </si>
  <si>
    <t>Négoro.</t>
  </si>
  <si>
    <t>Patty</t>
  </si>
  <si>
    <t>Óscar</t>
  </si>
  <si>
    <t>Alán Barroso</t>
  </si>
  <si>
    <t>Paislobo Prensa</t>
  </si>
  <si>
    <t>𓂀 sof, the creator</t>
  </si>
  <si>
    <t>mario🍣</t>
  </si>
  <si>
    <t>zona11</t>
  </si>
  <si>
    <t>Juanin.</t>
  </si>
  <si>
    <t>Manu Jimenez</t>
  </si>
  <si>
    <t>KIROLEROS.com 101.6fm</t>
  </si>
  <si>
    <t>✮⋆｡Pabu⋆｡✮</t>
  </si>
  <si>
    <t>En La Hora Chile</t>
  </si>
  <si>
    <t>Roberto Zamora</t>
  </si>
  <si>
    <t>10deMayo 🇲🇽✍️</t>
  </si>
  <si>
    <t>Antonio Garci Nieto</t>
  </si>
  <si>
    <t>SENAPRED</t>
  </si>
  <si>
    <t>Alvaro Hormazabal</t>
  </si>
  <si>
    <t>Pedro C. MendozaC.</t>
  </si>
  <si>
    <t>Rodríguez Belén</t>
  </si>
  <si>
    <t>Movimento Humanista Digital Sonora</t>
  </si>
  <si>
    <t>Naranjo.·.</t>
  </si>
  <si>
    <t>Universidad Católica</t>
  </si>
  <si>
    <t>Marco A. Gallardo Ugarte</t>
  </si>
  <si>
    <t>Centro de Justicia Educacional (CJE)</t>
  </si>
  <si>
    <t>tiro al blanco</t>
  </si>
  <si>
    <t>Tehuelche Noticias</t>
  </si>
  <si>
    <t>tss1</t>
  </si>
  <si>
    <t>Don Ricardo Salinas Pliego</t>
  </si>
  <si>
    <t>Patrax</t>
  </si>
  <si>
    <t>Raúl Solís ✌️🏳️‍🌈 #FuckWar</t>
  </si>
  <si>
    <t>Heri Cunill</t>
  </si>
  <si>
    <t>Pedro Torrijos</t>
  </si>
  <si>
    <t>Isidro Muñoz</t>
  </si>
  <si>
    <t>Antonio Ordóñez Serna</t>
  </si>
  <si>
    <t>gerardo camacho sand</t>
  </si>
  <si>
    <t>Lynn🌸</t>
  </si>
  <si>
    <t>luci ❤️😘</t>
  </si>
  <si>
    <t>Carolina Darias</t>
  </si>
  <si>
    <t>Andrés Álvarez 1973 Libertad</t>
  </si>
  <si>
    <t>Rodolfo García 🇨🇱</t>
  </si>
  <si>
    <t>Felipe León López</t>
  </si>
  <si>
    <t>Patricio Celis Leiva 1️⃣9️⃣7️⃣7️⃣</t>
  </si>
  <si>
    <t>Dr. Ángel Galdón Rodríguez</t>
  </si>
  <si>
    <t>asr2</t>
  </si>
  <si>
    <t>SomosJujuy</t>
  </si>
  <si>
    <t>Martín Arrau GH.</t>
  </si>
  <si>
    <t>Aljarafe y más</t>
  </si>
  <si>
    <t>Marian Gomez Olid</t>
  </si>
  <si>
    <t>Víctor Ávila</t>
  </si>
  <si>
    <t>Ayuntamiento de Camas</t>
  </si>
  <si>
    <t>Hdad. de Ntra. Sra. del Rocio de Camas</t>
  </si>
  <si>
    <t>I'm not a part of the maga agenda</t>
  </si>
  <si>
    <t>Mi gente de durango</t>
  </si>
  <si>
    <t>Radio Crystal FM - Red regional de emisoras</t>
  </si>
  <si>
    <t>La Ligua Noticias y Actualidad</t>
  </si>
  <si>
    <t>Polar Comunicaciones</t>
  </si>
  <si>
    <t>maximo tovar</t>
  </si>
  <si>
    <t>💙❤ ORGULLO AZULGRANA 10 ❤💙</t>
  </si>
  <si>
    <t>Más Que Pelotas ®</t>
  </si>
  <si>
    <t>Nacho Jiménez</t>
  </si>
  <si>
    <t>Nita</t>
  </si>
  <si>
    <t>Ellioctop</t>
  </si>
  <si>
    <t>Micti</t>
  </si>
  <si>
    <t>Carlos Alberto</t>
  </si>
  <si>
    <t>Huracán Olvido </t>
  </si>
  <si>
    <t>Odiosin😊</t>
  </si>
  <si>
    <t>Claudia Aldana S.</t>
  </si>
  <si>
    <t>Niña roseada.</t>
  </si>
  <si>
    <t>CdeCFris 🏋🏼‍♂️</t>
  </si>
  <si>
    <t>El Independiente</t>
  </si>
  <si>
    <t>Capichi__liberi 🌐</t>
  </si>
  <si>
    <t>Ina_manrocker</t>
  </si>
  <si>
    <t>Fabián</t>
  </si>
  <si>
    <t>josep maria rubio rius</t>
  </si>
  <si>
    <t>El Punt Avui 🎗️</t>
  </si>
  <si>
    <t>★ann | comms open !!</t>
  </si>
  <si>
    <t>Prensa Eventos Noticias®</t>
  </si>
  <si>
    <t>Roberto Ortiz</t>
  </si>
  <si>
    <t>Xóchitl Gálvez Ruiz</t>
  </si>
  <si>
    <t>Becasses</t>
  </si>
  <si>
    <t>Mesa Plural</t>
  </si>
  <si>
    <t>𝐰𝐢𝐥𝐥𝐢𝐚𝐦 𝐦𝐨𝐨𝐫𝐞｡</t>
  </si>
  <si>
    <t>PS Martin</t>
  </si>
  <si>
    <t>Charlotte 🇨🇱 🎸🎬📚</t>
  </si>
  <si>
    <t>gonza</t>
  </si>
  <si>
    <t>AntiTÚ</t>
  </si>
  <si>
    <t>4798909823</t>
  </si>
  <si>
    <t>40484758</t>
  </si>
  <si>
    <t>169550797</t>
  </si>
  <si>
    <t>116018197</t>
  </si>
  <si>
    <t>75157099</t>
  </si>
  <si>
    <t>201493641</t>
  </si>
  <si>
    <t>36409216</t>
  </si>
  <si>
    <t>42961651</t>
  </si>
  <si>
    <t>65131520</t>
  </si>
  <si>
    <t>214549002</t>
  </si>
  <si>
    <t>82119937</t>
  </si>
  <si>
    <t>2471929277</t>
  </si>
  <si>
    <t>3344268101</t>
  </si>
  <si>
    <t>939952549</t>
  </si>
  <si>
    <t>16676396</t>
  </si>
  <si>
    <t>3284663407</t>
  </si>
  <si>
    <t>1561982048</t>
  </si>
  <si>
    <t>2275069247</t>
  </si>
  <si>
    <t>80421729</t>
  </si>
  <si>
    <t>2903980137</t>
  </si>
  <si>
    <t>498984649</t>
  </si>
  <si>
    <t>336239758</t>
  </si>
  <si>
    <t>27038703</t>
  </si>
  <si>
    <t>331897934</t>
  </si>
  <si>
    <t>7996082</t>
  </si>
  <si>
    <t>89679388</t>
  </si>
  <si>
    <t>32935674</t>
  </si>
  <si>
    <t>1241464651</t>
  </si>
  <si>
    <t>182543260</t>
  </si>
  <si>
    <t>2412504692</t>
  </si>
  <si>
    <t>285374264</t>
  </si>
  <si>
    <t>145270013</t>
  </si>
  <si>
    <t>402013017</t>
  </si>
  <si>
    <t>492071324</t>
  </si>
  <si>
    <t>17007007</t>
  </si>
  <si>
    <t>2964016114</t>
  </si>
  <si>
    <t>40275317</t>
  </si>
  <si>
    <t>1131137575</t>
  </si>
  <si>
    <t>167663092</t>
  </si>
  <si>
    <t>2756709835</t>
  </si>
  <si>
    <t>39057749</t>
  </si>
  <si>
    <t>1116036842</t>
  </si>
  <si>
    <t>475071898</t>
  </si>
  <si>
    <t>380552427</t>
  </si>
  <si>
    <t>3222731</t>
  </si>
  <si>
    <t>195998422</t>
  </si>
  <si>
    <t>58048133</t>
  </si>
  <si>
    <t>2548324454</t>
  </si>
  <si>
    <t>20661700</t>
  </si>
  <si>
    <t>1602818168</t>
  </si>
  <si>
    <t>145273075</t>
  </si>
  <si>
    <t>282930614</t>
  </si>
  <si>
    <t>216385346</t>
  </si>
  <si>
    <t>950516604</t>
  </si>
  <si>
    <t>1818927404271710208</t>
  </si>
  <si>
    <t>421158517</t>
  </si>
  <si>
    <t>1005028594136092673</t>
  </si>
  <si>
    <t>871645081</t>
  </si>
  <si>
    <t>141240332</t>
  </si>
  <si>
    <t>502111935</t>
  </si>
  <si>
    <t>94208950</t>
  </si>
  <si>
    <t>309009116</t>
  </si>
  <si>
    <t>1340756958</t>
  </si>
  <si>
    <t>252834303</t>
  </si>
  <si>
    <t>108928107</t>
  </si>
  <si>
    <t>309713753</t>
  </si>
  <si>
    <t>308537634</t>
  </si>
  <si>
    <t>4119914644</t>
  </si>
  <si>
    <t>968552547144404994</t>
  </si>
  <si>
    <t>34474416</t>
  </si>
  <si>
    <t>90227660</t>
  </si>
  <si>
    <t>283242905</t>
  </si>
  <si>
    <t>1236001195</t>
  </si>
  <si>
    <t>25073877</t>
  </si>
  <si>
    <t>1252764865</t>
  </si>
  <si>
    <t>44196397</t>
  </si>
  <si>
    <t>848151240</t>
  </si>
  <si>
    <t>89555842</t>
  </si>
  <si>
    <t>116976626</t>
  </si>
  <si>
    <t>183664445</t>
  </si>
  <si>
    <t>119391598</t>
  </si>
  <si>
    <t>382700029</t>
  </si>
  <si>
    <t>613740623</t>
  </si>
  <si>
    <t>161999953</t>
  </si>
  <si>
    <t>1433599650</t>
  </si>
  <si>
    <t>4441446563</t>
  </si>
  <si>
    <t>430735507</t>
  </si>
  <si>
    <t>410817258</t>
  </si>
  <si>
    <t>33240122</t>
  </si>
  <si>
    <t>241509744</t>
  </si>
  <si>
    <t>281692885</t>
  </si>
  <si>
    <t>4816112080</t>
  </si>
  <si>
    <t>399278810</t>
  </si>
  <si>
    <t>88802757</t>
  </si>
  <si>
    <t>847169983</t>
  </si>
  <si>
    <t>447260411</t>
  </si>
  <si>
    <t>522108784</t>
  </si>
  <si>
    <t>50982086</t>
  </si>
  <si>
    <t>378525757</t>
  </si>
  <si>
    <t>68740712</t>
  </si>
  <si>
    <t>1149744894</t>
  </si>
  <si>
    <t>59316426</t>
  </si>
  <si>
    <t>418217836</t>
  </si>
  <si>
    <t>4715906122</t>
  </si>
  <si>
    <t>3223771</t>
  </si>
  <si>
    <t>2987417895</t>
  </si>
  <si>
    <t>325711452</t>
  </si>
  <si>
    <t>791379487</t>
  </si>
  <si>
    <t>262900496</t>
  </si>
  <si>
    <t>434354655</t>
  </si>
  <si>
    <t>199757056</t>
  </si>
  <si>
    <t>198492710</t>
  </si>
  <si>
    <t>2931229342</t>
  </si>
  <si>
    <t>633346092</t>
  </si>
  <si>
    <t>3563779095</t>
  </si>
  <si>
    <t>855125486</t>
  </si>
  <si>
    <t>2282830267</t>
  </si>
  <si>
    <t>2799941348</t>
  </si>
  <si>
    <t>499811956</t>
  </si>
  <si>
    <t>600260862</t>
  </si>
  <si>
    <t>26728695</t>
  </si>
  <si>
    <t>118254056</t>
  </si>
  <si>
    <t>516934570</t>
  </si>
  <si>
    <t>214495593</t>
  </si>
  <si>
    <t>1723004564</t>
  </si>
  <si>
    <t>15662312</t>
  </si>
  <si>
    <t>1337043620</t>
  </si>
  <si>
    <t>324447694</t>
  </si>
  <si>
    <t>260408604</t>
  </si>
  <si>
    <t>634560014</t>
  </si>
  <si>
    <t>51326671</t>
  </si>
  <si>
    <t>10228272</t>
  </si>
  <si>
    <t>888567234</t>
  </si>
  <si>
    <t>2283502404</t>
  </si>
  <si>
    <t>185668520</t>
  </si>
  <si>
    <t>2649039428</t>
  </si>
  <si>
    <t>87266031</t>
  </si>
  <si>
    <t>1460877274773966848</t>
  </si>
  <si>
    <t>1496155476974882827</t>
  </si>
  <si>
    <t>119211398</t>
  </si>
  <si>
    <t>291924619</t>
  </si>
  <si>
    <t>87976010</t>
  </si>
  <si>
    <t>3121878377</t>
  </si>
  <si>
    <t>541828362</t>
  </si>
  <si>
    <t>1148369462</t>
  </si>
  <si>
    <t>3082942179</t>
  </si>
  <si>
    <t>583129266</t>
  </si>
  <si>
    <t>2667356420</t>
  </si>
  <si>
    <t>119535717</t>
  </si>
  <si>
    <t>1311722040</t>
  </si>
  <si>
    <t>408130371</t>
  </si>
  <si>
    <t>76178329</t>
  </si>
  <si>
    <t>24922691</t>
  </si>
  <si>
    <t>980298770</t>
  </si>
  <si>
    <t>56996734</t>
  </si>
  <si>
    <t>223907679</t>
  </si>
  <si>
    <t>3239022497</t>
  </si>
  <si>
    <t>267243319</t>
  </si>
  <si>
    <t>1427628236</t>
  </si>
  <si>
    <t>1507749709</t>
  </si>
  <si>
    <t>73981088</t>
  </si>
  <si>
    <t>202763360</t>
  </si>
  <si>
    <t>7106322</t>
  </si>
  <si>
    <t>3435354671</t>
  </si>
  <si>
    <t>1268012160</t>
  </si>
  <si>
    <t>2416222248</t>
  </si>
  <si>
    <t>2827540481</t>
  </si>
  <si>
    <t>198239060</t>
  </si>
  <si>
    <t>2270608334</t>
  </si>
  <si>
    <t>34272192</t>
  </si>
  <si>
    <t>40900410</t>
  </si>
  <si>
    <t>74859075</t>
  </si>
  <si>
    <t>1490774188549881860</t>
  </si>
  <si>
    <t>278043436</t>
  </si>
  <si>
    <t>101785967</t>
  </si>
  <si>
    <t>535707261</t>
  </si>
  <si>
    <t>1446488246</t>
  </si>
  <si>
    <t>144721801</t>
  </si>
  <si>
    <t>409740584</t>
  </si>
  <si>
    <t>1054663639</t>
  </si>
  <si>
    <t>39364450</t>
  </si>
  <si>
    <t>502996206</t>
  </si>
  <si>
    <t>1308316317041274880</t>
  </si>
  <si>
    <t>185396219</t>
  </si>
  <si>
    <t>1868253674</t>
  </si>
  <si>
    <t>241993704</t>
  </si>
  <si>
    <t>401333458</t>
  </si>
  <si>
    <t>42102939</t>
  </si>
  <si>
    <t>2445925304</t>
  </si>
  <si>
    <t>328447141</t>
  </si>
  <si>
    <t>300136823</t>
  </si>
  <si>
    <t>171801469</t>
  </si>
  <si>
    <t>1079405406</t>
  </si>
  <si>
    <t>185290338</t>
  </si>
  <si>
    <t>31459537</t>
  </si>
  <si>
    <t>64751347</t>
  </si>
  <si>
    <t>3724564216</t>
  </si>
  <si>
    <t>107179612</t>
  </si>
  <si>
    <t>201774528</t>
  </si>
  <si>
    <t>49239316</t>
  </si>
  <si>
    <t>93319559</t>
  </si>
  <si>
    <t>1226459472</t>
  </si>
  <si>
    <t>119225892</t>
  </si>
  <si>
    <t>18572502</t>
  </si>
  <si>
    <t>84480432</t>
  </si>
  <si>
    <t>569228717</t>
  </si>
  <si>
    <t>1123636860566241280</t>
  </si>
  <si>
    <t>112431151</t>
  </si>
  <si>
    <t>2956347853</t>
  </si>
  <si>
    <t>404615050</t>
  </si>
  <si>
    <t>183688780</t>
  </si>
  <si>
    <t>19726230</t>
  </si>
  <si>
    <t>3033737213</t>
  </si>
  <si>
    <t>283190504</t>
  </si>
  <si>
    <t>602589702</t>
  </si>
  <si>
    <t>2790280217</t>
  </si>
  <si>
    <t>3101233043</t>
  </si>
  <si>
    <t>253616741</t>
  </si>
  <si>
    <t>134370704</t>
  </si>
  <si>
    <t>1875740150</t>
  </si>
  <si>
    <t>4704340470</t>
  </si>
  <si>
    <t>3377502832</t>
  </si>
  <si>
    <t>437507846</t>
  </si>
  <si>
    <t>636576817</t>
  </si>
  <si>
    <t>1670717716053868546</t>
  </si>
  <si>
    <t>1712316110</t>
  </si>
  <si>
    <t>3299314078</t>
  </si>
  <si>
    <t>1323363619</t>
  </si>
  <si>
    <t>2923886627</t>
  </si>
  <si>
    <t>597380069</t>
  </si>
  <si>
    <t>109692058</t>
  </si>
  <si>
    <t>2982697647</t>
  </si>
  <si>
    <t>183893569</t>
  </si>
  <si>
    <t>297001852</t>
  </si>
  <si>
    <t>118589715</t>
  </si>
  <si>
    <t>765654752</t>
  </si>
  <si>
    <t>145304567</t>
  </si>
  <si>
    <t>743456072673992704</t>
  </si>
  <si>
    <t>1618972646</t>
  </si>
  <si>
    <t>848170292</t>
  </si>
  <si>
    <t>1334247697163964425</t>
  </si>
  <si>
    <t>83876461</t>
  </si>
  <si>
    <t>578494949</t>
  </si>
  <si>
    <t>1340144769914318849</t>
  </si>
  <si>
    <t>Chile</t>
  </si>
  <si>
    <t>Morella, España</t>
  </si>
  <si>
    <t>Aquí y ahora</t>
  </si>
  <si>
    <t xml:space="preserve">Instagram marissariverar </t>
  </si>
  <si>
    <t>Florida, USA</t>
  </si>
  <si>
    <t>Galiza</t>
  </si>
  <si>
    <t>En un punto azul pálido</t>
  </si>
  <si>
    <t>Mallorca.</t>
  </si>
  <si>
    <t xml:space="preserve"> Chile</t>
  </si>
  <si>
    <t>San Fernando Chile</t>
  </si>
  <si>
    <t>Santiago, Chile</t>
  </si>
  <si>
    <t>Santiago Chile</t>
  </si>
  <si>
    <t>Valparaíso, Chile</t>
  </si>
  <si>
    <t>Viña del Mar, Chile</t>
  </si>
  <si>
    <t xml:space="preserve">Ciudad de México, México </t>
  </si>
  <si>
    <t>México</t>
  </si>
  <si>
    <t xml:space="preserve">Mataró </t>
  </si>
  <si>
    <t>Sevilla, España</t>
  </si>
  <si>
    <t xml:space="preserve">Sevilla </t>
  </si>
  <si>
    <t>Ciudad Autónoma de Buenos Aire</t>
  </si>
  <si>
    <t>Veracruz</t>
  </si>
  <si>
    <t>Centro de la Ciudad de México</t>
  </si>
  <si>
    <t>dteam♧</t>
  </si>
  <si>
    <t xml:space="preserve"> 20⬆️She/her @realmadrid</t>
  </si>
  <si>
    <t>Alhué,Chile</t>
  </si>
  <si>
    <t>Zaragoza, España</t>
  </si>
  <si>
    <t>Ciudad de Mexico</t>
  </si>
  <si>
    <t xml:space="preserve">Av. Congreso de la Unión, 66. </t>
  </si>
  <si>
    <t>Chilito ░▒▓█►─═ Chile ═─◄█▓</t>
  </si>
  <si>
    <t>Right                 Te sigue</t>
  </si>
  <si>
    <t>Comunidad de Madrid, España</t>
  </si>
  <si>
    <t>Madrid</t>
  </si>
  <si>
    <t>Madrid, Comunidad de Madrid</t>
  </si>
  <si>
    <t>Oviedo, Asturias, Spain</t>
  </si>
  <si>
    <t>San Felipe, Chile</t>
  </si>
  <si>
    <t>Chillan, Chile</t>
  </si>
  <si>
    <t>Melipilla, Región Metropolitan</t>
  </si>
  <si>
    <t>València, España</t>
  </si>
  <si>
    <t>plus.google.com/+wenchile</t>
  </si>
  <si>
    <t>Argentina</t>
  </si>
  <si>
    <t>Conchalí, Chile</t>
  </si>
  <si>
    <t>Ciudad de México</t>
  </si>
  <si>
    <t xml:space="preserve">Universo Paralelo </t>
  </si>
  <si>
    <t>Provincia del Ranco</t>
  </si>
  <si>
    <t>quintero</t>
  </si>
  <si>
    <t xml:space="preserve">chile, santiago. </t>
  </si>
  <si>
    <t>osorno, chile</t>
  </si>
  <si>
    <t>Andurriero</t>
  </si>
  <si>
    <t>Pamplona, España</t>
  </si>
  <si>
    <t>Monterrey, Nuevo León</t>
  </si>
  <si>
    <t>turtle lover 👊🏼</t>
  </si>
  <si>
    <t>Santiago/Concepción (Chile)</t>
  </si>
  <si>
    <t>Nuevo mexico</t>
  </si>
  <si>
    <t>Antofagasta, Chile</t>
  </si>
  <si>
    <t>Mexico, D.F.</t>
  </si>
  <si>
    <t>Jaén, España</t>
  </si>
  <si>
    <t>Las Palmas de Gran Canaria, Es</t>
  </si>
  <si>
    <t>CDMX</t>
  </si>
  <si>
    <t>Francisco Bilbao 540 Coyhaique</t>
  </si>
  <si>
    <t>Donostia (Euskadi; España)</t>
  </si>
  <si>
    <t>Montevideo - Uruguay</t>
  </si>
  <si>
    <t>uruguay</t>
  </si>
  <si>
    <t>Jerez de la Frontera, España</t>
  </si>
  <si>
    <t xml:space="preserve">minando la frontera </t>
  </si>
  <si>
    <t>Alicante (España)</t>
  </si>
  <si>
    <t>Badalona, Espanya</t>
  </si>
  <si>
    <t>Alicante, España</t>
  </si>
  <si>
    <t>Alicante</t>
  </si>
  <si>
    <t>Rico Pérez ,Alicante, España</t>
  </si>
  <si>
    <t xml:space="preserve">Donde todo es blanco y azul. </t>
  </si>
  <si>
    <t>Vigo</t>
  </si>
  <si>
    <t>Madrid (Spain)</t>
  </si>
  <si>
    <t>LOS ANGELES - CHILE</t>
  </si>
  <si>
    <t>Las Condes, Chile</t>
  </si>
  <si>
    <t>Banda del Napalm</t>
  </si>
  <si>
    <t>Barcelona</t>
  </si>
  <si>
    <t>México de palacios vecindades</t>
  </si>
  <si>
    <t>San Pedro de la Paz, Chile</t>
  </si>
  <si>
    <t>Valencia, España</t>
  </si>
  <si>
    <t>Te sigue</t>
  </si>
  <si>
    <t>Orce (Granada)</t>
  </si>
  <si>
    <t>Galicia</t>
  </si>
  <si>
    <t>Ceuta</t>
  </si>
  <si>
    <t>Paris</t>
  </si>
  <si>
    <t>Dax, Francia</t>
  </si>
  <si>
    <t>Venezuela</t>
  </si>
  <si>
    <t>Sonora</t>
  </si>
  <si>
    <t>México, D.F.</t>
  </si>
  <si>
    <t>Chapultepec</t>
  </si>
  <si>
    <t>Región de Valparaíso, Chile</t>
  </si>
  <si>
    <t>Santiago, Chile.</t>
  </si>
  <si>
    <t>San Carlos, Chile</t>
  </si>
  <si>
    <t xml:space="preserve"> Chile región del Rio Rio</t>
  </si>
  <si>
    <t>Malaguita en Miarmaland City</t>
  </si>
  <si>
    <t>Málaga</t>
  </si>
  <si>
    <t>Av. México Coyoacán 40</t>
  </si>
  <si>
    <t>Calahorra, España</t>
  </si>
  <si>
    <t>Alcázar de San Juan</t>
  </si>
  <si>
    <t>Santa Cruz de Tenerife, España</t>
  </si>
  <si>
    <t>Huesca y Alcolea</t>
  </si>
  <si>
    <t>Lleida</t>
  </si>
  <si>
    <t>Santander - España</t>
  </si>
  <si>
    <t>London, England</t>
  </si>
  <si>
    <t>Colo Colo</t>
  </si>
  <si>
    <t>Iquique, Chile</t>
  </si>
  <si>
    <t>Torremolinos - Málaga</t>
  </si>
  <si>
    <t>Santiago del Estero, Argentina</t>
  </si>
  <si>
    <t>Colombia</t>
  </si>
  <si>
    <t>Esmeralda 340, piso 13 Iquique</t>
  </si>
  <si>
    <t>Madrid, España</t>
  </si>
  <si>
    <t>Pamplona</t>
  </si>
  <si>
    <t>Salamanca y Gata</t>
  </si>
  <si>
    <t>🇲🇽 | PROMOS DM</t>
  </si>
  <si>
    <t>Puebla</t>
  </si>
  <si>
    <t>Te enseño a #VivirDelFútbol 📩</t>
  </si>
  <si>
    <t>Pinos Genil, España</t>
  </si>
  <si>
    <t>El Escorial ( Madrid )</t>
  </si>
  <si>
    <t>Darkest timeline</t>
  </si>
  <si>
    <t>Quien canta sus males espanta</t>
  </si>
  <si>
    <t>Buenos Aires &amp; London</t>
  </si>
  <si>
    <t>Miami, FL</t>
  </si>
  <si>
    <t>⠀⠀おmdni⠀､⠀𝘩e.⠀⠀⠀ܢ𝒄. hid301⠀⠀</t>
  </si>
  <si>
    <t>San Diego, CA</t>
  </si>
  <si>
    <t>she ⭐ mt w. @bluebberryz</t>
  </si>
  <si>
    <t>Los Lagos, Chile</t>
  </si>
  <si>
    <t>Guerrero, México</t>
  </si>
  <si>
    <t>⚛️</t>
  </si>
  <si>
    <t>Peñalolén, Chile</t>
  </si>
  <si>
    <t>Oficina de gestión, Nook Inc.</t>
  </si>
  <si>
    <t>Valparaíso y Patagonia, Earth.</t>
  </si>
  <si>
    <t>Siempre encima de esas nubes</t>
  </si>
  <si>
    <t>Castilla</t>
  </si>
  <si>
    <t>Iglesia Parroquial de Santiago</t>
  </si>
  <si>
    <t>Copiapó, Atacama</t>
  </si>
  <si>
    <t>San Bruno, CA</t>
  </si>
  <si>
    <t>Lopera (Jaén)</t>
  </si>
  <si>
    <t>Jaén</t>
  </si>
  <si>
    <t>Andalucía</t>
  </si>
  <si>
    <t>San Martín N°1062, Concepción.</t>
  </si>
  <si>
    <t>Concepción, Chile</t>
  </si>
  <si>
    <t>Comunidad Valenciana, España</t>
  </si>
  <si>
    <t>Universo</t>
  </si>
  <si>
    <t>Santiago de Chile</t>
  </si>
  <si>
    <t xml:space="preserve">Tapatilandia </t>
  </si>
  <si>
    <t>Guadalajara, Jalisco</t>
  </si>
  <si>
    <t>Súpertacos Chupacabras</t>
  </si>
  <si>
    <t>España Spain</t>
  </si>
  <si>
    <t>Sevilla</t>
  </si>
  <si>
    <t>Chillán</t>
  </si>
  <si>
    <t>Carlos Anwandter 708, Valdivia</t>
  </si>
  <si>
    <t>Cary, NC</t>
  </si>
  <si>
    <t>Distrito Federal, México</t>
  </si>
  <si>
    <t>Madrid - Barcelona</t>
  </si>
  <si>
    <t>Almería</t>
  </si>
  <si>
    <t>La Palma, Islas Canarias</t>
  </si>
  <si>
    <t>Shadow Moses</t>
  </si>
  <si>
    <t>Móstoles, España</t>
  </si>
  <si>
    <t>Bolivia</t>
  </si>
  <si>
    <t>Sevilla, Andalucía</t>
  </si>
  <si>
    <t>Punta Arenas</t>
  </si>
  <si>
    <t>La Plata, Argentina</t>
  </si>
  <si>
    <t>Almendralejo</t>
  </si>
  <si>
    <t>Chile, Antofagasta</t>
  </si>
  <si>
    <t>C/Seseña 32, Aluche, Madrid</t>
  </si>
  <si>
    <t xml:space="preserve">C/ José Maurelo, 21 Local </t>
  </si>
  <si>
    <t>València</t>
  </si>
  <si>
    <t>Lanús, Argentina</t>
  </si>
  <si>
    <t>México D. F.</t>
  </si>
  <si>
    <t>Nueva York, USA</t>
  </si>
  <si>
    <t>Artesa de Segre, Catalunya</t>
  </si>
  <si>
    <t>Sant Esteve de les Roures</t>
  </si>
  <si>
    <t>sevilla</t>
  </si>
  <si>
    <t>Alto Hospicio, Chile</t>
  </si>
  <si>
    <t>Metropolitana de Santiago, Chi</t>
  </si>
  <si>
    <t>Mexico</t>
  </si>
  <si>
    <t>El Lejano Oeste</t>
  </si>
  <si>
    <t>🇺🇦</t>
  </si>
  <si>
    <t>Andújar (Jaén).</t>
  </si>
  <si>
    <t>Andalucia</t>
  </si>
  <si>
    <t>Guatemala</t>
  </si>
  <si>
    <t>Madrid, Spain</t>
  </si>
  <si>
    <t>Montevideo, Uruguay</t>
  </si>
  <si>
    <t>Rancagua, Chile</t>
  </si>
  <si>
    <t>Chillán, Chile</t>
  </si>
  <si>
    <t>﹙  ✿  ﹚ infj 03</t>
  </si>
  <si>
    <t>La Reina / La Calera</t>
  </si>
  <si>
    <t>Santiago, chile</t>
  </si>
  <si>
    <t>Los Ángeles, Chile</t>
  </si>
  <si>
    <t>Curicó</t>
  </si>
  <si>
    <t>Región del Bio-Bío</t>
  </si>
  <si>
    <t>Teruel - Barcelona - Madrid</t>
  </si>
  <si>
    <t>Osorno, Chile</t>
  </si>
  <si>
    <t>xixón, asturies</t>
  </si>
  <si>
    <t>Asturies</t>
  </si>
  <si>
    <t>Coyhaique</t>
  </si>
  <si>
    <t>Vitoria</t>
  </si>
  <si>
    <t>Gordoa</t>
  </si>
  <si>
    <t>🦑 Andalucía</t>
  </si>
  <si>
    <t>México DF</t>
  </si>
  <si>
    <t xml:space="preserve">L'anima della città eterna. </t>
  </si>
  <si>
    <t>Hermosillo</t>
  </si>
  <si>
    <t>Mèxico</t>
  </si>
  <si>
    <t>#EdoMex</t>
  </si>
  <si>
    <t>Talca, Chile</t>
  </si>
  <si>
    <t>Macul, Chile</t>
  </si>
  <si>
    <t>Aysén</t>
  </si>
  <si>
    <t>La Pirámide del Fin del Mundo</t>
  </si>
  <si>
    <t>Las Palmas de Gran Canaria, España</t>
  </si>
  <si>
    <t>santiago, bogotá, londinium</t>
  </si>
  <si>
    <t>Sandbach, England</t>
  </si>
  <si>
    <t>Tercera roca desde el Sol</t>
  </si>
  <si>
    <t>Jujuy, Argentina</t>
  </si>
  <si>
    <t>Ñuble</t>
  </si>
  <si>
    <t>Aljarafe - Sevilla</t>
  </si>
  <si>
    <t>Camas</t>
  </si>
  <si>
    <t>Camas (Sevilla)</t>
  </si>
  <si>
    <t>Camas, Sevilla</t>
  </si>
  <si>
    <t>Camas, España</t>
  </si>
  <si>
    <t>Canatlán, Durango</t>
  </si>
  <si>
    <t>Freire 19, Quillota, Chile</t>
  </si>
  <si>
    <t>La Ligua, Chile</t>
  </si>
  <si>
    <t>Punta Arenas, Chile</t>
  </si>
  <si>
    <t>IZTACALCO, CDMX</t>
  </si>
  <si>
    <t>Suscribete ➡️</t>
  </si>
  <si>
    <t xml:space="preserve">Dismal Hollow Road </t>
  </si>
  <si>
    <t>Barrio Juan Dieguito</t>
  </si>
  <si>
    <t>Murcia, España</t>
  </si>
  <si>
    <t>Mondúber</t>
  </si>
  <si>
    <t>Berisso, Argentina</t>
  </si>
  <si>
    <t>Catalunya</t>
  </si>
  <si>
    <t xml:space="preserve">21 | she </t>
  </si>
  <si>
    <t>Vitacura - Chile</t>
  </si>
  <si>
    <t>Miguel Hidalgo, CDMX</t>
  </si>
  <si>
    <t>Hermosillo Sonora, México</t>
  </si>
  <si>
    <t xml:space="preserve">argentina </t>
  </si>
  <si>
    <t>Somos la red de prensa más grande del país.  Wsp: 📲Valparaíso: +56322357700 📲Santiago: +56992007888 📲Concepción: +56800726726 📲 IG: biobiochile</t>
  </si>
  <si>
    <t>Grado Medio y Superior de Informática 💻
Futbolero ⚽🧤🌩
Adoro los Pokémon los gatos 🐈
Viva los gatos😻
#España 🇪🇸
#VISCABARÇA 💙❤️
#MUFC 🖤♥</t>
  </si>
  <si>
    <t>QF en esta vida y otras. Olguita Marina. Mamá de Frijol. 
APS lover y salubrista.</t>
  </si>
  <si>
    <t>Empresario, Comercio Exterior, Analista Político, Conferencista, Bosque, Veganismo, Vinos.</t>
  </si>
  <si>
    <t>Periodista mexicana https://t.co/M1qIZhGpTf http://@MeganoticiasMx @elarsenalmx</t>
  </si>
  <si>
    <t>"Ojeador" jubilado de jóvenes jugadores, el mérito es descubrirlos a la edad de 14 a 16 años Algunos se pierden, por "cantos de sirena" o por sus padres/manager</t>
  </si>
  <si>
    <t>https://t.co/WtMKa2CjNK 💋</t>
  </si>
  <si>
    <t>Kiosco céntrico de la ciudad de Tarariras, departamento de Colonia. Uruguay.</t>
  </si>
  <si>
    <t>El conocimiento es el motor que hace avanzar una sociedad.</t>
  </si>
  <si>
    <t>#ProVida.</t>
  </si>
  <si>
    <t>No respondo dm</t>
  </si>
  <si>
    <t>Patriota y Nacionalista escéptico por naturaleza y orgullosamente heterosexual</t>
  </si>
  <si>
    <t>Actualidad, Deportes y Noticias. Emisora miembro de @PRISARadio. 
📱 +56985212360
📻 https://t.co/KnHI5vlxIi</t>
  </si>
  <si>
    <t>📻 88 años Junto a ti. 92.1FM
 🎥https://t.co/2e3IAGheXX
📲https://t.co/8JFApPlAZs…</t>
  </si>
  <si>
    <t>Servicio Local de Educación, parte de @EduPublicaCL, a cargo de administrar jardines, escuelas y liceos públicos de Valparaíso y Juan Fernández.</t>
  </si>
  <si>
    <t>Radio Valentín Letelier, la emisora de la @UValpoChile Escúchanos en el 97.3 FM 94 AM y en https://t.co/4n3nT97d6X Contacto radio@uv.cl Prensa rvlnoticias@uv.cl</t>
  </si>
  <si>
    <t>Papa, Cocinero, Profesor,  y Porfiado</t>
  </si>
  <si>
    <t>Internacionalista, comunicóloga por adopción, me encantan los buenos vinos y lo más importante: una mujer orgullosa de ser madre.</t>
  </si>
  <si>
    <t>Abogada y mediadora. Mamá de 2 increíbles mujeres. Ex Presidenta de la BMA. Amo cada rincón de México, su comida y su música</t>
  </si>
  <si>
    <t>Presidente de México 1° de diciembre 2018 - 30 de septiembre 2024</t>
  </si>
  <si>
    <t>molt del barça, graham hansen enjoyer</t>
  </si>
  <si>
    <t>Sevillista desde la época de las películas del planeta de los simios de Charlton Heston</t>
  </si>
  <si>
    <t>Vivo en un país políticamente enfermo, desde el político hasta el votante connivente y cómplice de las fechorías de los primeros.....</t>
  </si>
  <si>
    <t>#LAM  https://t.co/NCwx9sowPv</t>
  </si>
  <si>
    <t>Economista egresado de la UANL, Maestro en Comunicación por la UV,
Dr. en Gobierno y Administración Pública por la ELCPAPO.
Docente en la FACICO de la U V.</t>
  </si>
  <si>
    <t>Sigue el canal de EL UNIVERSAL MX - Noticias en WhatsApp: https://t.co/X0tZQ46F4p</t>
  </si>
  <si>
    <t>hey! what do you mean? is this game like a part time job for you? listen up, I'm gonna crush you. your little japanese sightseeing trip is gonna turn TRAUMATIC</t>
  </si>
  <si>
    <t>I'll put my life on the line|
I'll d with you|
The one who makes all this explode out of me... is you, Isagi!! my rival!!!🦉🌱|
Rinsagi no1
🐉🍵</t>
  </si>
  <si>
    <t>Bienvenido a la cuenta oficial de la I.Municipalidad de Alhué</t>
  </si>
  <si>
    <t>Somos una multiplataforma noticiosa. Creada y editada desde la Región de Valparaíso para Chile y el mundo.</t>
  </si>
  <si>
    <t>Militar de profesión ya retirado ,misiones en Bosnia, Kosovo e Irak, submarinista, nadador y andarin ,zaragocista hasta la médula ,el 123.</t>
  </si>
  <si>
    <t>Cuenta muy personal y con alto porcentaje de broma. 🐣
Real Zaragoza💙</t>
  </si>
  <si>
    <t>Suprema Corte de Justicia de la Nación</t>
  </si>
  <si>
    <t>Coordinador General de Política y Gobierno de la Presidencia de México. Ministro en retiro y expresidente de la Suprema Corte de Justicia de la Nación.</t>
  </si>
  <si>
    <t>Obradorista | Sheinbaunista | Ciencia Política UNAM | 3 veces en La Mañanera de AMLO |</t>
  </si>
  <si>
    <t>Cuenta oficial de la H. Cámara de Diputados</t>
  </si>
  <si>
    <t>Abogada/ Youtuber/ conductora del Charro Político 🤟🏻✨ Trabajo Periodístico 📰</t>
  </si>
  <si>
    <t>⊹☆✯✷⊹</t>
  </si>
  <si>
    <t>La Sociedad civil quiere mas seguridad, poder salir al trabajo sin miedo. NO mas terrorismo en la Araucanía ni delincuencias en todo Chile.</t>
  </si>
  <si>
    <t>Chile primero | comento verdades</t>
  </si>
  <si>
    <t>Desde hace 20 años narrador y presentador en RMTV. https://t.co/b0JZrk1OpT instagram: dalvarez1976</t>
  </si>
  <si>
    <t>Noticias y opinión en la red. Escúchanos en @esRadio y léenos también en @libre_mercado @ChicRevista @LoDeCultura</t>
  </si>
  <si>
    <t>Periodista de tribunales e investigación en Esradio y Libertad Digital. Canal: https://t.co/omeVIyMuGD</t>
  </si>
  <si>
    <t>Arte. Economía. Atlético de Madrid. Literatura. Derecho. Perros. Amigos.</t>
  </si>
  <si>
    <t>🎙️Periodista deportivo en @LaMediaInglesa
📺 Antes en @elchiringuitotv @diarioas @vamos
📸Instagram: joseachozas
💙🤍</t>
  </si>
  <si>
    <t>La mejor información en español. Con nuestra mirada puesta en España, Europa y América. Aquí tienes nuestra política de privacidad https://t.co/1J0jyff6Da</t>
  </si>
  <si>
    <t>Economista de Deusto. Aquí escribo sobre todo de temas relacionados con el sector financiero y los mercados, pero no sólo. Runner</t>
  </si>
  <si>
    <t>Formación y asesoría independiente en torno al vino. Catas a domicilio. WSET3. Catas en #Sibaritastur. Eventos: #EspirituGastro |#TimbaVinicola. 16 años de Blog</t>
  </si>
  <si>
    <t>La revista digital del vino
https://t.co/ZfYih3HaFE</t>
  </si>
  <si>
    <t>Preludio es la marca radial con más tradición en la FM de Aconcagua, fundada el 23 de septiembre de 1982 RADIO F.M. V REGION 100.9 F.M. WhatsApp +569 83807177</t>
  </si>
  <si>
    <t>Email: prensachillanonline@gmail.com</t>
  </si>
  <si>
    <t>Fundación cuyo objetivo es aportar al desarrollo de un sistema educacional de calidad, que resguarde la diversidad de proyectos y la libertad de elección.</t>
  </si>
  <si>
    <t>Director ejecutivo de Acción Educar @accioneducar</t>
  </si>
  <si>
    <t>Abogado, Téc.Forense, Dir. Medios
Progresista quien sea que lo lidere.
Si argumentas insultando ve al psicólogo.
https://t.co/0UN0OLE4lP</t>
  </si>
  <si>
    <t>Twitter oficial de Radios Ignacio Serrano CB54 y FM Caricia 102.3 de Melipilla. Durante 60 años, acompañando e informando a nuestra gente. #SiempreAlerta 🎙</t>
  </si>
  <si>
    <t>La emisora más escuchada de la Comunitat Valenciana.
Política de privacidad: https://t.co/UZGncef9Vr</t>
  </si>
  <si>
    <t>Àrea d'Educació de la Conselleria d'Educació, Cultura, Universitats i Ocupació.</t>
  </si>
  <si>
    <t>🇪🇺 Eurofan
📺 Comentarista de todo
8️⃣0️⃣'s boy</t>
  </si>
  <si>
    <t>“𝐴𝑢𝑛𝑞𝑢𝑒 𝑛𝑎𝑑𝑎 𝑐𝑎𝑚𝑏𝑖𝑒, 𝑠𝑖 𝑦𝑜 𝑐𝑎𝑚𝑏𝑖𝑜, 𝑡𝑜𝑑𝑜 𝑐𝑎𝑚𝑏𝑖𝑎”. 🦋🌌🌱✨</t>
  </si>
  <si>
    <t>Profesora de la deuda histórica. Madre de cinco hijos . Abuela de 11 nietos .Espíritu libre , creyente sin practicar ninguna religión . Ni de Der. Ni de Izqda.</t>
  </si>
  <si>
    <t>Patriota.
No al abuso a la Gente.
No a la narco-delincuencia.
Fuera los Políticos sinvergüenzas, se salvan pocos.</t>
  </si>
  <si>
    <t>Militante del Movimiento Nacional Justicialista. Ministro de @MinDesarrolloBA.</t>
  </si>
  <si>
    <t>feliz de la vida 🇨🇱 ❤️ 🇺🇸     PhD business administration DBA</t>
  </si>
  <si>
    <t>📚 Construyendo desde la niñez el presente de Chile. #LaEducaciónParvulariaAvanza</t>
  </si>
  <si>
    <t>Ex Concejala de #Conchalí (2016-2024) 🧡 Vecina, Profesora, Militante PC ✊️🇨🇱 Trabajando por el #ConchalíCentenario 💯✨️</t>
  </si>
  <si>
    <t>📚Ministerio de Educación, Gobierno de Chile. 👉 @Subeduc, @SubEducParv y @SubseEdSuperior #ChileAvanzaContigo</t>
  </si>
  <si>
    <t>Padre del Salva y la Mati. Profesor. Porteño. Ministro de Educación (@Mineduc) en el Gobierno del Presidente @GabrielBoric. #ChileAvanzaContigo 🇨🇱.</t>
  </si>
  <si>
    <t>Patriota, quiero a mi Chile libre y próspero 🇨🇱</t>
  </si>
  <si>
    <t>CNN Chile #Siempre
📲 Canal en WhatsApp: https://t.co/TJruTHssme
App:
♦️ Android: https://t.co/vgxExTYtKz
♦️ iOS: https://t.co/JtlrR4QXE8</t>
  </si>
  <si>
    <t>En las buenas y en las malas.</t>
  </si>
  <si>
    <t>Analista, activista, mamá de 3 humanos, 2 perros. Autora de “¿Qué sigue? 20 lecciones para ser ciudadano ante un país en riesgo” conferencias@denisedresser.com</t>
  </si>
  <si>
    <t>prefiero morir de pie que vivir de rodillas</t>
  </si>
  <si>
    <t>Sabrán como pienso a través de mis tweets  |  You'll know how I think through my tweets</t>
  </si>
  <si>
    <t>Diario de la región de Los Ríos | diarioelranco@gmail.com</t>
  </si>
  <si>
    <t>Seguimos al mejor jugador de la historia donde sea que vaya con inmensa admiración, amor y respeto. La rutina de lo extraordinario.🐐🇦🇷❤</t>
  </si>
  <si>
    <t>Somos el sitio de información para el proceso de #AdmisiónEscolar para establecimientos con financiamiento estatal en Chile. @mineduc</t>
  </si>
  <si>
    <t>Nuestro objetivo es evaluar y orientar al sistema educativo para que propenda al mejoramiento de la calidad.</t>
  </si>
  <si>
    <t>💋Contenido 🔥🔥</t>
  </si>
  <si>
    <t>Visual Producer | Master of Education | https://t.co/av2KO9ZzSO | Contact: danielafcuadra@gmail.com</t>
  </si>
  <si>
    <t>Ing. Ejec. Automatización Procesos Industriales_x000D_
e Ing. Electricidad y electrónica</t>
  </si>
  <si>
    <t>Lawyer In Process ⚖👩‍⚖️ USAC ❤🖤.           
    Venticinque anni ♎💜</t>
  </si>
  <si>
    <t>Gaztetan txarangazale; orain musikari bakarlaria.</t>
  </si>
  <si>
    <t>Toda la actualidad de Navarra. La información no tiene precio.</t>
  </si>
  <si>
    <t>Mexico es de todos!</t>
  </si>
  <si>
    <t>ㅤㅤㅤㅤㅤㅤ❪ ⎊ ❫ do it for my homegrown's, do it for the clan ⤸⤸ ㅤㅤㅤㅤㅤㅤ〝#lgrp〞 ㅤꗃ •⦅⦆</t>
  </si>
  <si>
    <t>📰 La verdad al instante, donde quiera que esté. 
Escucha nuestra Radio Online: https://t.co/0gqibx17Y8
En TikTok e Instagram: @contingenciachile1</t>
  </si>
  <si>
    <t>Somos la Dirección de Educación Pública de Chile #DEP Comprometidos con el fortalecimiento de la #NuevaEducaciónPública en todo el país. Chile Avanza Contigo.</t>
  </si>
  <si>
    <t>Subsecretaria de Educación (@subeduc) en el gobierno del Presidente Gabriel Boric Font. #ChileAvanzaContigo 🇨🇱</t>
  </si>
  <si>
    <t>Cuenta oficial de la Cámara de Diputadas y Diputados de Chile. Noticias sobre los proyectos de ley y la labor fiscalizadora y de representación.</t>
  </si>
  <si>
    <t>Hijo puedes escribir tu historia pero no olvides la nuestra 💞💜... 
Mamá quisiera poder abrazarte y te extraño 🖤.......🐾🐕🐈</t>
  </si>
  <si>
    <t>Sabes por que te quiero? porque eres casa ❤</t>
  </si>
  <si>
    <t>Retornado a Tierra Santa Iquique Glorioso</t>
  </si>
  <si>
    <t>Administramos la salud y educación. Presidente del Directorio es el alcalde Sacha Razmilic Burgos y su secretaria ejecutiva, Belguin Cisternas Oliva</t>
  </si>
  <si>
    <t>Nortino, muy ilusionado con el hecho de que Chile vuelva a ser líder de LATAM, así garantizarles al menos un buen futuro a nuestros hijos y futuras generaciones</t>
  </si>
  <si>
    <t>Piensa Sin Límites📱💻📰
Newsletter 🗞️ https://t.co/mE5a97fAow
YouTube 📹 https://t.co/m8NCknYNY9
WhatsApp 🔔 https://t.co/pwG2tdLi1g</t>
  </si>
  <si>
    <t>💬 Crónica Social  | 📺 TV | 📰 Cultura Pop</t>
  </si>
  <si>
    <t>Técnico</t>
  </si>
  <si>
    <t>Mantente informado al instante en https://t.co/PTo5rIBCJR ¿Tienes alguna denuncia? Escríbenos al +56958300316 🧐</t>
  </si>
  <si>
    <t>Siempre por México.
             100% Anti Morena y con todo lo que tenga que ver con la 4T</t>
  </si>
  <si>
    <t>Isabel Garrido Casassa, @isagarridoc Secretaria Regional Ministerial de Educación, Región de Aysén.</t>
  </si>
  <si>
    <t>Donostia, 1959. Catedrático jubilado de Derecho Constitucional (1982-2019, 6 sexenios de investigación); empleado del Banco de Vizcaya (1973-1982).</t>
  </si>
  <si>
    <t>Noticias exclusivas y opiniones libres en abierto.
Contáctenos: info@theobjective.com
WhatsApp: https://t.co/hf5MxvSENf
Telegram: https://t.co/6rKAT5BwAM</t>
  </si>
  <si>
    <t>Frustrado jugador de futbol hoy seria retirado millonario.</t>
  </si>
  <si>
    <t>Directora de Perfil. Presidenta https://t.co/G2MLRgxeen ALAP, co fundadora de CIET, miembro OMEU. Maestra, Bioquímica, Prof. de  Emprendedurismo. Militante por una vida mas justa.</t>
  </si>
  <si>
    <t>Antifascista desde que tengo uso de razón y seguiré siendo aunque me toque el Euromillón, empleado público jubilado</t>
  </si>
  <si>
    <t>Por todos los que murieron por la República, el poder para el pueblo.Por todos los obreros que cada día levantamos este país.. Antifascista siempre .SyR✊</t>
  </si>
  <si>
    <t>me bloqueas = eres guatona y picota | no interactúen: 🚫🇻🇪 🚫☪️ 🚫✡️ 🚫🏳️‍⚧️ 🚫 🇭🇹</t>
  </si>
  <si>
    <t>«Atrevíme en fin, hice lo que puede, derribáronme».</t>
  </si>
  <si>
    <t>Alicantino.....de las Hogueras, de la Santa Faz y del Hercules!!!
Loco de la NFL 🏈</t>
  </si>
  <si>
    <t>🪦</t>
  </si>
  <si>
    <t>Twitter oficial del Hércules de Alicante CF. 1️⃣9️⃣2️⃣2️⃣ | 💙 #MachoHércules 🤍</t>
  </si>
  <si>
    <t>Periodista</t>
  </si>
  <si>
    <t>Alicantino-Español-HERCULANO 🤍💙</t>
  </si>
  <si>
    <t>“La esperanza es algo bueno, quizás sea lo mejor de las cosas. Y las cosas buenas nunca mueren”. Hércules o mort.</t>
  </si>
  <si>
    <t>En las buenas estará cualquiera,en las malas los de siempre #MachoHércules</t>
  </si>
  <si>
    <t>Podcaster aficionado y aficionado a los podcasts.
Conductor en Todos Juntos en Armonía Podcast del Hércules CF. 
Persona errática</t>
  </si>
  <si>
    <t>también estoy en  https://t.co/1tNPk2VbIe</t>
  </si>
  <si>
    <t>Vicepresidencia Tercera del Gobierno de España - Ministerio para la Transición Ecológica y el Reto Demográfico</t>
  </si>
  <si>
    <t>Twitter oficial de Confederación Hidrográfica del Tajo, O.A. del Ministerio para la Transición Ecológica y el Reto Demográfico. También en https://t.co/ZbsmzmjTIM</t>
  </si>
  <si>
    <t>Physicist (Astrophysics) at UCM  
@unicomplutense @iparcos_ucm 
Another amateur photographer. 
@stars4all_eu #LightPollution
https://t.co/gyV8qEcKCU</t>
  </si>
  <si>
    <t>Encargado de Regina Coeli Radio 95.3 FM 
Director de https://t.co/ZMtxERkw9v 
desde Los Ángeles Chile
Director de https://t.co/7Q8Em8evv7</t>
  </si>
  <si>
    <t>Prensa y Noticias sobre educación pública y privada en Chile. 
Portal Educa es parte de la plataforma  https://t.co/GRvPEx19Cx
Mail:prensa@portaleduca.cl</t>
  </si>
  <si>
    <t>Una vez fui candidato a la alcaldía de la ciudad que me vio nacer. ❤️
Antifascista
Cofundador de @MadridADebate 
🏃Antes corría.</t>
  </si>
  <si>
    <t>Interesada en la política aunque desencantada con la situación actual de la misma. En contra del Gobierno.</t>
  </si>
  <si>
    <t>Periodista y escritor | Eldiario, La Sexta, RNE, El País y La Marea | Publiqué en Jacobin y Le Monde Diplomatique | Libros: Franquismo S.A, Infames, Los Rotos.</t>
  </si>
  <si>
    <t>Software Engineer &amp; DevOps.
No soporto la idiotez y para mi desgracia, abunda.</t>
  </si>
  <si>
    <t>Portavoz de @sumar en el Congreso. Doctor en Ciencia Política por la UCM. Democracia es el poder de (los) cualquiera. #ConstruirPueblo #TransiciónEcológicaJusta</t>
  </si>
  <si>
    <t>Audio y Canciones en Máxima Calidad |
Peronista e hincha del rojo 👹❤️ |</t>
  </si>
  <si>
    <t>Superéroe anónimo desfacedor de entuertos,  también Caifán mayor, economero. charro de levita, inútil fellinezco, niño perdido y adorador de calabacitas tiernas</t>
  </si>
  <si>
    <t>BIOBIO Salud; Preparador Físico; ADM. Público ex Cheerleader 
📸🐕🐾🏋️🤸‍♀️</t>
  </si>
  <si>
    <t>Hola</t>
  </si>
  <si>
    <t>Colaboraciones, propuestas y publicidad al DM 📩</t>
  </si>
  <si>
    <t>Contigo siempre, desde 1966 como Radio UN y desde 1983 como Radio Sol. Escúchanos en el 97.7 FM de #Antofagasta🎙📻☀️/ https://t.co/C6z3MK7QC8</t>
  </si>
  <si>
    <t>Las élites woke son el cáncer del mundo.
Fachosfera.</t>
  </si>
  <si>
    <t>Olympic champion 🥇🥈
World Champion 🥇🥇
European Champion 🥇
🆆🆁 35K
🅽🆁 3K, 5K, 20K, 35K
Bajo las ordenes de Daniel Jacinto Garzón.</t>
  </si>
  <si>
    <t>Abogada. Galega. Vicepresidenta Segunda del Gobierno de España y Ministra de Trabajo y Economía Social. Un proyecto de país para la próxima década con @Sumar.</t>
  </si>
  <si>
    <t>Diario El Pueblo de Ceuta, fundado en 1995.
Primer Diario Digital de Ceuta.
Síguenos también en FACEBOOK
 https://t.co/xsSS4oy0aG</t>
  </si>
  <si>
    <t>X se hizo para wear a los fanáticos!
Acá se ataca sin piedad, de preferencia ZURDOFACHOS</t>
  </si>
  <si>
    <t>Former @UNHumanRights Chief / Ex Alta Comisionada de las ONU para los Derechos Humanos. Expresidenta de Chile. #StandUp4HumanRights</t>
  </si>
  <si>
    <t>Ex ministra de Medio Ambiente y Educación. Abogada. Mamá. Cruzada de corazón⚽️ Trabajando por un Chile con más orden y progreso 🇨🇱</t>
  </si>
  <si>
    <t>Di NO al Nazismo en todas sus formas,expresiones, simbologías, gestualidades y apologías, combátelos,enfréntalos y derrótalos por cualquier medio necesario.👊</t>
  </si>
  <si>
    <t>Interprete Músico, mi pasión es el 🎷y la música. Gente que valora la música bienvenida.🍉 me gusta hablar de música. Artiste Zurdo de mente y corazón.</t>
  </si>
  <si>
    <t>¡HOLA! 🖐️ Somos el departamento de prensa de TVN. Actualidad, señales en vivo, últimos minutos y más ➡️ https://t.co/2GlX3ZBSIJ</t>
  </si>
  <si>
    <t>Doctor en Derecho. Funcionario. Especialista en gestión pública. Formador sobre las  aplicaciones de la IA en las #aapp Telegram: https://t.co/N4htOFBLAx</t>
  </si>
  <si>
    <t>Organización no lucrativa que impulsa, orienta y acompaña la #Innovaciónpública💡 Red Social, Laboratorio, Congreso #NovaGob2025 y #PremiosNovaGob ¿Colaboramos?</t>
  </si>
  <si>
    <t>Hagas lo que hagas, hazlo intensamente. Poker&amp;bets como forma de vida. Viva El Bierzo 🤍LaPonfe💙 ❤️F.C.B💙 🤍Depor💙</t>
  </si>
  <si>
    <t>45th &amp; 47th President of the United States of America🇺🇸</t>
  </si>
  <si>
    <t>Presidente de la República Bolivariana de Venezuela 2025 - 2031 - Soldado de Bolívar - Hijo de Chávez</t>
  </si>
  <si>
    <t>No tengo gato, pero sí un podcast. https://t.co/rQBUxMODNt Contacto SÓLO profesional: jordi@jordiwild.com</t>
  </si>
  <si>
    <t>Ing. Hector Castro Gallegos Quien controle la información controlará el mundo……El silencio es la gran prueba de mi amor por ti !!</t>
  </si>
  <si>
    <t>Periodista. Presidente de la ACADEMIA MEXICANA DE LA COMUNICACIÓN. Articulista @El_Universal_Mx.  Marketing político. Autor de 25 libros.</t>
  </si>
  <si>
    <t>Aplicador de Sentido Común!!!</t>
  </si>
  <si>
    <t>Si te encuentras sin suministro eléctrico, puedes revisar y reportar las interrupciones en el siguiente link https://t.co/xKZRg4Nm0b</t>
  </si>
  <si>
    <t>Noticias minuto a minuto de Chile y el mundo. Actualidad en Deportes y Espectáculos: https://t.co/e6tzllur69</t>
  </si>
  <si>
    <t>Tu espacio para el amor y la música de los dos. Whatsapp: +56996809211 ¡No dejes de escucharnos en nuestra app y señal online!</t>
  </si>
  <si>
    <t>Procura que tus palabras sean mejores que el silencio. Si no lo son, tuitéalo. 🐀</t>
  </si>
  <si>
    <t>Medio de comunicación digital 
https://t.co/TKAEx8rMQI
#InformaConectaConstruye</t>
  </si>
  <si>
    <t>Diario digital fundado en San Carlos (Región de Ñuble).
Actualidad local, nacional e internacional.</t>
  </si>
  <si>
    <t>porque solo vine a molestar un ratito 😘</t>
  </si>
  <si>
    <t>Neurodivergente, periodista y cientista político. Lector del lenguaje corporal y microexpresiones :D . Insulto=bloqueo #autismo #cadenadeunion =🦋 💙</t>
  </si>
  <si>
    <t>un día, descubrí que odio el comunismo.</t>
  </si>
  <si>
    <t>Con un escalón y un litro ya soy feliz, a partir de ahí todo suma. Contra franco vivimos mejor. Padre azul💙 y enamorao de la vida gracias a @raqueluki. ANDALÚ!</t>
  </si>
  <si>
    <t>CM a ratos, gazpachuelólogo. #Málaga por bandera 🟪🟩 @OrgullodeMalaga</t>
  </si>
  <si>
    <t>📌Resumen de Noticias de 🇨🇱 y el 🌎 🇨🇱 Nacional 🌎 Internacional 📝 Economía 🏃 Deportes ☀️ Clima 👉 https://t.co/Y92IYwihKh https://t.co/wwc2zVwBNP</t>
  </si>
  <si>
    <t>Somos noticias de actualidad, datos útiles y tendencias en Chile 🇨🇱</t>
  </si>
  <si>
    <t>Contador Público, Fiscalista desde hace más de 30 años, Maestro en Fiscal (Máster ), Estudiante de Leyes.</t>
  </si>
  <si>
    <t>Periódico REFORMA ofrece información puntual, exclusiva y verificada de los hechos principales de México y el mundo. #RegístrateGratis</t>
  </si>
  <si>
    <t>Dra. en Ciencias Jurídicas. Magistrada de Circuito en retiro. 100% apolítica. La DIGNIDAD no permite que te traiciones para encajar, o que calles para agradar.</t>
  </si>
  <si>
    <t>Portavoz socialista en @aytocalahorra. Secretaria General de @psoecalahorra Secretaria de Medio Rural de la CEF de @psoe Diputada XV legislatura @congreso_es</t>
  </si>
  <si>
    <t>Alcazareño, Socialista y Sevillista</t>
  </si>
  <si>
    <t>Siempre aprendiendo y conectada con la realidad.
Feliz de vivir en el paraíso 🇮🇨
Funcionaria.
Diputada @Congreso_es por S/C de Tenerife 
 🌹</t>
  </si>
  <si>
    <t>🎓Politòleg //🏠Portaveu del PSC a l'Ajuntament de Cardona// 🏛️Diputat al Congrés</t>
  </si>
  <si>
    <t>Diputada Congreso por Alicante. Sensible a las necesidades sociales y comprometida en dar respuestas. De formación economista y mi pasión la política,</t>
  </si>
  <si>
    <t>Diputada @gpscongreso por Huesca. Alcaldesa de Alcolea. Informática.Para mi...La vida es aquello que te va sucediendo mientras te empeñas en hacer otros planes</t>
  </si>
  <si>
    <t>Diputada al Congrés per Lleida, Pirineu i Aran @socialistes_cat. Secretaria de Trabajo, Economia Social y Autónomos del @psoe</t>
  </si>
  <si>
    <t>Economista.Pero..no hay Economía sin https://t.co/w5AeCYTjsb Española de Desarrollo Sostenible.Presidenta del PSOE.Presidenta Comisión de Transicion ecológica del Congreso</t>
  </si>
  <si>
    <t>🌹🏛️ Grupo Parlamentario Socialista en el @Congreso_Es. Aquí legislamos para mejorar la calidad de vida de las personas.</t>
  </si>
  <si>
    <t>Un Gobierno por la igualdad y la justicia social, para devolver la dignidad a las instituciones. Hacemos un país mejor.</t>
  </si>
  <si>
    <t>PhD, Profesor de Economía en @unican. Secretario General del @PSOECantabria y Portavoz de Economía en el @Congreso_Es.</t>
  </si>
  <si>
    <t>Doctor en Economía. Profesor @iebusiness @IEB_Spain. Economista jefe @tressissv Consejo @fundacionfil @MEMRIReports, @ActonInstitute . Casado. Opinión personal</t>
  </si>
  <si>
    <t>Presidente del Gobierno de España. Secretario gral. del @PSOE y presidente de @Soc_Intl. Padre. Trabajamos por instituciones dignas, la igualdad y la justicia.</t>
  </si>
  <si>
    <t>…</t>
  </si>
  <si>
    <t>If i could have any job in the world, i’d be a professional Cinderella.</t>
  </si>
  <si>
    <t>Amo México y me divierte Twitter</t>
  </si>
  <si>
    <t>In my 30's. Filóloga Clásica, Eurofan, caza famosos y opositora para escapar de la hostelería 😊</t>
  </si>
  <si>
    <t>Nuevo Diario de Santiago del Estero. Siempre te damos más.</t>
  </si>
  <si>
    <t>El diario pop</t>
  </si>
  <si>
    <t>¡Bienvenidos a bordo! Estás en Codere, la mejor casa de apuestas de Colombia ⚽🏀⚾😌🎾 La casa oficial del @RealMadrid y @Rayados</t>
  </si>
  <si>
    <t>🙌🏼 ¡La #NuevaEducaciónPública llegó a Iquique y Alto Hospicio! 📚✨
☎️ 227263400
🕖 Atención
Lunes a jueves 8 a 13/14 a 17 horas
Viernes 8 a 13/14 a 16 horas</t>
  </si>
  <si>
    <t>Cuenta Oficial de la Secretaría Regional Ministerial de Educación Tarapacá.
Seremi: Carolina Vargas Bruna</t>
  </si>
  <si>
    <t>Entusiasmo ma non troppo. Cervezas y berlinas. Rugby, terraceo y gastronomía. Arte, Historia y Derecho.
Madrid-Valladolid-Tierra de Campos.</t>
  </si>
  <si>
    <t>Caminando por el lado divertido de la vida. Guionista de tv y, a veces, de cine. Me pasan muchas cosas. Soy chico</t>
  </si>
  <si>
    <t>Asociación de ayuda a Niños con Cáncer de Navarra. Nacimos en 1989 para ayudar a mejorar la calidad de vida de los niños con cáncer y sus familias 👧👦👶</t>
  </si>
  <si>
    <t>Extremeño en Salamanca. Deporte y música electrónica como forma de vida. Fiel seguidor de mi Extremadura</t>
  </si>
  <si>
    <t>Fan Account. Hala Madrid | @Cristiano 🐐 | PumasMX | @KingJames 🐐 | Dončić | ULT Móstoles | 📺 Severance | 📩 madridtotal7@gmail.com</t>
  </si>
  <si>
    <t>Twitter Oficial de La Tómbola. 🇺🇾
Jugá responsablemente.
Mayores de 18 años. 🔞
👇 Ingresá a nuestra web 👇</t>
  </si>
  <si>
    <t>Los hombres que cambian para bien, este Mundo, permanecen de pié como los árboles, por eso, sus huellas quedan más marcadas en la historia.  mdc.</t>
  </si>
  <si>
    <t>Demócrata liberal. Todos los derechos para todxs. Mi trinchera: La ciudadana. Trabajo: Horas México.</t>
  </si>
  <si>
    <t>Director de https://t.co/x9mJvwhUDv, periodista, colaborador de Cuarto de Guerra (Tlaxcala) y El Valle (EdoMéx). El periodismo es pasión y entrega.</t>
  </si>
  <si>
    <t>⚽️💼Director Deportivo @cfpozuelo. Entrenador📋. ⚽️💼 @siellofootballclub. Ex jugador de @cantera_pepinera y @cdcmoscardo.</t>
  </si>
  <si>
    <t>⚽️ Entrenador Profesional de Fútbol - UEFA Pro 🇪🇸 |
🏟 Director General de @EliteFootballEF |
📚 Dirección de Fútbol @RealMadridUE</t>
  </si>
  <si>
    <t>Nadie te va a recordar por tu currículum, sino por tu forma de ser 😉</t>
  </si>
  <si>
    <t>https://t.co/1D7fP3qwWv ??? 🤞🏼asturianina🫀pantxa ⊰ Insta: @larananjamecanica 📫laradaee@hotmail.com 💝</t>
  </si>
  <si>
    <t>Es tan ligera la lengua como el pensamiento, que si son malas las preñeces de los pensamientos, las empeoran los partos de la lengua.</t>
  </si>
  <si>
    <t>Premio Ondas Internacional de radio. Premio Ondas Nacional de Televisión. Premio Jaén de novela. En @Avivir  
UBI LIBERTAS, IBI PATRIA</t>
  </si>
  <si>
    <t>Peace first. Expression needs technique. Technique needs poetry. Imperialism, fascisms, migrants, media, propaganda, cultural industry, tech.</t>
  </si>
  <si>
    <t>Founder @regionalrenais - @informeorwell / For consulting or press write to contacto@regionalrenaissance.com - 
Subscribe to my channel 👇🏼</t>
  </si>
  <si>
    <t>Servicio del Sistema de Aseguramiento de la Calidad de la Educación 🗨️| https://t.co/BYL59bZPnj ☎️| 600 360 0390 | Presentes por un mejor futuro 💫</t>
  </si>
  <si>
    <t>Cuenta Oficial del Poder Judicial de Chile. Respondemos tus dudas, consultas y comentarios de lunes a viernes de 8:30 a 17:30</t>
  </si>
  <si>
    <t>Profesor de Economía Aplicada de la Universidad Rey Juan Carlos (URJC). Visiting Senior Fellow LSE Social Policy y FUNCAS</t>
  </si>
  <si>
    <t>Noticias de @EITBofiziala. Últimas horas y noticias de Euskal Herria y el mundo. En euskera: @eitbAlbisteak Telegram: https://t.co/cE4SMiWL4Z</t>
  </si>
  <si>
    <t>Nostalgia y actualidad con eventuales idas de olla. 
Por puro entretenimiento.
Yo solo quiero un planeta más justo.</t>
  </si>
  <si>
    <t>Soberanista Conspiranoica. Lo +lindo de matrix son las series Asiáticas🐳🐆🦦🐦🪷 
  ॐ आह् हूँ वज्र गुरु पद्म सिद्धि ह
https://t.co/gt8hVwOEhK</t>
  </si>
  <si>
    <t>⠀⠀⠀⠀﹟𝖗player ⠀⠀ ៸ ⠀ ꒷  ꒦  ⠀⠀𝑑ead ♰ d᭡ve⠀⠀⠀⠀
*⠀@ramudakisses ⠃⠀because ⠀⠀i ⠀⠀stopped⠀⠀
⠀⠀your ⠀⠀breath ⠀⠀with ⠀⠀these ⠀⠀hands⠀﹗ ⠀⠀</t>
  </si>
  <si>
    <t>piense por favor.</t>
  </si>
  <si>
    <t>Las noticias que importan.</t>
  </si>
  <si>
    <t>Yo uso twitter para hacerla de pedo. Cuestiona todo lo que escribo y retweeteo. Tengo uno que otro título de escuelas chidas y así. I love pissing people off.</t>
  </si>
  <si>
    <t>Somos el medio de comunicación con mayor alcance en RRSS de la Región de Antofagasta. Recibe noticias gratis https://t.co/T69e49U4M0</t>
  </si>
  <si>
    <t>pls read my carrd byf</t>
  </si>
  <si>
    <t>Toda una vida en el Villamarín</t>
  </si>
  <si>
    <t>Ministro de la Presidencia, Justicia y Relaciones con las Cortes. Diputado socialista por Madrid. Haciendo política útil 🌹</t>
  </si>
  <si>
    <t>Como el lobo, fuerte en soledad.. solidario en el grupo. Español y patriota.</t>
  </si>
  <si>
    <t>Escribo lo que quiero, cuando quiero,
si no te gusta, no me sigas😉</t>
  </si>
  <si>
    <t>He sido un flan, verdugo y bendición.Diversa, dispersa, disléxica, dual, aprendiz y mucho mas🧵⚡️⚛️🌈🎶📚💜✨🧠🌗🔭🪩📝💄👭🏳️‍🌈🩺🥁❤️‍🔥🔥🌊🌪️🪨☀️⚓️🪡🩵🐚💛</t>
  </si>
  <si>
    <t>De los Suns de Majerle, de los 49ers de Young, del Madrid de Llull, de la Sisley de Papi, de Indurain, de Oasis y Vetusta Morla. #teamchannelspodcast</t>
  </si>
  <si>
    <t>Somos la red de colegios públicos de Peñalolén. Prestigio, calidad y protección al servicio de las niñas, niños, jóvenes y adultos de nuestra comuna.</t>
  </si>
  <si>
    <t>Twitter oficial de la Municipalidad de Peñalolén. Alcalde Miguel Concha Fono Emergencias: 1461</t>
  </si>
  <si>
    <t>Mexicana. Dog lover. Primero café y luego existo. @RepDeFifidonia #RDF #AmorPorMx</t>
  </si>
  <si>
    <t>Cuenta oficial española de Animal Crossing con publicaciones de Canela. Sentimos no poder responder preguntas.
Política de privacidad: https://t.co/JdAHI2bnXE</t>
  </si>
  <si>
    <t>Civil engineering stu.</t>
  </si>
  <si>
    <t>Red de Emisoras Nuevo Mundo. Escríbenos, participa, interactúa con nosotros. ¡Sólo la verdad! suscríbete a nuestro canal de Telegram https://t.co/gBVg40gYol</t>
  </si>
  <si>
    <t>Me encanta la política y la historia. Cruzada y Dog♥️lover  de corazón</t>
  </si>
  <si>
    <t>Vivo en Pamplona, rodeado de Uxues, Nekanes y Urkos que visten a diario Quechua y Chirucas y dicen que esto no es España. Gris, negro, morado, pistacho y butano</t>
  </si>
  <si>
    <t>Recuerden, recuerden, el hostiazo que viene.</t>
  </si>
  <si>
    <t>Oficial. Hermandad Sacramental de Santiago Apóstol, Santa Vera Cruz, Cristo de los Remedios y Ntra. Sra. de la Soledad. La Plaza. Castilleja de la Cuesta</t>
  </si>
  <si>
    <t>Nuestro Twitter oficial. Entérate de todas las informaciones de Chile y el mundo. 📱Denuncias al WhatsApp +56990118011</t>
  </si>
  <si>
    <t>Establecimiento escolar de educación básica, ubicado en: Población Arturo Prat, Calle Almirante Latorre S/N esquina Caupolicán, Copiapó</t>
  </si>
  <si>
    <t>like &amp; subscribe</t>
  </si>
  <si>
    <t>Diario digital sobre el municipio de Lopera (Jaén). Independencia y rigor en las noticias. Desde el año 2006 informando a los lectores. Periodismo de calidad.</t>
  </si>
  <si>
    <t>Cuenta oficial de la Junta de #Andalucía en #Jaén</t>
  </si>
  <si>
    <t>Sigue toda la información y servicios de la Consejería de Empleo, Empresa y Trabajo Autónomo de la Junta de Andalucía.</t>
  </si>
  <si>
    <t>Cuenta Oficial de la Secretaría Regional Ministerial de Educación de la Región del Biobío.</t>
  </si>
  <si>
    <t>Cuenta oficial de Radio Universidad de Concepción 
📻 95.1 FM   💻https://t.co/uT5faLnJyU   ✉️radio@udec.cl
📱 WhatsApp: +569 9242 1531</t>
  </si>
  <si>
    <t>Envíanos tu información a prensa@coquimbonoticias.cl</t>
  </si>
  <si>
    <t>Me gustan las personas justas yo intento serlo⚖️👨‍⚖️👩‍⚖️
Antimaltrato, antitaurina, animalista, defensora de seres vivos indefensos 🐕🐈🐂🧒🧑👴👵</t>
  </si>
  <si>
    <t>Tarotista y hechicera✨️✨️✨️✨️✨️✨️✨️</t>
  </si>
  <si>
    <t>sólo pasaba por aquí y me quedé ...no sé asta cuando ..</t>
  </si>
  <si>
    <t>🍿 Comento la actualidad SALSEANTE más fuerte 🍿🔎Si no quieres perderte el CHISME únete a nuestra gran familia 🫂</t>
  </si>
  <si>
    <t>El pensamiento crítico es la defensa de la libertad, solo esto nos permite no ser manipulables.
Mujer, de izquierdas, ecologista, pacifista, rebelde e indignada</t>
  </si>
  <si>
    <t>Defensor DDHH. Abogado. Ex Diputado de la República y Convencional Constituyente. Militante del @PCdeChile. Padre de seis hermos@s hij@s y dos niet@s</t>
  </si>
  <si>
    <t>Soy patriota amo a Dios  y soy anti zurdos Viva Chile libre🔪🇨🇱🇨🇱🇨🇱🇨🇱🇨🇱🇨🇱🇨🇱🇨🇱🇨🇱🇨🇱🇨🇱</t>
  </si>
  <si>
    <t>Cuenta oficial de la Universidad del Desarrollo. 
Conoce todas las actividades de nuestras sedes Santiago y Concepción.
Decide, Desarrolla, Impacta</t>
  </si>
  <si>
    <t>Promovemos políticas públicas y soluciones privadas para abordar las crisis y desafíos que el país enfrenta 🌐</t>
  </si>
  <si>
    <t>Tapatío,  F1 🏎️🏁🇲🇽 AMLO forever 😎🤟
“There is a crack in everything, that’s how the light gets in”👈
Leonard Cohen</t>
  </si>
  <si>
    <t>Ternuritas.</t>
  </si>
  <si>
    <t>Perfil oficial del periódico El Diario NTR Medios de Comunicación. Ofrecemos noticias en tiempo real, de actualidad y de interés público.</t>
  </si>
  <si>
    <t>Monero ricachón socialista, que se cree de izquierda, pero en realidad es de derecha.</t>
  </si>
  <si>
    <t>Información de mercados para el aceite de oliva y otros aceites. Ágora Comunicación y Análisis SL._x000D_
#nosgustaelAOVE</t>
  </si>
  <si>
    <t>Manteniendo el Campo, mantenemos Vida. Somos la organización agraria con mayor implantación. Más de 40 años peleando por todos los agricultores y ganaderos</t>
  </si>
  <si>
    <t>#NoSeAtiendeWeones</t>
  </si>
  <si>
    <t>Somos un diario independiente con enfoque social y de apoyo a la comunidad. Todos pueden enviarnos sus noticias al correo prensa@tecnowork.cl</t>
  </si>
  <si>
    <t>Madre. Economista. Ahora trabajando por el cambio para la ciudad de Madrid con @PSOEMadridAyto. SG @PSOEMCiudad. Ministra de @minturgob (2018-23).</t>
  </si>
  <si>
    <t>Cuenta oficial de la Seremi de Educación Región de Los Ríos.
Seremi: @juanpablogerter</t>
  </si>
  <si>
    <t>Videoteca de los 80 y recordando Pamplona desde el nacimiento de Jordi Hurtado.
https://t.co/ey43prlV9R</t>
  </si>
  <si>
    <t>Fean, &amp; ayan `a fer una comunidat indivifible</t>
  </si>
  <si>
    <t>Cuenta Oficial de La Radio en Colores de Chile CB 127 AM y 93.7 FM. #FestiWasap +569 5372 9325 / Instagram @radio_festival / Facebook Radio Festival Oficial/</t>
  </si>
  <si>
    <t>Cuenta oficial Secretaría Regional Ministerial de Educación Región de Valparaíso Seremi @jpalvarez_cl Ministro @nico_cataldo @Mineduc #ChileAvanzaContigo</t>
  </si>
  <si>
    <t>Miembro del #CPC del SEA #Guanajuato
Investigador nacional. Politólogo que habla de combate a la #corrupción, #elecciones y #RRII
Hecho en @lauammx y @flacsomx</t>
  </si>
  <si>
    <t>Instituto Nacional Electoral</t>
  </si>
  <si>
    <t>The premier provider of technical training for the #IT Industry. 💻  
#infosec #cybersecurity #cloud #datascience #networking</t>
  </si>
  <si>
    <t>ex seudónima</t>
  </si>
  <si>
    <t>Busco la verdad, siempre mejor aunque duela.
La verdad nos hace libres.</t>
  </si>
  <si>
    <t>valenciana y española</t>
  </si>
  <si>
    <t>Subinspector de Policía Nacional. Luchando por una Policía más justa y contra tanta injusticia. Portavoz Alternativa Sindical de Policía</t>
  </si>
  <si>
    <t>🇪🇦🇪🇦🇪🇦
Abogado
SiguemeYTesigo
SánchezVeteYa</t>
  </si>
  <si>
    <t>Rojo, antifascista, enfermero.</t>
  </si>
  <si>
    <t>Filosofía y feminismo 🎙️ Dirijo “No Obstante” en @FurorTelevision https://t.co/FS8QbVaCDp | https://t.co/XIoudd4YyK | ✉️ ayme@furor.tv (No leo MD)</t>
  </si>
  <si>
    <t>320 días de sol al año. Los otros 45 comemos migas. 10 Maratones. 20 Medias Maratones. Kms: 2️⃣0️⃣2️⃣1️⃣5️⃣</t>
  </si>
  <si>
    <t>Women's sports | @DeporteFem_com</t>
  </si>
  <si>
    <t>Del norte. Cántabro. Me gustan los videojuegos y el fútbol. Racinguista y madridista orgulloso</t>
  </si>
  <si>
    <t>#NetsWorld ❤️🤍</t>
  </si>
  <si>
    <t>dramaturgo, actor de doblaje, carretillero y apasionado de la ciencia. | todo el contenido es humorístico. cuenta parodia 🇵🇸</t>
  </si>
  <si>
    <t>Meh
https://t.co/8erRwcQ0bR</t>
  </si>
  <si>
    <t>Noticiero informativo de ITV Patagonia</t>
  </si>
  <si>
    <t>Cuenta oficial de la Subsecretaría de Políticas Sociales del Ministerio de Desarrollo de la Comunidad - Gobierno de la Provincia de Buenos Aires</t>
  </si>
  <si>
    <t>Radio Comarca de Barros (RCB). Emisora pública de Almendralejo. 107.9 FM. ☎ 924 67 10 20 / 924 67 05 09. También en las Apps 'Mi Radio' y 'RadioGarden'</t>
  </si>
  <si>
    <t>business@ceciarmy.com</t>
  </si>
  <si>
    <t>🙃🫣</t>
  </si>
  <si>
    <t>captatio benevolentiae 🌱</t>
  </si>
  <si>
    <t>🐶🐱❤️
Ciudadana de Antofagasta, Chile</t>
  </si>
  <si>
    <t>Presidente de la República de Chile, período 2022-2026.'La duda debe seguir a la convicción como una sombra' A. Camus</t>
  </si>
  <si>
    <t>Somos el Departamento de Prensa de Canal 13. Tus denuncias al 📱+56939200797
Chequea nuestras cuentas oficiales en https://t.co/z7XB1v5Ecs</t>
  </si>
  <si>
    <t>Siempre elegiré estar en el lado bueno de la historia. Así volvamos a ser solamente 12.</t>
  </si>
  <si>
    <t>Mujer. Progresista. Sindicalista.
Aportando mi grano de arena por un mundo mejor.</t>
  </si>
  <si>
    <t>Proyectos culturales y de tejido asociativo en Aluche.
Actividades dirigidas: Zumba®, Yoga, Danza Oriental, Guitarra, Pilates, Gimnasia, BSalon...¡Y muchas más!</t>
  </si>
  <si>
    <t>~People say you can't live without love. I think oxygen is more important~ ♉🌙</t>
  </si>
  <si>
    <t>Los bárbaros barones del oro, ellos no encontraron el oro, no lo extrajeron, no lo molieron sino que por medio de alguna rara alquimia todo el oro les pertenece</t>
  </si>
  <si>
    <t>El cambio para transformar Madrid. https://t.co/aP2tviv1S2</t>
  </si>
  <si>
    <t>Agrupación Socialista de Latina (Madrid). Sigue las actividades que realizamos, infórmate de la actualidad del distrito y comparte tus opiniones con nosotros</t>
  </si>
  <si>
    <t>Una Izquierda Valiente que recupere Madrid para la mayoría social.</t>
  </si>
  <si>
    <t>En estos tiempos de impostura universal, decir la verdad constituye un acto revolucionario</t>
  </si>
  <si>
    <t>Periodista. Socialista, S de Organización  dto  Salamanca. Vocal vecina  dto Salamanca. Feminista. Gallega de nacimiento (Mondoñedo) madrileña de adopción.</t>
  </si>
  <si>
    <t>Periodista. Autor d''Antifascistas' (@Capitan_Swing), 'De los neocón a los neonazis' i 'Dios, Patria Yunque (@podiumpodcast) 
https://t.co/GQJNt95GJ6</t>
  </si>
  <si>
    <t>Facultad de Educación UC. Formamos docentes e investigadores comprometidos con el aprendizaje de los estudiantes, desde una perspectiva de equidad e inclusión.</t>
  </si>
  <si>
    <t>“Actuar según la mejor ciencia y conciencia”.</t>
  </si>
  <si>
    <t>Periodismo a pesar de todo. Hazte socio, hazte socia https://t.co/XRWo5gk4HC</t>
  </si>
  <si>
    <t>Agnóstico. No te quedes en casa. No votes a quien no defiende tus intereses.</t>
  </si>
  <si>
    <t>Intendente de Lanús 💙
Presidente del PJ Lanús ✌️
Siempre con Cristina 🐧</t>
  </si>
  <si>
    <t>Periodista mexicana. Coordenadas: @asicomosuenamx, @WRadioMexico con #Loret y @ElFinanciero_mx, @LPOmx y CA @proceso</t>
  </si>
  <si>
    <t>Fan del Automovilismo, la F1, el Jazz y algo de lector e Ingeniero de Deformación</t>
  </si>
  <si>
    <t>Sabrosoooooooooooo!!!!!</t>
  </si>
  <si>
    <t>Medio digital Iquique - Alto Hospicio - El Tamarugal</t>
  </si>
  <si>
    <t>tengo que desahogarme en algun sitio</t>
  </si>
  <si>
    <t>ella/she. Señora con discapacidad visual, bisexuala y trabajadora social que habla de discapacidad 🏳️‍🌈🏳️‍⚧️. ✉️realidadesdiversas@gmail.com</t>
  </si>
  <si>
    <t>Canija, gordita y de Carabanchel.
Escribo libros que te dejan el cuerpo regular.
https://t.co/3SQsqImtjF…</t>
  </si>
  <si>
    <t>Ni idea de que poner ya aqui   😵‍💫 
tengo un gato ✌️</t>
  </si>
  <si>
    <t>Ciutadà de la República Catalana</t>
  </si>
  <si>
    <t>Director de Mañanas en Libertad en @RadioLibertadES. 107.0 FM
¡QUE TE VOTE TXAPOTE!</t>
  </si>
  <si>
    <t>Guerrera hasta la muerte, sincera hasta el final🇪🇦🇪🇦🇪🇦💚💚💪💪💪🇮🇱🇮🇱</t>
  </si>
  <si>
    <t>Mi prioridad en la vida es, que mi hija sea Feliz!!!... 👩‍👧💜</t>
  </si>
  <si>
    <t>La verdad no es absoluta</t>
  </si>
  <si>
    <t>En el Gobierno del Presidente Gabriel Boric por un Chile desarrollado, descentralizado, con una democracia profunda. #ChileAvanzaContigo.</t>
  </si>
  <si>
    <t>Secretaría Ministerial de Educación en el Maule. Por una Educación de futuro, de calidad e inclusiva.</t>
  </si>
  <si>
    <t>Twiteo textos de los que aprendo, independientemente de coincidir. I tweet articles which make me understand, regardless of whether I agree with their content</t>
  </si>
  <si>
    <t>Salamanca.</t>
  </si>
  <si>
    <t>➡️Videojuegos⬅️   ➡️Frikismo⬅️   ➡️Cine⬅️
🤮Sin postureos🤮Sin modas🤮Sin mierdas🤮
▶️https://t.co/QwQkOXAwgy◀️
▶️https://t.co/zS0iSfWtt0◀️</t>
  </si>
  <si>
    <t>Consejería de #Salud y #Consumo de la Junta de #Andalucía</t>
  </si>
  <si>
    <t>Hago vídeos y programo cosas. Antes curraba en una radio. Rarito con Linux</t>
  </si>
  <si>
    <t>legalidad, democracia, libre pensamiento, liberalismo, progreso, amor por México</t>
  </si>
  <si>
    <t>Desde el año 2002 informando a todos los ciudadanos de la Comarca de Andújar. Independencia y rigor en las noticias. Periodismo de calidad.</t>
  </si>
  <si>
    <t>Servicio Andaluz de Empleo (SAE). Consejería de Empleo, Empresa y Trabajo Autónomo de la Junta de Andalucía. ¡Aporta incluyendo @SAEmpleo en tus tuiteos!</t>
  </si>
  <si>
    <t>Pos ni modo, de extrema derecha 🤷‍♂️</t>
  </si>
  <si>
    <t>International Sports Lawyer. Associate @UnoOneLegal. Arbitrator. Lecturer. Aquí para hablar de derecho, de deporte y de derecho del deporte. #SaveWomensSports</t>
  </si>
  <si>
    <t>🧵🪡</t>
  </si>
  <si>
    <t>Diario El País de Uruguay. https://t.co/VXNWFXpspS</t>
  </si>
  <si>
    <t>Abogada de la U de Chile, por los D*s de NNA y mujeres, zurda,viuda triste,1 hija,abuela,si a D*s de género y transgénero Con BORIC .Hrvatska.Shalom</t>
  </si>
  <si>
    <t>Noticias de Chillán y la región de Ñuble. Segundo medio más antiguo de Chile, fundado en 1870.</t>
  </si>
  <si>
    <t>✿ .˚⠀intro: the most beautiful moment in life ♡ 
⠀</t>
  </si>
  <si>
    <t>Cientista Político UC. Calerano exiliado en La Reina. 
Presidente @RedLiberal_cl
 +</t>
  </si>
  <si>
    <t>Tomo Coca light con hielo de desayuno.</t>
  </si>
  <si>
    <t>TV local Los Ángeles, Mulchén, Quilaco,  Santa Bárbara, Nacimiento, Tucapel - Huépil, Cabrero, Yumbel, Santa Juana, Yungay y Collipulli.
#LosAngelesCL</t>
  </si>
  <si>
    <t>Noticias del Maule, Chile y el Mundo</t>
  </si>
  <si>
    <t>📻 Emisora líder en sintonía en el norte de Chile | 89.3 Iquique • 101.7 Pampa del Tamarugal • 100.7 Tocopilla | WhatsApp: +56 9 2020 1535</t>
  </si>
  <si>
    <t>Cuenta de Twitter con noticias rápidas (y de carácter Express) / IG: @pasancosas_conce
Contacto: https://t.co/S53LIfAdcP.denuncias@gmail.com</t>
  </si>
  <si>
    <t>Mientras Jorge este vivo yo no compro avión</t>
  </si>
  <si>
    <t>Transeconómico.
QUE LO INJUSTO NO TE SEA INDIFERENTE!!.</t>
  </si>
  <si>
    <t>perdona a quien te ha hecho daño, pero jamas olvides sus nombres.</t>
  </si>
  <si>
    <t>No es patria el suelo que se pisa, sino el suelo que se labra. Politólogo. En @ElHuffpost. Hablo en la tele. He escrito Patria digna. alanba.contacto@gmail.com</t>
  </si>
  <si>
    <t>Multimedio informativo del sur de Chile | Información, Reportes, Noticias, Opiniones, Entrevistas, Podcast, Fotografías y Vídeo</t>
  </si>
  <si>
    <t>guille rosas fan account</t>
  </si>
  <si>
    <t>18 | he/they | me gusta cyndaquil y la sidra</t>
  </si>
  <si>
    <t>Somos un medio digital de la región de Aysén, visítanos e infórmate junto a nosotros en nuestro portal web https://t.co/HtljuSZLuf</t>
  </si>
  <si>
    <t>Emprendedor, Profesional , Cocinero, Amo de casa, mi tiempo, espacio y destino. El universo nos provee, muevete, gestiona y ten éxito.</t>
  </si>
  <si>
    <t>KIROLEROS: programa de radio para locos del deporte. Iván, Jota y Mireya desayunan de 8 a 10 (+-) en el 101.6 fm de @RMarcaVitoria 📻 Whatsapp 688 84 58 66</t>
  </si>
  <si>
    <t>She/her - 'nothing you can take is ever worth keeping~'                    🖤🤍💜</t>
  </si>
  <si>
    <t>Revisa toda la información que necesitas: datos útiles, actualidad y explicación de los hechos noticiosos en Chile.</t>
  </si>
  <si>
    <t>A título personal, no soy bot, no pertenezco a un partido, no a la censura, ni a la reelección.  #PayadoresMx   #YoNoVoto 1 de junio #LigaDeGuerreros</t>
  </si>
  <si>
    <t>caricaturista.
Colaboraciones por DM</t>
  </si>
  <si>
    <t>Servicio Nacional de Prevención y Respuesta ante Desastres.
WhatsApp https://t.co/e5lD3RdLqm
Telegram https://t.co/dwv6fJGrnX</t>
  </si>
  <si>
    <t>O Ej(R)Mag Plan Estratégica, BTáctico Ex DR ONEMI Ex DN SENAPRED. CERT, RAficionado, ColProf GRD EU Mexicanos y Prof de GRD Chile, Red Global GRD. FEMA PCEspaña</t>
  </si>
  <si>
    <t>Lectura</t>
  </si>
  <si>
    <t>👒🍓🌼
No DM 📌 No multimenciones 🔻Gracias.</t>
  </si>
  <si>
    <t>Con tu participación, construiremos un Sonora Mejor.</t>
  </si>
  <si>
    <t>Quisiera que nuestro país fuera mejor. Soy critico porque es la unica forma de llegar a ser mejores!</t>
  </si>
  <si>
    <t>Politólogo y Periodista. Profesor en la @UNAM_MX y @CarlosSeptienG. Escribo en @lasillarota, @MexicoSocial_ y el @heraldodemexico. Tuits a título personal.</t>
  </si>
  <si>
    <t>Cuenta oficial de la Pontificia Universidad Católica de Chile. Los tweets publicados en esta cuenta son de carácter institucional. EN: @uc_chile.</t>
  </si>
  <si>
    <t>Ser humano con altas expectativas y que cree en el capital humano cuando éste quiere y desea demostrar profesionalismo.</t>
  </si>
  <si>
    <t>Problematizamos la producción de injusticias a propósito de racismo, sexismo, clasismo, capacitismo, extractivismo en la investigación y prácticas escolares.</t>
  </si>
  <si>
    <t>Diario electrónico, sin pelos en la lengua, abordamos lo invisible,el terror de la corrupcion. 
Nos leen porque nos creen !!!!!</t>
  </si>
  <si>
    <t>Medio de Comunicación de Aysén, Regionalista y Colaborativo. Contrahegemónico.</t>
  </si>
  <si>
    <t>El Estado no es la solución, es el problema | No se dejen amedrentar por los parásitos del Estado, lo único que quieren es perpetuarse en el poder.</t>
  </si>
  <si>
    <t>Meriendas de pan y aceite</t>
  </si>
  <si>
    <t>Periodista en @CanalRed_TV. Independiente siempre, imparcial nunca. Hijo de la Lola.</t>
  </si>
  <si>
    <t>💡 Cuento historias.
4 bestseller: Territorios Improbables, Atlas de Lugares Extraordinarios, La Tormenta de Cristal. 
LO ÚLTIMO: La Pirámide del Fin del Mundo.</t>
  </si>
  <si>
    <t>LLM International Legal Studies NYU. Magistrado de Circuito. Doctor en Derecho y ferviente defensor de los DESCA.Tomista/Finnisiano.Opiniones a título personal.</t>
  </si>
  <si>
    <t>Juez de Distrito Especializado en Materia Laboral.
Nueva generación de personas juzgadoras.
Cuenta personal.</t>
  </si>
  <si>
    <t>❤️🇲🇽</t>
  </si>
  <si>
    <t>Fácil es juzgar los errores de otros ,difícil reconocer los propios , fácil es criticar a los demás lo difícil es mejorar uno mismo , vida 😞❤️💪</t>
  </si>
  <si>
    <t>Alcaldesa de Las Palmas de Gran Canaria, la mejor ciudad para vivir</t>
  </si>
  <si>
    <t>Futuro carpintero
#Kaiser2025
22%
#GraciasGeneralPinochet
#GraciasAlmiranteMerino
Más Pinochetista que nunca
1.32E-11au
5.33E37eV</t>
  </si>
  <si>
    <t>Dios, Patria y Familia 🇨🇱🫶🏻 Anti Globalista 🇺🇳❌ Christian Nationalist ✝️ #ChilePrimero</t>
  </si>
  <si>
    <t>Analista político.  Comparto pluralidad de ideas. @Escipion_1 @RadioEducacion @AEINoticias, @PortalGto @JulioAstillero #Security #Rysk #Prospectiva #Política</t>
  </si>
  <si>
    <t>https://t.co/Bsw371MmWj 💻📲 Somos el diario para las nuevas voces 🌍 https://t.co/KTK47HrEOL Medio de @usach</t>
  </si>
  <si>
    <t>Heredero y Defensor de los mejores 30/40 años de Chile…🇨🇱🇨🇱🇨🇱</t>
  </si>
  <si>
    <t>Ni dios, ni patria, ni rey. 
Cazador de sofismas, tolero todas las ideas pero reconozco que llevo mal el gilipollismo.</t>
  </si>
  <si>
    <t>Estamos conectados con vos. El diario digital más actualizado.</t>
  </si>
  <si>
    <t>INGENIERO
@PRChile 🇨🇱</t>
  </si>
  <si>
    <t>Digital de Turismo, Cultura, Empresas y Sociedad de los municipios del #Aljarafe #Sevilla #Provincia y #Andalucía. Más información en https://t.co/xx6qMNvK0s</t>
  </si>
  <si>
    <t>Alcalde de Camas. Apasionado de mi pueblo, embrujado del carnaval, amante del deporte y enamorado de mi familia.
#JuntxsConstruimosCamas</t>
  </si>
  <si>
    <t>Perfil oficial del Ayuntamiento de Camas.
#JuntxsConstruimosCamas</t>
  </si>
  <si>
    <t>Twitter Oficial de la Real,Ilustre y Fervorosa Hermandad de Nuestra Señora del Rocio de Camas 1977 sede  en la parroquia de Santa Mª de Gracia</t>
  </si>
  <si>
    <t>@thecalet.bsky.social</t>
  </si>
  <si>
    <t>seres humano no dioses. con virtudes y defectos. que van de paso en este planeta, sembrando semillas de acuerdo con su conciencia y escuchando a su corazones</t>
  </si>
  <si>
    <t>San Felipe – Los Andes – Petorca – Quillota. IG: https://t.co/OLDr4SXH0O FB: https://t.co/osG2lgcPEa WSP: https://t.co/dM96Tcu0NE…</t>
  </si>
  <si>
    <t>Sitio independiente de datos e informaciones de la zona interior de la Región de Valparaíso. 📲+56949591617</t>
  </si>
  <si>
    <t>Periodismo en andaluz. Hazte soci@: https://t.co/No4ma8QWSV
En Telegram: https://t.co/BNxZPDWexd
En el móvil: 623 59 59 42</t>
  </si>
  <si>
    <t>Televisión, radio y multimedia. 
Después de la noticia, el análisis.</t>
  </si>
  <si>
    <t>I WAS BORN 1954, JANUARY 26, CDMX
COMUNICOLOGO, PROF EDUCACION FISICA Y LOCUTOR</t>
  </si>
  <si>
    <t>💙❤Barcelonista hasta la médula❤💙
Instagram:</t>
  </si>
  <si>
    <t>Presentado y dirigido por @_AdrianSnchz | Periódico Online: https://t.co/ovfV2ttALR Mail: contacto@masquepelotas.tv</t>
  </si>
  <si>
    <t>▪️ El fútbol es la cosa más importante de las menos importantes | Periodista | Entrenador (UEFA C) | Colaborador en @mas_que_pelotas</t>
  </si>
  <si>
    <t>YAMS</t>
  </si>
  <si>
    <t>🇻🇪 | Twitch Partner • Jugadora profesional de buscaminas y la loca de los gatos • CosmiCat 🐱‍🚀 Arte: #MictiArt 📩 negocios: mictia@arigatou.es</t>
  </si>
  <si>
    <t>Abogado especializado en derecho administrativo y juicio de amparo | Mi más reciente libro: la suspensión en el juicio de amparo de @Tirantmexico</t>
  </si>
  <si>
    <t>Ofensivamente libre.</t>
  </si>
  <si>
    <t>A reír en 140 caracteres y cuidado esto es sin llorar..._x000D_
_x000D_
Santiago - Chile</t>
  </si>
  <si>
    <t>Molesto, me río, escribo para vivir. Mamá de Lules y Fati. Cumplo mis sueños en @escuela_todos</t>
  </si>
  <si>
    <t>Bióloga. Me define no pronunciar la s líquida y defender las as tónicas. Asna salvaje. Me quejo mucho #Somosguaposylistosynofallalabanderita</t>
  </si>
  <si>
    <t>Periodista en El Independiente.</t>
  </si>
  <si>
    <t>📱🗞️ Medio ideado, creado y controlado por periodistas | Dirige @garcia_abadillo #SomosIndependientes
Todas nuestras redes ➡️ https://t.co/dHshGAb5R1</t>
  </si>
  <si>
    <t>“Espero tener siempre suficiente firmeza y virtud para conservar lo que considero que es el más envidiable de todos los títulos: el carácter de Hombre Honrado”✝</t>
  </si>
  <si>
    <t>Fotógrafo.</t>
  </si>
  <si>
    <t>Notícies d'actualitat
https://t.co/HaoYxGp3eY
https://t.co/uu2DpDlv1w
https://t.co/sRQxWrFWsV
https://t.co/x12Nh6vPVW</t>
  </si>
  <si>
    <t>cowboy sae’s official rider</t>
  </si>
  <si>
    <t>Prensa y Noticias en Eventos, Ferias, Expos y más. Prensa Eventos es parte de la plataforma  https://t.co/7LfAqtq6Ni
Mail: prensa@prensaeventos.cl</t>
  </si>
  <si>
    <t>Mamá, ingeniera, tecnóloga y empresaria.</t>
  </si>
  <si>
    <t>Enemigo del activismo, multiculturalismo y parasitismo social.</t>
  </si>
  <si>
    <t>■■■ 𝗝𝗔𝗖𝗞𝗬 𝗔𝗡𝗗 𝗠𝗔𝗧𝗧𝗬'𝗦 𝗕𝗥𝗢𝗧𝗛𝗘𝗥 ｡ ⧽ ғɪʀᴇғɪɢʜᴛᴇʀ  𓄼 ❚ 〝 It's easy to fall into sin, the hard thing is to do the right thing 〞#HEARTRP ˊ˗</t>
  </si>
  <si>
    <t>A veces escribo.</t>
  </si>
  <si>
    <t>Cilena,sposata e repubblicana 🇨🇱 
Lo mio es Publicidad &amp; Marketing 
Ex travel agency,Historia,libros música y cine.El Comunismo es un error de la matrix</t>
  </si>
  <si>
    <t>metaphorically im a whore</t>
  </si>
  <si>
    <t>ni de derecha y menos de iquierda</t>
  </si>
  <si>
    <t>biobiochile.cl</t>
  </si>
  <si>
    <t>instagram.com/pablogarcia_12…</t>
  </si>
  <si>
    <t>threads.net/@pequinteg</t>
  </si>
  <si>
    <t>manueldiaz.online</t>
  </si>
  <si>
    <t>linktr.ee/ISURBOX</t>
  </si>
  <si>
    <t>instagram.com/anxooduran/</t>
  </si>
  <si>
    <t>adn.cl</t>
  </si>
  <si>
    <t>slepvalparaiso.cl</t>
  </si>
  <si>
    <t>rvl.uv.cl</t>
  </si>
  <si>
    <t>claudiadebuen.com</t>
  </si>
  <si>
    <t>amlo.presidente.gob.mx</t>
  </si>
  <si>
    <t>instagram.com/angeldebritooki</t>
  </si>
  <si>
    <t>eluniversal.com.mx</t>
  </si>
  <si>
    <t>kykyschan.straw.page</t>
  </si>
  <si>
    <t>municipalidadalhue.cl</t>
  </si>
  <si>
    <t>scjn.gob.mx</t>
  </si>
  <si>
    <t>hoo.be/arturozaldivarl</t>
  </si>
  <si>
    <t>facebook.com/juan.olveraroc…</t>
  </si>
  <si>
    <t>diputados.gob.mx</t>
  </si>
  <si>
    <t>instagram.com/juncal_solano?…</t>
  </si>
  <si>
    <t>libertaddigital.com/autores/miguel…</t>
  </si>
  <si>
    <t>elpais.com</t>
  </si>
  <si>
    <t>sibaritastur.com</t>
  </si>
  <si>
    <t>accioneducar.cl</t>
  </si>
  <si>
    <t>radiovalencia.es</t>
  </si>
  <si>
    <t>ceice.gva.es</t>
  </si>
  <si>
    <t>paper.li/WenaChile/1313…</t>
  </si>
  <si>
    <t>junji.cl</t>
  </si>
  <si>
    <t>instagram.com/gracearcosm</t>
  </si>
  <si>
    <t>denisedresser.com</t>
  </si>
  <si>
    <t>Instagram.com/teamleomessiok</t>
  </si>
  <si>
    <t>linktr.ee/agenciaeduca</t>
  </si>
  <si>
    <t>arsmate.com/Natiilove</t>
  </si>
  <si>
    <t>flickr.com/danielafcuadra</t>
  </si>
  <si>
    <t>navarra.com</t>
  </si>
  <si>
    <t>dfconexion.com</t>
  </si>
  <si>
    <t>educacionpublica.cl</t>
  </si>
  <si>
    <t>camara.cl</t>
  </si>
  <si>
    <t>cmds.cl</t>
  </si>
  <si>
    <t>linktr.ee/albammmedina</t>
  </si>
  <si>
    <t>aysen.mineduc.cl</t>
  </si>
  <si>
    <t>eduardovirgala.weebly.com</t>
  </si>
  <si>
    <t>grupoperfil.com.uy</t>
  </si>
  <si>
    <t>herculesdealicantecf.com</t>
  </si>
  <si>
    <t>ivoox.com/todos-juntos-a…</t>
  </si>
  <si>
    <t>ultreia.es</t>
  </si>
  <si>
    <t>miteco.gob.es/es/</t>
  </si>
  <si>
    <t>chtajo.es</t>
  </si>
  <si>
    <t>guaix.fis.ucm.es/tess/</t>
  </si>
  <si>
    <t>bionoticias.cl/web/</t>
  </si>
  <si>
    <t>instagram.com/superrostar/</t>
  </si>
  <si>
    <t>instagram.com/_antoniomaestr…</t>
  </si>
  <si>
    <t>twitch.tv/ierrejon/</t>
  </si>
  <si>
    <t>minervaysalud.wixsite.com/minervaysalud</t>
  </si>
  <si>
    <t>radiosol.cl</t>
  </si>
  <si>
    <t>facebook.com/MariaPerezGarc…</t>
  </si>
  <si>
    <t>movimientosumar.es</t>
  </si>
  <si>
    <t>pedropadillaruiz.es</t>
  </si>
  <si>
    <t>novagob.org</t>
  </si>
  <si>
    <t>DonaldJTrump.com</t>
  </si>
  <si>
    <t>presidencia.gob.ve/Site/Web/Princ…</t>
  </si>
  <si>
    <t>youtube.com/ElRinconDeGior…</t>
  </si>
  <si>
    <t>castrogallegos.wordpress.com</t>
  </si>
  <si>
    <t>ricardohoms.com</t>
  </si>
  <si>
    <t>chilquinta.cl</t>
  </si>
  <si>
    <t>puranoticia.cl</t>
  </si>
  <si>
    <t>open.spotify.com/user/oscar1024…</t>
  </si>
  <si>
    <t>youtube.com/c/penteIelchil…</t>
  </si>
  <si>
    <t>linktr.ee/franrico</t>
  </si>
  <si>
    <t>inoticias.cl</t>
  </si>
  <si>
    <t>duplos.cl</t>
  </si>
  <si>
    <t>reforma.com</t>
  </si>
  <si>
    <t>patriciablanquer.es</t>
  </si>
  <si>
    <t>huesca.aragonpsoe.es</t>
  </si>
  <si>
    <t>linktr.ee/gpscongreso</t>
  </si>
  <si>
    <t>psoe.es</t>
  </si>
  <si>
    <t>pedrocasares.es</t>
  </si>
  <si>
    <t>amzn.eu/d/60drgTR</t>
  </si>
  <si>
    <t>lamoncloa.gob.es</t>
  </si>
  <si>
    <t>nuevodiarioweb.com.ar</t>
  </si>
  <si>
    <t>linktr.ee/CodereColombia</t>
  </si>
  <si>
    <t>slepiquique.cl</t>
  </si>
  <si>
    <t>adano.es</t>
  </si>
  <si>
    <t>linktr.ee/madrid_total2</t>
  </si>
  <si>
    <t>labanca.com.uy</t>
  </si>
  <si>
    <t>linktr.ee/jlmartinsaez</t>
  </si>
  <si>
    <t>pinosgenil.es</t>
  </si>
  <si>
    <t>instagram.com/larananjamecan…</t>
  </si>
  <si>
    <t>lecturalia.com/autor/2983/jos…</t>
  </si>
  <si>
    <t>youtube.com/@informeorwell…</t>
  </si>
  <si>
    <t>supereduc.cl</t>
  </si>
  <si>
    <t>pjud.cl</t>
  </si>
  <si>
    <t>bit.ly/2NBWLiJ</t>
  </si>
  <si>
    <t>eitb.eus/es/noticias/</t>
  </si>
  <si>
    <t>instagram.com/Manu_Barrio_1</t>
  </si>
  <si>
    <t>⠀⠀just⠀⠀─┈⠀⠀like⠀⠀a⠀⠀،̲،̲⠀🦇.⠀</t>
  </si>
  <si>
    <t>ex-ante.cl</t>
  </si>
  <si>
    <t>zeerecita.carrd.co</t>
  </si>
  <si>
    <t>mpr.gob.es/Paginas/index.…</t>
  </si>
  <si>
    <t>penalolen.cl</t>
  </si>
  <si>
    <t>conxiones.com/funesta</t>
  </si>
  <si>
    <t>ntdo.com/6010fU5aY</t>
  </si>
  <si>
    <t>elvecinodeUxue.blogspot.com</t>
  </si>
  <si>
    <t>hermandaddesantiago.es</t>
  </si>
  <si>
    <t>chvnoticias.cl</t>
  </si>
  <si>
    <t>allmylinks.com/escuelalosesta…</t>
  </si>
  <si>
    <t>yt.be/3NDRz</t>
  </si>
  <si>
    <t>andaluciajunta.es</t>
  </si>
  <si>
    <t>juntadeandalucia.es/organismos/emp…</t>
  </si>
  <si>
    <t>biobio.mineduc.cl</t>
  </si>
  <si>
    <t>coquimbonoticias.cl</t>
  </si>
  <si>
    <t>udd.cl</t>
  </si>
  <si>
    <t>pivotes.cl</t>
  </si>
  <si>
    <t>elchamuco.com.mx</t>
  </si>
  <si>
    <t>ntrguadalajara.com</t>
  </si>
  <si>
    <t>monerohernandez.com.mx</t>
  </si>
  <si>
    <t>asajasevilla.es</t>
  </si>
  <si>
    <t>losrios.mineduc.cl</t>
  </si>
  <si>
    <t>decada80.com</t>
  </si>
  <si>
    <t>valparaiso.mineduc.cl</t>
  </si>
  <si>
    <t>ine.mx</t>
  </si>
  <si>
    <t>ine.com</t>
  </si>
  <si>
    <t>patreon.com/AymeRoman</t>
  </si>
  <si>
    <t>linktr.ee/maanuf96</t>
  </si>
  <si>
    <t>link2play.com/14959/BONOINFA…</t>
  </si>
  <si>
    <t>itvpatagonia.cl</t>
  </si>
  <si>
    <t>rcb.almendralejo.es</t>
  </si>
  <si>
    <t>mtr.bio/gabrielboric</t>
  </si>
  <si>
    <t>T13.cl</t>
  </si>
  <si>
    <t>youtube.com/shorts/x8uO-Cp…</t>
  </si>
  <si>
    <t>trecerosas.org</t>
  </si>
  <si>
    <t>madridproximo.es</t>
  </si>
  <si>
    <t>psoelatina.es</t>
  </si>
  <si>
    <t>psoemadrid.es</t>
  </si>
  <si>
    <t>miquelramos.me</t>
  </si>
  <si>
    <t>educacion.uc.cl</t>
  </si>
  <si>
    <t>eldiario.es</t>
  </si>
  <si>
    <t>ajulianalvarez.com.ar</t>
  </si>
  <si>
    <t>lorzagirl.es</t>
  </si>
  <si>
    <t>gob.cl</t>
  </si>
  <si>
    <t>maule.mineduc.cl</t>
  </si>
  <si>
    <t>luisrubio.mx</t>
  </si>
  <si>
    <t>instagram.com/javitxufv/</t>
  </si>
  <si>
    <t>tiktok.com/@darkotakashi</t>
  </si>
  <si>
    <t>juntadeandalucia.es/organismos/sal…</t>
  </si>
  <si>
    <t>instagram.com/develatter</t>
  </si>
  <si>
    <t>saempleo.es</t>
  </si>
  <si>
    <t>elpais.com.uy</t>
  </si>
  <si>
    <t>spotify.link/kvdbOHHoWIb</t>
  </si>
  <si>
    <t>redliberal.cl</t>
  </si>
  <si>
    <t>pasancosas-conce.blogspot.com</t>
  </si>
  <si>
    <t>youtube.com/channel/UC-szr…</t>
  </si>
  <si>
    <t>boxd.it/2v7lr</t>
  </si>
  <si>
    <t>linktr.ee/kiroleros</t>
  </si>
  <si>
    <t>open.spotify.com/album/39Z4UZre…</t>
  </si>
  <si>
    <t>encancha.cl/enlahora/</t>
  </si>
  <si>
    <t>garcimonero.com</t>
  </si>
  <si>
    <t>resilienciachile.cl</t>
  </si>
  <si>
    <t>uc.cl</t>
  </si>
  <si>
    <t>linktr.ee/CentroJusticia…</t>
  </si>
  <si>
    <t>youtube.com/watch?v=Wc3Bn2…</t>
  </si>
  <si>
    <t>amazon.es/pir%C3%A1mide-…</t>
  </si>
  <si>
    <t>carolinadarias.es</t>
  </si>
  <si>
    <t>linkedin.com/in/felipe-león…</t>
  </si>
  <si>
    <t>certalbacete.es</t>
  </si>
  <si>
    <t>somosjujuy.com.ar</t>
  </si>
  <si>
    <t>instagram.com/martin.arrau/</t>
  </si>
  <si>
    <t>camas.es/es/</t>
  </si>
  <si>
    <t>migentededurangoyoutoube.com</t>
  </si>
  <si>
    <t>youtube.com/MasQuePelotas</t>
  </si>
  <si>
    <t>instagram.com/nachojp_</t>
  </si>
  <si>
    <t>linktr.ee/Mictia00</t>
  </si>
  <si>
    <t>youtu.be/O6sKgy_r4eI</t>
  </si>
  <si>
    <t>gab.com/Florecica</t>
  </si>
  <si>
    <t>resacacultural.com</t>
  </si>
  <si>
    <t>elindependiente.com</t>
  </si>
  <si>
    <t>elpuntavui.cat</t>
  </si>
  <si>
    <t>tsxjaeger.straw.page</t>
  </si>
  <si>
    <t>xochitlgalvez.com</t>
  </si>
  <si>
    <t>linktr.ee/ps_martin</t>
  </si>
  <si>
    <t>instagr.am/gonzavpl</t>
  </si>
  <si>
    <t>https://t.co/2e3IAGheXX https://t.co/8JFApPlAZs</t>
  </si>
  <si>
    <t>https://t.co/TJruTHssme https://t.co/vgxExTYtKz https://t.co/JtlrR4QXE8</t>
  </si>
  <si>
    <t>https://t.co/mE5a97fAow https://t.co/m8NCknYNY9 https://t.co/pwG2tdLi1g</t>
  </si>
  <si>
    <t>https://t.co/hf5MxvSENf https://t.co/6rKAT5BwAM</t>
  </si>
  <si>
    <t>https://t.co/ZMtxERkw9v https://t.co/7Q8Em8evv7</t>
  </si>
  <si>
    <t>https://t.co/Y92IYwihKh https://t.co/wwc2zVwBNP</t>
  </si>
  <si>
    <t>https://t.co/FS8QbVaCDp https://t.co/XIoudd4YyK</t>
  </si>
  <si>
    <t>https://t.co/QwQkOXAwgy https://t.co/zS0iSfWtt0</t>
  </si>
  <si>
    <t>https://t.co/e5lD3RdLqm https://t.co/dwv6fJGrnX</t>
  </si>
  <si>
    <t>https://t.co/Bsw371MmWj https://t.co/KTK47HrEOL</t>
  </si>
  <si>
    <t>https://t.co/OLDr4SXH0O https://t.co/osG2lgcPEa https://t.co/dM96Tcu0NE</t>
  </si>
  <si>
    <t>https://t.co/No4ma8QWSV https://t.co/BNxZPDWexd</t>
  </si>
  <si>
    <t>https://t.co/HaoYxGp3eY https://t.co/uu2DpDlv1w https://t.co/sRQxWrFWsV https://t.co/x12Nh6vPVW</t>
  </si>
  <si>
    <t>http://youtube.com/@AgriculturaTV http://instagram.com/radioagricultu</t>
  </si>
  <si>
    <t>https://bit.ly/cnnwp https://bit.ly/cnnchileandroid https://bit.ly/cnnchileappstore</t>
  </si>
  <si>
    <t>https://bit.ly/44MrZJy https://bit.ly/3wthcra https://bit.ly/4bo5ME5</t>
  </si>
  <si>
    <t>https://lc.cx/dS5fSy http://t.me/elliberal</t>
  </si>
  <si>
    <t>http://bionoticias.cl http://radiovioleta.cl</t>
  </si>
  <si>
    <t>https://inoticias.cl https://t.me/inoticiascl</t>
  </si>
  <si>
    <t>https://linktr.ee/noobstante https://youtube.com/AymeRoman</t>
  </si>
  <si>
    <t>http://twitch.tv/darkotakashi http://instagram.com/darkotakashi/</t>
  </si>
  <si>
    <t>https://whatsapp.com/channel/0029Va4UhwYEwEjuiauxoM09 http://t.me/SenapredChile</t>
  </si>
  <si>
    <t>https://diariousach.cl/ https://www.instagram.com/diariousach/</t>
  </si>
  <si>
    <t>http://instagram.com/radiocrystalcl http://facebook.com/radiocrystalcl http://wa.me/message/IFNYUS</t>
  </si>
  <si>
    <t>http://lavozdelsur.es/socios http://t.me/lavozdelsur</t>
  </si>
  <si>
    <t>https://facebook.com/elpuntavui https://bsky.app/profile/elpuntavui.cat https://t.me/elpuntavui https://instagram.com/el_punt_avui</t>
  </si>
  <si>
    <t>mujeresmas.com.mx</t>
  </si>
  <si>
    <t>Paypal.me/aaaduran</t>
  </si>
  <si>
    <t>youtube.com/@AgriculturaTV instagram.com/radioagricultu</t>
  </si>
  <si>
    <t>uv.cl/radio/</t>
  </si>
  <si>
    <t>youtube.com/@elejercitodea…</t>
  </si>
  <si>
    <t>whatsapp.com/channel/0029Va…</t>
  </si>
  <si>
    <t>m.youtube.com/watch?feature=…</t>
  </si>
  <si>
    <t>youtube.com/@medidascautel…</t>
  </si>
  <si>
    <t>tinyurl.com/32dnhzc9</t>
  </si>
  <si>
    <t>bsky.app/profile/diegoz…</t>
  </si>
  <si>
    <t>cadenaser.com/politica-de-rr…</t>
  </si>
  <si>
    <t>bit.ly/cnnwp bit.ly/cnnchileandroid bit.ly/cnnchileappsto…</t>
  </si>
  <si>
    <t>instagram.com/danielacuadra_…</t>
  </si>
  <si>
    <t>n9.cl/z69qg</t>
  </si>
  <si>
    <t>bit.ly/44MrZJy bit.ly/3wthcra bit.ly/4bo5ME5</t>
  </si>
  <si>
    <t>Meganoticias.cl</t>
  </si>
  <si>
    <t>lc.cx/dS5fSy t.me/elliberal</t>
  </si>
  <si>
    <t>I.de</t>
  </si>
  <si>
    <t>astrodon.social/@ediazcomellas</t>
  </si>
  <si>
    <t>instagram.com/chtajo/</t>
  </si>
  <si>
    <t>bionoticias.cl radiovioleta.cl</t>
  </si>
  <si>
    <t>grupoprensadigital.cl</t>
  </si>
  <si>
    <t>envivo.radiosol.cl</t>
  </si>
  <si>
    <t>facebook.com/elpueblo</t>
  </si>
  <si>
    <t>bit.ly/3FI8NiS</t>
  </si>
  <si>
    <t>t.me/iadministracion</t>
  </si>
  <si>
    <t>instagram.com/jordiwild8/</t>
  </si>
  <si>
    <t>chilquinta.cl/interrupciones</t>
  </si>
  <si>
    <t>Puranoticia.cl</t>
  </si>
  <si>
    <t>inoticias.cl t.me/inoticiascl</t>
  </si>
  <si>
    <t>Ecologia.Red</t>
  </si>
  <si>
    <t>laralorvano.bsky.social</t>
  </si>
  <si>
    <t>atencionsie.supereduc.cl</t>
  </si>
  <si>
    <t>t.me/eitb_noticias</t>
  </si>
  <si>
    <t>t.me/chileporlav</t>
  </si>
  <si>
    <t>chat.whatsapp.com/JQTxteNGyfJJ1n…</t>
  </si>
  <si>
    <t>ntdo.com/6017fUd</t>
  </si>
  <si>
    <t>t.me/RadioNuevoMundo</t>
  </si>
  <si>
    <t>instagram.com/ladecada_80/</t>
  </si>
  <si>
    <t>linktr.ee/noobstante youtube.com/AymeRoman</t>
  </si>
  <si>
    <t>curiouscat.me/ReignOfMyDays</t>
  </si>
  <si>
    <t>psoeaytomadrid.es</t>
  </si>
  <si>
    <t>miquelramos.bsky.social</t>
  </si>
  <si>
    <t>usuarios.eldiario.es/hazte_socio</t>
  </si>
  <si>
    <t>lektu.com/a/lorzagirl/86</t>
  </si>
  <si>
    <t>twitch.tv/darkotakashi instagram.com/darkotakashi/</t>
  </si>
  <si>
    <t>elpais.uy/linkenbio</t>
  </si>
  <si>
    <t>pasancosas.blog</t>
  </si>
  <si>
    <t>whatsapp.com/channel/0029Va… t.me/SenapredChile</t>
  </si>
  <si>
    <t>diariousach.cl instagram.com/diariousach/</t>
  </si>
  <si>
    <t>sevillaymas.com</t>
  </si>
  <si>
    <t>instagram.com/radiocrystalcl facebook.com/radiocrystalcl wa.me/message/IFNYUS</t>
  </si>
  <si>
    <t>lavozdelsur.es/socios t.me/lavozdelsur</t>
  </si>
  <si>
    <t>masquepelotas.es</t>
  </si>
  <si>
    <t>linktr.ee/elindepcom</t>
  </si>
  <si>
    <t>facebook.com/elpuntavui bsky.app/profile/elpunt… t.me/elpuntavui instagram.com/el_punt_avui</t>
  </si>
  <si>
    <t>none</t>
  </si>
  <si>
    <t>regular</t>
  </si>
  <si>
    <t>Open Twitter Page for This Person</t>
  </si>
  <si>
    <t xml:space="preserve">biobio
</t>
  </si>
  <si>
    <t>pablogarcia1223
@Demoniux5 Si bueno, hay cada personaje
que parece el carnet un regalo
de la tómbola</t>
  </si>
  <si>
    <t xml:space="preserve">demoniux5
</t>
  </si>
  <si>
    <t>pame_q
Hoy postulé al hijo en el sistema
de admisión escolar 2025. También
aproveché que tenía unas lukas,
para comprarle ropa de invierno
en oferta. Una parka y unos botines
que le queden para el otro invierno
y pueda usar en el colegio. Ni
programando cenabast había previsto
tanto</t>
  </si>
  <si>
    <t>diaz_manuel
Cumplió su sueño “Porque con la
elección de ministros, magistrados
y jueces, a través del voto, el
sistema judicial será más vulnerable.
Y todavía más si trasciende la
última ocurrencia de elegir candidatos
por vía de la tómbola.” ⁦@marissrivera⁩
https://t.co/sXQu5hRKhv</t>
  </si>
  <si>
    <t xml:space="preserve">marissrivera
</t>
  </si>
  <si>
    <t>jugadoresprome1
Una vez mas compramos "moissanita"
(1) a precio de diamante. Y Vendemos
platino a precio de plata o de
acero.(2) (1) mineral parecido
al diamante (Olmo,Coutinho, Griezmann;
Dembele) (2) Villa, Suarez, Oriol,
etc Somos la tómbola del mercado
español</t>
  </si>
  <si>
    <t>anxooduran
ayer me gasté 12 euros en la tómbola
para llevarme una cortadora de
pelo 🥰</t>
  </si>
  <si>
    <t>kioscodani
Acierto de $4800 en la Tómbola
y $2000 en la Quiniela de anoche
en Kiosco DANI... Probá suerte
vos también en Kiosco DANI. https://t.co/AiOH7jbu8V</t>
  </si>
  <si>
    <t>gwes_phy
@CrisCalonje Estoy hasta el zocolotroco
de tanta tontería. Concurso de
estupideces en la tómbola del Gobierno.</t>
  </si>
  <si>
    <t xml:space="preserve">criscalonje
</t>
  </si>
  <si>
    <t>vanneezaa
yo esperando que fueran las 00
horas para la admisión escolar
2025, y acabo de leer que este
año comienza a las 9 am jsjs</t>
  </si>
  <si>
    <t>pwartemberg1
Sistema de Admisión Escolar 2025:
así funciona la plataforma que
determina el colegio que le corresponde
a cada estudiante en Chile https://t.co/fFGaZ7Kpj4
vía @adnradiochile</t>
  </si>
  <si>
    <t>adnradiochile
Sistema de Admisión Escolar 2025:
así funciona la plataforma que
determina el colegio que le corresponde
a cada estudiante en Chile https://t.co/CDurSpbbkO</t>
  </si>
  <si>
    <t>agriculturafm
#Politica | Diputada Natalia Romero
urge a poner fin a la “tómbola”
en el Sistema de Admisión Escolar
https://t.co/FPb605vWfP</t>
  </si>
  <si>
    <t>edu_valparaiso
“El sistema de admisión escolar,
permite que todos los estudiantes
tengan igualdad de postular a los
establecimientos educacionales
donde desean estudiar” @pmecklenburg
en @rvletelier 📻 97.3 FM</t>
  </si>
  <si>
    <t xml:space="preserve">rvletelier
</t>
  </si>
  <si>
    <t xml:space="preserve">pmecklenburg
</t>
  </si>
  <si>
    <t>franciscoav13
@biobio La tómbola + llanto por
eliminar la selección = caballo
de Troya para la entrada de las
manzanas podridas, este año se
sumó la carencia de matrículas
con la tentación de matrículas/$$.
Suma las bandas según su país de
origen (cultura de armas/drogas)
el desastre está servido</t>
  </si>
  <si>
    <t>sapelach
@clausdebuen @lopezobrador_ Él
es un error de la tómbola!</t>
  </si>
  <si>
    <t xml:space="preserve">clausdebuen
</t>
  </si>
  <si>
    <t xml:space="preserve">lopezobrador_
</t>
  </si>
  <si>
    <t>fridomessi
a esta tia le han dado el titulo
de entrenadora en la tombola del
pueblo</t>
  </si>
  <si>
    <t>piernasdcolusso
@osopinonne Eres tu Eduardo con
el micro de la tómbola, se acopla
si no te muteas</t>
  </si>
  <si>
    <t xml:space="preserve">osopinonne
</t>
  </si>
  <si>
    <t>gracimou
@AngeldebritoOk De la tómbola que
se robó</t>
  </si>
  <si>
    <t xml:space="preserve">angeldebritook
</t>
  </si>
  <si>
    <t>gdehoyos100
La tómbola judicial https://t.co/0INhrVgscp
a través de @El_Universal_Mx</t>
  </si>
  <si>
    <t>el_universal_mx
"La tómbola judicial" #Opinión
de @homsricardo ✍️ 👉 https://t.co/SOi5VOYHf3
https://t.co/tvCjzShwWF</t>
  </si>
  <si>
    <t>baeccipink
Sé que rin reaccionó mal acá, pero
tampoco podemos culparlo cuando
lo único que hizo durante 4 años
fue entrenar por un sueño que en
unos minutos se esfumó frente a
él, sae le metió en la cabeza que
iban a ser los mejores sin dar
otras opciones a un niño de cuantos
años? Como 6-7</t>
  </si>
  <si>
    <t>kykyschan
😴💤 https://t.co/ByTWDGOGx6</t>
  </si>
  <si>
    <t>muni_alhue
📢Atención Entre el 02 y el 30
de agosto se realizarán las postulaciones
al Sistema de Admisión Escolar
para el año 2025, que permite a
las familias escoger y, luego de
la asignación, matricularse en
establecimientos públicos o subvencionados🏫
Más en👇 https://t.co/HUx0lAnzwn
https://t.co/Mvw3wL1vIG</t>
  </si>
  <si>
    <t>g5_noticias
Sistema de Admisión Escolar (SAE):
Los mitos y verdades de la plataforma
de postulación a colegios https://t.co/if2c32jUIh
https://t.co/iTuimDjeht</t>
  </si>
  <si>
    <t>lozan_sierra
@adrianoiz Yo creo que la Montse
Tomé le han dado el carnet en la
tómbola.</t>
  </si>
  <si>
    <t xml:space="preserve">adrianoiz
</t>
  </si>
  <si>
    <t>mario68610623
@juncalssolano @Mx_Diputados La
tómbola judicial. En un mundo donde
hay crisis de valores morales y
un país que se está volviendo “amoral”
y excesivamente pragmático. https://t.co/fPWUXNHi8b</t>
  </si>
  <si>
    <t xml:space="preserve">scjn
</t>
  </si>
  <si>
    <t xml:space="preserve">arturozaldivarl
</t>
  </si>
  <si>
    <t xml:space="preserve">rocha4t
</t>
  </si>
  <si>
    <t xml:space="preserve">mx_diputados
</t>
  </si>
  <si>
    <t xml:space="preserve">juncalssolano
</t>
  </si>
  <si>
    <t>_la_tombola_
Estoy disociando que te cagas wtf</t>
  </si>
  <si>
    <t>quenna4
@DRESTRUM__Pl Por mas que Paulsen
diga es lo mejor democráticamente
es lo contrario, la democracia
esta en juego con esas palabras
y con gente como el que cree que
la democracia se juega en la tómbola.
La cosa es clara la democracia
es para todos igual o es solo para
ciegos ideologizados?</t>
  </si>
  <si>
    <t xml:space="preserve">drestrum__pl
</t>
  </si>
  <si>
    <t>vinibelli15
@miguelpr83 @libertaddigital Le
tocarían en la tómbola de la feria
del pueblo, malpensados😁😁😁</t>
  </si>
  <si>
    <t xml:space="preserve">dalvarez1976
</t>
  </si>
  <si>
    <t xml:space="preserve">libertaddigital
</t>
  </si>
  <si>
    <t xml:space="preserve">miguelpr83
</t>
  </si>
  <si>
    <t>ggilsanz
@CTajadura @el_pais Los españoles
tenemos cada vez menor capacidad
adquisitiva y con un esfuerzo fiscal
asfixiante para las personas porque
4 ignorantes con gorra se creen
que esto es Alemania. Todo ello
en un país sin ahorro ni formación
bruta de K. A algunos les aprobaron
Económicas en la Tómbola.</t>
  </si>
  <si>
    <t xml:space="preserve">joseachozas
</t>
  </si>
  <si>
    <t xml:space="preserve">el_pais
</t>
  </si>
  <si>
    <t xml:space="preserve">ctajadura
</t>
  </si>
  <si>
    <t>sibaritastur
Perdiendo valor en la tómbola riojana.</t>
  </si>
  <si>
    <t>vinetur
El Ministerio impulsa la calidad
del vino riojano: MAPA reconoce
14 nuevos parajes vitivinícolas
en Rioja https://t.co/JZhvJSRWAt
https://t.co/vaHGtRTdx6</t>
  </si>
  <si>
    <t>preludioradio
Entrevista Exclusiva con el Seremi
de Educación: Consejos Clave para
el Proceso de Admisión Escolar
2025 https://t.co/lrr2ZGWHWk a
través de @PreludioRadio</t>
  </si>
  <si>
    <t>chillanonline
El sistema de admisión escolar
abre su período de postulaciones
el 2 de agosto https://t.co/btkAmjcVhW
a través de @CHILLANONLINE https://t.co/ZVj6tWL1t8</t>
  </si>
  <si>
    <t>accioneducar
Comenzó un nuevo proceso de admisión
escolar, y hay que sacar cosas
en limpio del proceso anterior:
Según @drodriguezmo un aprendizaje
es que "se debe haber dado más
flexibilidad a los colegios part
subvencionados, que son por lejos
los más preferidos, de ampliar
sus cupos". https://t.co/9ZVvk3gHQs</t>
  </si>
  <si>
    <t xml:space="preserve">drodriguezmo
</t>
  </si>
  <si>
    <t>rubi622
@DiegoZapata_01 Jajajaja jajajaja
anda a vender muñecas en la tómbola
de Albacete</t>
  </si>
  <si>
    <t xml:space="preserve">diegozapata_01
</t>
  </si>
  <si>
    <t>radioprensa
Este viernes comienzan las postulaciones
a través del Sistema de Admisión
Escolar SAE https://t.co/JZB4Dk0YIK
https://t.co/mwMMEDETi6</t>
  </si>
  <si>
    <t>radiovalencia
📚 Decenas de familias de Sagunt
denuncian el caos en la admisión
escolar por la falta de recursos
📎 El @AytoSaguntoCom pide soluciones
a la Generalitat y la @GVAeducacio
asegura está tomando medidas https://t.co/DkMa5FdoDv</t>
  </si>
  <si>
    <t xml:space="preserve">gvaeducacio
</t>
  </si>
  <si>
    <t>tonygabbana_88
Al árbitro le han dado el título
en la tómbola? Está exhibiéndose
o arbitrando? Qué vergüenza lo
que le están haciendo a Reyes Pla
#Paris2024 #ParisRTVE4a</t>
  </si>
  <si>
    <t>carmengloria08_
Justo cuando tengo que postular
a mi hija al colegio por el SAE
hay un temporal. Señal de internet
pésima, wifi cortado y mi ojo ya
comienza a tiritar 🥲 #SISTEMADEADMISIÓNESCOLAR</t>
  </si>
  <si>
    <t>mirna_marta
@WenaChile Daño a las instituciones
fundamentales ; Educación (la tómbola
) justicia ( puerta giratoria)
Economía ( pésima reforma tributaria)
Seguridad ( llegada masiva de inmigrantes)Seguridad
( sacar las minas del norte ) Sistema
Prev. artíc 37 . AFP no asegura
ganancia mínima .</t>
  </si>
  <si>
    <t xml:space="preserve">wenachile
</t>
  </si>
  <si>
    <t>joaco_ledesma11
@larroqueandres Vamos por más!!
Doy fe que el SAE en la provincia
funciona muy bien 👏</t>
  </si>
  <si>
    <t xml:space="preserve">larroqueandres
</t>
  </si>
  <si>
    <t>inohino365
@GraceArcosM @nico_cataldo @JUNJI_Chile
@Mineduc Sistema ideológico de
admisión escolar podrías decir</t>
  </si>
  <si>
    <t xml:space="preserve">junji_chile
</t>
  </si>
  <si>
    <t xml:space="preserve">gracearcosm
</t>
  </si>
  <si>
    <t>mineduc
¡Hoy 2 de agosto, a las 9:00 horas,
comienza el proceso de #AdmisiónEscolar
2025! Postula a tu hija o hijo
en https://t.co/Gj4scT7ik3 hasta
el 30 de agosto a las 14:00 hrs.
Ingresa al menos seis establecimientos de tu interés.
https://t.co/kHCjBPtw5M</t>
  </si>
  <si>
    <t>nico_cataldo
Hoy comenzó el proceso de Admisión
Escolar 2025. En ese sentido, destaco
la mirada de Macarena Hernández,
investigadora del Centro de Justicia
Educacional (@justiciaeduc) de
la @ucatolica, al resaltar que
el SAE «democratiza la información
de los establecimientos a las familias»
https://t.co/phclxtpXxG</t>
  </si>
  <si>
    <t>elbachvaldivian
@CNNChile Números sacados de la
tómbola del gobierno</t>
  </si>
  <si>
    <t>cnnchile
Sistema de admisión escolar 2025:
Cómo, cuándo y dónde postular https://t.co/9Gmlx8GQa3</t>
  </si>
  <si>
    <t>tel81296369
@DeniseDresserG @lopezobrador_
Denise, la tómbola es una lotería,
un juego de azar, lo que tu propones
no tiene nada que ver, que por
medio del esoterismo se elijan
los administradores de la función
pública. Los jueces administran
la justicia, como en EEUU, los
jurados son elegidos de gente común
del barrio.</t>
  </si>
  <si>
    <t xml:space="preserve">denisedresserg
</t>
  </si>
  <si>
    <t>pistoljosed
@Tor25899035 Imagino que sus vienes
también irán a la tómbola</t>
  </si>
  <si>
    <t xml:space="preserve">tor25899035
</t>
  </si>
  <si>
    <t>elranco
#REGIÓNDELOSRÍOS: 371 Establecimientos
de Los Ríos están disponibles para
postular en el Sistema de Admisión
Escolar 2025 - - - Lee la nota
completa en nuestro sitio web 📲
https://t.co/i7us8LNrTj https://t.co/RjxcFQeQVQ</t>
  </si>
  <si>
    <t>sergio361278762
@TeamLeoM Éntrale a la tómbola
de regalos Messi,no ,yo ya tengo
todo arreglado,mi novio infantino
ya sabe qué en la cama nos emparejamos.</t>
  </si>
  <si>
    <t xml:space="preserve">teamleom
</t>
  </si>
  <si>
    <t>admisionescolar
¡Hoy 2 de agosto, a las 9:00 horas,
comienza el proceso de #AdmisiónEscolar
2025! Postula a tu hija o hijo
en https://t.co/MkJNQVRctx hasta
el 30 de agosto a las 14:00 hrs.
Ingresa al menos seis establecimientos de tu interés.
https://t.co/PB9UbFG9L9</t>
  </si>
  <si>
    <t xml:space="preserve">agenciaeduca
</t>
  </si>
  <si>
    <t xml:space="preserve">amparobarista
</t>
  </si>
  <si>
    <t xml:space="preserve">ely_enjoy
</t>
  </si>
  <si>
    <t xml:space="preserve">mr_y_mrs
</t>
  </si>
  <si>
    <t xml:space="preserve">sourgirl_r
</t>
  </si>
  <si>
    <t xml:space="preserve">danielafcuadra
</t>
  </si>
  <si>
    <t xml:space="preserve">mauricioriscor
</t>
  </si>
  <si>
    <t xml:space="preserve">evelyntriples
</t>
  </si>
  <si>
    <t xml:space="preserve">camila20271470
</t>
  </si>
  <si>
    <t xml:space="preserve">aleja_27f
</t>
  </si>
  <si>
    <t>rm___fernanda
Hemos enviado la solicitud de admisión
escolar para Santi el próximo año
🥺🤞🏽</t>
  </si>
  <si>
    <t>estellerria
@puck455 @Butaca131 @navarra_com
Y lo que no te voy a permitir,
ni a tu colega falangista Javier
Ancín, es que califiques el uso
del dinero de las txoznak como
opaco sin hacer lo mismo con el
de la tómbola de Cáritas o el destino
de lo robado al pueblo navarro.</t>
  </si>
  <si>
    <t xml:space="preserve">navarra_com
</t>
  </si>
  <si>
    <t>butaca131
@navarra_com ¿hablas de la tómbola
de Cáritas?</t>
  </si>
  <si>
    <t>puck455
@Butaca131 @navarra_com Si tu supieras
donde va el dinero de la tómbola
de caritas</t>
  </si>
  <si>
    <t>aleoglez
Ya que les gusta tanto la tómbola,
elección popular y las encuestas
patito… Porque Claudia López, deja
al pueblo, que escoja a su gabinete?
De todas formas, únicamente lo
reciclaron.</t>
  </si>
  <si>
    <t>comoscsientc
&amp;lt; a quitársela del todo.— no
sé por qué nos pasa esto, tal vez
no cerramos bien la mierda del
año pasado o quizás, simplemente,
hemos vuelto a salir en la tómbola
de desgracias de algún dios. lo
único que tengo claro es que debemos
estar alerta, con todos los sentidos.
todos.</t>
  </si>
  <si>
    <t>contingenciacl_
#ContingenciaChile: Comenzó proceso
de postulación a colegios a través
del Sistema de Admisión Escolar.
Este viernes 2 comienza el periodo
de postulaciones a través de la
plataforma SAE, plazo que estará
vigente hasta el 30 de agosto.
https://t.co/Xm7SOTI2MF</t>
  </si>
  <si>
    <t>romerorome7324
@DeniseDresserG @lopezobrador_
Señora sus tiempos de intelectualidad
se terminaron,su sarcasmo no es
suficiente,carece de un enfoque
y análisis ya que los que van a
participar en la tómbola serán
abogados de carrera incluso ministros
que pertenecen al actual poder
judicial,un ejemplo claro yo no
podré partici-</t>
  </si>
  <si>
    <t>edupublicacl
🔵 Subsecretaria @AleArratiaM y
el director de Educación Pública,
Rodrigo Egaña, participaron en
la comisión investigadora de la
@Camara_cl para exponer y resolver
consultas sobre el Sistema de Educación
Pública y el Sistema de Admisión
Escolar (SAE). https://t.co/mkrDyYfK0u</t>
  </si>
  <si>
    <t xml:space="preserve">alearratiam
</t>
  </si>
  <si>
    <t xml:space="preserve">camara_cl
</t>
  </si>
  <si>
    <t>shoffy_vf
@biobio Ese tema de la tómbola
a sido puros problemas, la inclusión
es más blabla que efectividad.
Los colegios no se meten en los
temas de bulling</t>
  </si>
  <si>
    <t>patri86381
No sabía q me había pasado unos
cuantos años estudiando Derecho
y sacarme un título que ahora debe
pedirse por Amazon o te toca en
la tómbola. Cuanto des-ilustrado
🤨 Al=q no se me ocurriría ponerme
a pautar medicamentos, tampoco
esperaría q la gente hable de leyes
sin entender</t>
  </si>
  <si>
    <t>pedrolo25778676
@antofaopina2022 @cmds_antof Terminen
con la tómbola de mierda y que
empiecen a expulsar a weones incompatibles
con la educación</t>
  </si>
  <si>
    <t xml:space="preserve">cmds_antof
</t>
  </si>
  <si>
    <t xml:space="preserve">antofaopina2022
</t>
  </si>
  <si>
    <t>latercera
Sistema de Admisión Escolar 2025:
revisa cómo postular y cuáles son
los plazos https://t.co/OuNPePp2BT</t>
  </si>
  <si>
    <t>benignopf
La tómbola judicial https://t.co/j2eQG7MhIp
vía @El_Universal_Mx</t>
  </si>
  <si>
    <t>albammmedina
A algunos conductores de ALSA les
han dado el carnet en la tómbola
😃</t>
  </si>
  <si>
    <t>alfonsocc98
@Srtacotilleo Ya le tocó el carnet
en la tómbola, cojonudo.</t>
  </si>
  <si>
    <t>meganoticiascl
Inician postulaciones al Sistema
de Admisión Escolar: Este es el
sitio oficial para realizar el
trámite https://t.co/3OtfMvdyJc</t>
  </si>
  <si>
    <t>myriligmez21
La tómbola judicial https://t.co/cYtEZYkiIF
vía @El_Universal_Mx</t>
  </si>
  <si>
    <t>mineducaysen
Hoy partió el proceso de Sistema
de Admisión Escolar (SAE) 2025!
🏫💡 Te damos 3 tips para las postulaciones
🤓💻 En nuestras oficinas de Ayuda
Mineduc en Bilbao #540 Coyhaique,
recibirás apoyo presencial para
postular si lo requieres. https://t.co/bMLx8oxGvl</t>
  </si>
  <si>
    <t>eduardovirgala
No recuerdo la tómbola en la que
le tocó la titularidad en Derecho
Constitucional.</t>
  </si>
  <si>
    <t>theobjective_es
Ana Redondo defiende el pacto en
Cataluña: «Garantiza» igualdad
y «supera» conflictos. https://t.co/NoRKuhwyd3</t>
  </si>
  <si>
    <t>leo_fiorentino
@SelvaAndreoli Saco 3 numeros a
la tombola.</t>
  </si>
  <si>
    <t xml:space="preserve">selvaandreoli
</t>
  </si>
  <si>
    <t>cojimanki1
@muzeriqui La carrera te tocó en
la tómbola 🤣🤣🤣🤣</t>
  </si>
  <si>
    <t xml:space="preserve">muzeriqui
</t>
  </si>
  <si>
    <t>divxnopka
@N3S3P4S que bajocompararse con
una Vieja culia asesina hija de
la tómbola</t>
  </si>
  <si>
    <t xml:space="preserve">n3s3p4s
</t>
  </si>
  <si>
    <t>alex_alic
@salermico @PHLosMonigotes @jjavierperezr
Aquí no se ha dejado nada al azar!!!
Todo está estudiado!!!! https://t.co/9VQlQS8Ure</t>
  </si>
  <si>
    <t xml:space="preserve">cfbadalonafutur
</t>
  </si>
  <si>
    <t xml:space="preserve">cfhercules
</t>
  </si>
  <si>
    <t xml:space="preserve">sergiosierratv
</t>
  </si>
  <si>
    <t xml:space="preserve">dannyhcf89
</t>
  </si>
  <si>
    <t xml:space="preserve">el_gali_13
</t>
  </si>
  <si>
    <t xml:space="preserve">jjavierperezr
</t>
  </si>
  <si>
    <t xml:space="preserve">phlosmonigotes
</t>
  </si>
  <si>
    <t xml:space="preserve">salermico
</t>
  </si>
  <si>
    <t>ediazcomellas
@cefalopodo @chtajo @mitecogob
Se aprovechan de la paciencia ciudadana...
Cualquier día un cazador les apaga
la tómbola.</t>
  </si>
  <si>
    <t xml:space="preserve">mitecogob
</t>
  </si>
  <si>
    <t xml:space="preserve">chtajo
</t>
  </si>
  <si>
    <t xml:space="preserve">cefalopodo
</t>
  </si>
  <si>
    <t>chandiafer
Sistema de Admisión Escolar (SAE):
Los mitos y verdades de la plataforma
de postulación a colegios https://t.co/vXPRUXYYEd
#SistemaDeAdmisiónEscolar #SAE
#MitosYVerdades #PostulaciónColegios
#Educación https://t.co/X9J1sDToWj</t>
  </si>
  <si>
    <t>prensa_educa
Sistema de Admisión Escolar (SAE):
Los mitos y verdades de la plataforma
de postulación a colegios https://t.co/7Io8xxn6tC
a través de @prensa_educa</t>
  </si>
  <si>
    <t>atologocito1
¡Echa un vistazo al vídeo de AndaluciaRevolution!
#TikTok https://t.co/sXvro0cXnG</t>
  </si>
  <si>
    <t xml:space="preserve">manolo67985717
</t>
  </si>
  <si>
    <t xml:space="preserve">rbsotomayor
</t>
  </si>
  <si>
    <t xml:space="preserve">malules7532791
</t>
  </si>
  <si>
    <t>antoniomaestre
Es fascinante ver a la derecha
preocupada por la solidaridad fiscal
en Cataluña mientras defienden
la política fiscal de Ayuso que
baja los impuestos a los más ricos.</t>
  </si>
  <si>
    <t>manolitocino
@ierrejon Sigo teniendo serias
dudas sobre el origen de tu doctorado.
No sé si te salió en una tapa de
yogur Danone o en un boleto de
la Tómbola El Maño.</t>
  </si>
  <si>
    <t xml:space="preserve">ierrejon
</t>
  </si>
  <si>
    <t>hagov_wav
@gonzavpl y después de cómo 8 años
entendí que el profe nos había
limpiado de una manera olímpica
para que no vayamos a sus clases
de mierda, igual que se haga peinar,
que se hace el importante el pelotudo
ese, ahora debe de estar en silla
de ruedas jugando a la tómbola</t>
  </si>
  <si>
    <t>salgado1mauro
@DeniseDresserG @lopezobrador_
Te proponemos para que tú seas
la imagen oficial de la tómbola
denise, y en la apertura llegues
rompiendo cadenas.</t>
  </si>
  <si>
    <t>minervafdz
Estoy postulando a mi hijo en el
nefasto sistema de @AdmisionEscolar
osea la tómbola y al final solo
se trata de #Pitutos. Tiene preferencia
si tiene algún familiar, trabajando
o estudiando en el establecimiento.
Ningún mérito propio. #MaduroTiranoDictador</t>
  </si>
  <si>
    <t>moniato1
@bjs_alejo2 Ese panda es de la
tómbola el terremoto</t>
  </si>
  <si>
    <t xml:space="preserve">bjs_alejo2
</t>
  </si>
  <si>
    <t>radiosolchile
Atención Antofagasta: Arranca el
Sistema de Admisión Escolar 2025
https://t.co/6FHoO74hOp</t>
  </si>
  <si>
    <t>eldelasierrasoy
@Yolanda_Diaz_ @garciaperezmari
Vosotras ya tenéis la medalla,
os la han dado en la tómbola del
Consejo de Ministros. https://t.co/CCgIcpS3T3</t>
  </si>
  <si>
    <t xml:space="preserve">garciaperezmari
</t>
  </si>
  <si>
    <t xml:space="preserve">yolanda_diaz_
</t>
  </si>
  <si>
    <t>elpueblodeceuta
Un hombre siembra el caos en la
feria con un cuchillo de la tómbola
https://t.co/sWfsES0Az9 https://t.co/EFTLzBQANy</t>
  </si>
  <si>
    <t>frejes561320
@DeniseDresserG @lopezobrador_
Tombola pero con los q el elija
para estar en la tombola, puro
juez abyecto y achichincle del
poder, asi cualquiera dara lo mismolos
tendra bien sometidos al poder
presidencial</t>
  </si>
  <si>
    <t>ctorrety55512
@AlexMar03804657 @mrhitchcok @mcubillossigall
@mbachelet Tienes hijos o estudiaste
en la educación pública? Sabes
como funciona la tómbola? Sabes
que el mérito, el sacrificio y
la dedicación...ahora valen callampa?
Sabes que hoy importa una raja
que un postulante sea hijo de inmigrantes
ilegales y deje fuera a un niño
chileno.</t>
  </si>
  <si>
    <t xml:space="preserve">mbachelet
</t>
  </si>
  <si>
    <t xml:space="preserve">mcubillossigall
</t>
  </si>
  <si>
    <t xml:space="preserve">mrhitchcok
</t>
  </si>
  <si>
    <t xml:space="preserve">alexmar03804657
</t>
  </si>
  <si>
    <t>24horastvn
❗ #TeSirve Sistema Admisión Escolar
(SAE): ¿hasta cuándo se puede postular?
Más detalles ⬇ https://t.co/ppiktCHuJO</t>
  </si>
  <si>
    <t>pedropadillar
El SAE abre un proceso participativo
para diseñar un Laboratorio de
Innovación para el Empleo... https://t.co/lhD5KGWKUe
desde @novagob</t>
  </si>
  <si>
    <t xml:space="preserve">novagob
</t>
  </si>
  <si>
    <t>mdinyer1
@JordiWild @elonmusk @NicolasMaduro
@realDonaldTrump Un Donald Trump
versus el gitano de la tómbola
que le puso el petardo 🧨 en la
oreja estaría guapo</t>
  </si>
  <si>
    <t xml:space="preserve">realdonaldtrump
</t>
  </si>
  <si>
    <t xml:space="preserve">nicolasmaduro
</t>
  </si>
  <si>
    <t xml:space="preserve">elonmusk
</t>
  </si>
  <si>
    <t xml:space="preserve">jordiwild
</t>
  </si>
  <si>
    <t>hectorcasto53
La columna FOCUS DE @homsricardo
// La tómbola judicial Vía. @El_Universal_Mx
https://t.co/HcCVVFyyv0</t>
  </si>
  <si>
    <t xml:space="preserve">homsricardo
</t>
  </si>
  <si>
    <t>vjelias
@Chilquinta600 Indecentes de mierda!!!!
Jugando a la tómbola...de las 20;00hrs
del Jueves sin servicio...es Sábado
08:30hrs y nada aún...pudranse.
https://t.co/sfA0HdBUaZ</t>
  </si>
  <si>
    <t xml:space="preserve">chilquinta600
</t>
  </si>
  <si>
    <t>puranoticia
102 puntos de apoyo se han dispuesto
en la región de Valparaíso para
el proceso de postulación del Sistema
de Admisión Escolar 2025 ➡️ https://t.co/C4OvLlcLHy
https://t.co/J9n559nBjW</t>
  </si>
  <si>
    <t>fmdos
Sistema de Admisión Escolar 2025:
Conoce como postular y cuáles son
las fechas clave https://t.co/xjgc6bcH78</t>
  </si>
  <si>
    <t>ninodecat
@Alemesfer las ofertas que publica
el SAE</t>
  </si>
  <si>
    <t xml:space="preserve">alemesfer
</t>
  </si>
  <si>
    <t>bb_xtina
@biobio Gracias a la Tómbola de
la basheleeeeh🙃🙃 ahora está todo
mezclado,si enfoco los recursos
en un grupo de weones matones y
porrones, deberia tener egresados
con el 80%del cerebro funcional,
los cursos separados y colegios
especialistas deberian sacar mocosos
mejor preparados👇</t>
  </si>
  <si>
    <t>eldesconcierto
VIDEO| Tutorial paso a paso para
postular a su estudiante al Sistema
de Admisión Escolar (SAE) https://t.co/aflUp9rZ3n</t>
  </si>
  <si>
    <t>lafontanacl
🎒 Atención apoderados de Ñuble:
ya abrió el Sistema de Admisión
Escolar 2024 - ¿Qué es y cómo funciona?:
https://t.co/1ydyKWefv4 https://t.co/bVheU5O6hz</t>
  </si>
  <si>
    <t>elsasweet1324
@RHollmann Las listas de espera
eternas, la tómbola en educación,
el sistema público menos se puede
hacer cargo!</t>
  </si>
  <si>
    <t xml:space="preserve">rhollmann
</t>
  </si>
  <si>
    <t>carmeng734
@biobio Y nuevamente el viernes
a la Tómbola a exponerse a estar
con flaites matones como estos.
Y por lo demás debieran hacer políticas
publicas donde los niños Tea estén
protegidos de verdad no sirve inclusión
sin verdadera protección. Bachelet
y tu inclusión 🤬</t>
  </si>
  <si>
    <t>soypente
@FranRicoMlg En la feria te toca
en la tómbola.</t>
  </si>
  <si>
    <t xml:space="preserve">franricomlg
</t>
  </si>
  <si>
    <t>inoticias_cl
🔴 Proceso de postulación para
Admisión Escolar 2025: Revisa cómo
inscribirse 🌎 @duploscl 👉 #INoticiasCL
#Noticias https://t.co/rovEm1dZK1</t>
  </si>
  <si>
    <t xml:space="preserve">duploscl
</t>
  </si>
  <si>
    <t>danyger7
@Reforma La tómbola, la misma que
logró designar a una Taddei como
consejera presidente del INE.</t>
  </si>
  <si>
    <t xml:space="preserve">reforma
</t>
  </si>
  <si>
    <t>moquitamocol
La tómbola judicial | El Universal
https://t.co/lkKw4VOVZP</t>
  </si>
  <si>
    <t>palasrisillas
@dlacalle @pedro_casares @sanchezcastejon
@PSOE @gpscongreso @CristinaNarbona
@montseminguez @Begonasarre @Patri_Blanquer
@Ferran_Verdejo @AliciaAlvarezSC
@GONZALO_REDONDO @ElisaGarrido
A ver, Daniel, no te lo tomes a
mal, pero tu credibilidad está
al nivel de el vendedor de la tómbola,
también te lo digo. Que digo yo
que también se puede ser economista
y no cagarla cada dos por tres.
https://t.co/nSBqnbFNTU</t>
  </si>
  <si>
    <t xml:space="preserve">elisagarrido
</t>
  </si>
  <si>
    <t xml:space="preserve">gonzalo_redondo
</t>
  </si>
  <si>
    <t xml:space="preserve">aliciaalvarezsc
</t>
  </si>
  <si>
    <t xml:space="preserve">ferran_verdejo
</t>
  </si>
  <si>
    <t xml:space="preserve">patri_blanquer
</t>
  </si>
  <si>
    <t xml:space="preserve">begonasarre
</t>
  </si>
  <si>
    <t xml:space="preserve">montseminguez
</t>
  </si>
  <si>
    <t xml:space="preserve">cristinanarbona
</t>
  </si>
  <si>
    <t xml:space="preserve">gpscongreso
</t>
  </si>
  <si>
    <t xml:space="preserve">psoe
</t>
  </si>
  <si>
    <t xml:space="preserve">pedro_casares
</t>
  </si>
  <si>
    <t xml:space="preserve">dlacalle
</t>
  </si>
  <si>
    <t xml:space="preserve">sanchezcastejon
</t>
  </si>
  <si>
    <t>sanchezjant
@Reforma No invente si de por si
ya sale cada cosa y ahora echalo
a la tómbola, Chance y se la lleve
uno de un cartel!!</t>
  </si>
  <si>
    <t>_mpez
@starla__ @Mineduc Igual que como
georeferencian el SAE 😂</t>
  </si>
  <si>
    <t xml:space="preserve">__starla_
</t>
  </si>
  <si>
    <t>yordi466544702
@DeniseDresserG @lopezobrador_
Que la tómbola la va hace Monreal
y BARTLETT! Así que ya se la saben
mis chairos puros cuates del poder
y Jrs. Bienestar</t>
  </si>
  <si>
    <t>cristygm90
A ciertos clientes les ha tocado
la educación en la tómbola. Una
señora, por así llamarla, me ha
interrumpido mientras estaba comiendo
y he tenido que ir a cobrarle,
cuando lo podría haber hecho mi
hermana que estaba libre, pues
no.</t>
  </si>
  <si>
    <t>nuevodiarioweb
Los resultados de la Tómbola Santiagueña
del martes 6 de agosto https://t.co/HsRd5u1iJV</t>
  </si>
  <si>
    <t>lacuarta
Sistema de Admisión Escolar 2025:
Todo lo que debes saber antes de
postular https://t.co/rhaXCe0pOy</t>
  </si>
  <si>
    <t>codereco
🚨 ¡Última semana de la Tómbola
Ganadora en Ibagué, Tolima! 🎉  
  Recuerda que con esta promoción
transformas tus tickets perdidos
en una oportunidad de ganar $200.000
en freebets ⚽️ https://t.co/BMR2BEGstX</t>
  </si>
  <si>
    <t>edu__iquique
🔵 Junto a @seremieduc01 visitamos
el Colegio República de Croacia
para orientar a estudiantes y sus
familias en el uso de la plataforma
de Sistema de Admisión Escolar,
a través de su vitrina web https://t.co/coioJDtg2i📲
#Iquique #AltoHospicio #NuevaEducaciónPública
📚 https://t.co/Nei4PO6jbd</t>
  </si>
  <si>
    <t xml:space="preserve">seremieduc01
</t>
  </si>
  <si>
    <t>marina_agbb
Ese hombre representa a mi padre.
Cuando levanté palmo y medio del
suelo ya me llevaba a la feria
y me enseñaba a cargar la carabina
regulera y en cuanto pude a tirar
a palillos y globos. Aprendí con
él y mi cuarto parece la tómbola
antojitos.</t>
  </si>
  <si>
    <t>ilovepisto
El tirador turco y el dormitorio
de su hija https://t.co/q8hoEzyJxD</t>
  </si>
  <si>
    <t>adano1989
Manualidades Gizantz, tienda especializada
en el mundo de las manualidades,
también colabora con la Tómbola
Solidaria de ADANO donando materiales
para sortear. ¡Muchas gracias!
Eskerrik asko por la colaboración
en este evento tan importante para
la asociación. #adano https://t.co/SKbbdvE2Rr</t>
  </si>
  <si>
    <t>trabugata
@madrid_total2 A Mbappe lo habéis
fichado porque os todo el bingo
en la tómbola del pueblo. Si es
que hay que reírse….</t>
  </si>
  <si>
    <t xml:space="preserve">madrid_total2
</t>
  </si>
  <si>
    <t>tombolauy
Hola!😄Les compartimos los resultados
del sorteo nocturno de hoy martes
6 de agosto🙌 https://t.co/PdJc3OR35z</t>
  </si>
  <si>
    <t>mdelacruz75
@ClaudioXGG Segun tu logica, debes
de mostrarnos la Tombola donde
Norma Piña rifa los Fines de Semana,
a Los DELINCUENTES que dejará libres,
obvio, tonta tonta no es, hay mano
negra y saca a los que son mas
REDITUABLES ECONÓMICAMENTE. Por
eso, se Van, por Corruptos!!!</t>
  </si>
  <si>
    <t xml:space="preserve">claudioxgg
</t>
  </si>
  <si>
    <t>robertodesachy
La tómbola judicial: @homsricardo
https://t.co/1lUYKikrFI</t>
  </si>
  <si>
    <t>jcelis87
@unrajador @jlmartinsaez Yo estuve
en la feria donde se lo regalaron
al Jose este. Fue en la Tómbola
de San Nicasio. Doy Fe.</t>
  </si>
  <si>
    <t xml:space="preserve">jlmartinsaez
</t>
  </si>
  <si>
    <t xml:space="preserve">unrajador
</t>
  </si>
  <si>
    <t>aytopinosgenil
Próxima Convocatoria EMPLEA ACTIVA
#PinosGenil Para personas desempleadas
entre 18 y 35 años y 45 o más inscritos
en el SAE con los siguientes códigos
de ocupación: BARRENDEROS/AS (CNO
9443) PINTORES/AS (CNO 7231) JARDINEROS/AS
(CNO 9512) https://t.co/a659CQcyjS</t>
  </si>
  <si>
    <t>jlestu4
@laraverina Y esto señores es cuando
te sacas una ingeniería en la tómbola
de las fiestas de tu pueblo . Cuando
no hay , no se puede sacar nada
….del cerebro claro</t>
  </si>
  <si>
    <t xml:space="preserve">laraverina
</t>
  </si>
  <si>
    <t>jmcacuariano
@maxpradera Lo que tú digas Charo.
Acabas de crear jurisprudencia.
Si un juez te juzga, le metes una
querella (o 3) y así punto en boca.
Anda y ve otra vez a la uní. O
a la tómbola de los títulos.</t>
  </si>
  <si>
    <t xml:space="preserve">maxpradera
</t>
  </si>
  <si>
    <t>taseenb
@EmmaRincon @YOANA_GON La cantidad
de bulos difundidos por la fábrica
de fake news opositora volvió a
su máximo esplendor desde 2017.
Recomenzó la tómbola.</t>
  </si>
  <si>
    <t xml:space="preserve">emmarincon
</t>
  </si>
  <si>
    <t>claud1adiaz
En #Chile el SAE y anótate indican
por edad la matrícula del NNA si
no ha cursado años anteriores de
estudios, debe ser evaluado ¿y
si debe bajar de curso y no hay
cupo? Sume al NNA matriculado por
el juzgado @Mineduc @PJudicialChile
@supereduc_cl todos deciden menos
el cole</t>
  </si>
  <si>
    <t xml:space="preserve">supereduc_cl
</t>
  </si>
  <si>
    <t xml:space="preserve">pjudicialchile
</t>
  </si>
  <si>
    <t>sanz_ismael
La reducción de la ratio de alumnos
por clase mejora el aprendizaje
de los alumnos, incrementando su
rendimiento académico y reduciendo
también la probabilidad de repetir
curso https://t.co/E69t1E0YCI https://t.co/eyw0cirTu2
https://t.co/JaZ1FxK4wz</t>
  </si>
  <si>
    <t>eitbnoticias
▶️ Cientos de premios de la tómbola
de sanfermines buscan dueño o dueña
https://t.co/R18FH5b9JX</t>
  </si>
  <si>
    <t>barrio_tuetano
Creo que le ofendió que la tómbola
era la del camello</t>
  </si>
  <si>
    <t>caritonasis
La tómbola! Donde tu hijo con promedio
6.7 queda fuera y el que tiene
4.6 queda en el Bicentenario! #NoMasAdmisionPorTombola</t>
  </si>
  <si>
    <t>nrsefobia
Si se dan cuenta que yo reserve
al Rin y el Sae no alcanzó ABANDONADO
COMO EN EL CANON LA DESGRACIA ME
PERSIGUE Y A ESTOS DOS PARA QUE
NO SE RECONCILIEN NI EN MUNDOS
ALTERNOS</t>
  </si>
  <si>
    <t>paulagutierreze
@exantecl "Me informe por la prensa"
"lo descozco", frases emblematicas
de la ex presidenta. Sus errores
los estamos pagando con la tombola
en educación, los damnificados
del 27 S , los casos Caval , y
de todo lo que deja pasar de este
gobierno.</t>
  </si>
  <si>
    <t xml:space="preserve">exantecl
</t>
  </si>
  <si>
    <t>mrlegaljargon
@DeniseDresserG @lopezobrador_
Imagínate ser un periodista y no
haber leído y comprendido los requisitos
para participar. Compartir lo que
creíste haber entendido, pese a
que está mal. Y además ser tan
torpe que te cuesta trabajo entender
que se burlan directamente de ti
(con bromas como la tómbola)</t>
  </si>
  <si>
    <t>radioaftaonline
https://t.co/pQDbKfDfJu #Educación
|| ¿CÓMO FUNCIONA EL PROCESO DE
ADMISIÓN ESCOLAR (SAE)? Este viernes
2 de agosto, se inicio el periodo
de postulaciones a colegios a través
del Sistema de Admisión Escolar
(SAE), el cual estará vigente hasta
el 30 de agosto. El SAE es un</t>
  </si>
  <si>
    <t>zeerecitas
hola quién quiere ser el sae de
mí isagi y ser el saesagi 😔</t>
  </si>
  <si>
    <t>13barras5
@felixbolanosg A ver si explicas
un poco lo del cupo fiscal que
habéis regalado al independentismo
catalán en perjuicio del resto
de CCAA. Tu peinado nos importa
bien poco. Un poco de seriedad,
por favor, que parece que te ha
tocado el ministerio en la tómbola
de los más pelotas de PS</t>
  </si>
  <si>
    <t xml:space="preserve">felixbolanosg
</t>
  </si>
  <si>
    <t>paupaumcc
Se supone hoy comienza el sistema
de admisión escolar pero no funcionaaaáaaaaa</t>
  </si>
  <si>
    <t>javierf06127749
@TonoSVJ El de la tómbola.</t>
  </si>
  <si>
    <t xml:space="preserve">tonosvj
</t>
  </si>
  <si>
    <t>rthur013
Después de que al Presidente se
le ocurrió la brillante idea de
elegir a los Ministros de la Suprema
Corte por rifa o tómbola... https://t.co/8M24sA476T</t>
  </si>
  <si>
    <t>gabs11_11
No puedo creer lo de la tómbola
… debi de comprar dólares</t>
  </si>
  <si>
    <t>elojoeneldedo
En la 1 en el descanso del fútbol
han dado los resultados de: euromillones,
bonoloto, primitiva, once, otro
con letras y número y ha faltado
el número de la tómbola de mi pueblo.
Loco me he quedado.</t>
  </si>
  <si>
    <t>reduca_cl
❗Hoy comienza el proceso de Sistema
de Admisión Escolar (SAE) 📢 Elegir
los colegios municipales de @penalolen
es asegurar para tu hij@ el acceso
a grandes beneficios para que se
proyecte a un gran futuro. ℹ️ Más
información en https://t.co/xlf6g77b3g
https://t.co/5YeJmW0SQl</t>
  </si>
  <si>
    <t xml:space="preserve">penalolen
</t>
  </si>
  <si>
    <t>jm815699
@Funesta Obvio que no. Desde la
tómbola que le dió el nombramiento
sabemos que va en contra de la
LEY y en contra del INE. Ya cometido
demasiadas misiones por lo que
debe ser removida del cargo y fincsrle
responsabilidad penal.</t>
  </si>
  <si>
    <t xml:space="preserve">funesta
</t>
  </si>
  <si>
    <t>ac_canela
¡Hola! Como ya sabréis, ¡hoy empieza
agosto! Y, al igual que el año
pasado, durante todo el mes disfrutaremos
de fuegos artificiales las noches
de los domingos. También os esperan
la tómbola de Ladino y mucha diversión
propia de la temporada. ¡No os
lo perdáis! https://t.co/MpJj3wN14o</t>
  </si>
  <si>
    <t>c_verasaldivia
El candidato presidencial que JURE
que quitará la tombola y volverá
la selección de estudiantes por
méritos tiene mi voto, sea del
sector que sea.</t>
  </si>
  <si>
    <t>rnuevomundo
Sistema de Admisión Escolar (SAE):
Mitos y verdades de la plataforma
de postulación a colegios https://t.co/Woryf47mvQ
Vía @RNuevoMundo @Mineduc @nico_cataldo</t>
  </si>
  <si>
    <t>pjgs40
Este viernes 02 de agosto se abrieron
las postulaciones al Sistema de
Admisión Escolar 🏫 En este video
te cuento todo para que realices
tu postulación 📄 #sistemadeadmisiónescolar
#educación #profesores #mineduc
https://t.co/owRFvsBWsM</t>
  </si>
  <si>
    <t xml:space="preserve">elvecinodeuxue
</t>
  </si>
  <si>
    <t>rc_pinilla
hay que tener el ego muy grande
para deslizar la idea de que es
abogada del Estado porque le salió
en la tómbola. Y lo suelta una
"periodista" a sueldo de la little
Caracas de Madrid.</t>
  </si>
  <si>
    <t>hdadsantiago
🔴 El agraciado con el primer premio
(Televisor de 65 pulgadas) del
sorteo extraordinario del pasado
21 de julio de la tómbola de la
Gran Velada de Santiago Apóstol,
fue Antonio Montalvo, habitante
de la vecina localidad de Camas.
https://t.co/fgS7LZoAVx</t>
  </si>
  <si>
    <t>chvnoticias
Sistema de Admisión Escolar: Los
mitos y verdades de la plataforma
de postulación a colegios 👇 https://t.co/gVAlMM7Nv5
https://t.co/gicKMhChLE</t>
  </si>
  <si>
    <t>estandartese16
ADMISIÓN ESCOLAR 2025 Para nuestros
apoderados quienes deben realizar
postulaciones de admisión 2025
y no recuerden sus datos de ingreso
o información de validación, favor
de dirigirse lo antes posible a
oficinas Mineduc para regularizar
su situación. Escuela Los Estandartes.
https://t.co/7LnUQ5T943</t>
  </si>
  <si>
    <t xml:space="preserve">youtube
</t>
  </si>
  <si>
    <t>loperadigital
El SAE renueva 90 puntos de empleo
y acerca sus servicios digitales
a los pequeños municipios. https://t.co/iIboAI2PL9
@EmpleoJunta @JaenJunta https://t.co/ToWBHud89r</t>
  </si>
  <si>
    <t xml:space="preserve">jaenjunta
</t>
  </si>
  <si>
    <t xml:space="preserve">empleojunta
</t>
  </si>
  <si>
    <t>educbiobio
✅ Hoy, el Departamento Provincial
de Educación Biobío, encabezado
por su Jefa, Rossemarie Sánchez,
están trabajando en apoyar a los
apoderados/as 👨‍👨‍👦 en la postulación
del Sistema de Admisión Escolar
(SAE).📚📖✏️ https://t.co/HjIQxLEi5F</t>
  </si>
  <si>
    <t>radioudec
#Entrevista 🎙️ Este viernes en
#NuestraPautaAM: 🔹Conversaremos
con el seremi de Educación en Biobío,
Carlos Benedetti R., sobre el inicio
de postulaciones al Sistema de
Admisión Escolar. @educbiobio 📻95.1
FM 💻https://t.co/qfuK5PwYJa https://t.co/1Eev3Udy5m</t>
  </si>
  <si>
    <t>coquimbonoticia
Senadores impulsan proyecto que
busca permitir a establecimientos
educacionales la selección del
60% de su matricula https://t.co/HvwhMgoHB6
Este viernes comienza el proceso
de postulación del Sistema de Admisión
Escolar (SAE), un proceso que,
desde su implementación en 2016,
…</t>
  </si>
  <si>
    <t>mjoseabad1
@Poropinar1 @comentemostele Perdón
señora psicóloga, yo pensaba que
los títulos los daban en la universidad
y no en la tómbola, guapa!!</t>
  </si>
  <si>
    <t xml:space="preserve">vanika96177525
</t>
  </si>
  <si>
    <t xml:space="preserve">yomisma19710043
</t>
  </si>
  <si>
    <t xml:space="preserve">comentemostele
</t>
  </si>
  <si>
    <t xml:space="preserve">poropinar1
</t>
  </si>
  <si>
    <t>mulachroberto
@Hugo_Gutierrez_ Huguito Gutiérrez,
el gran COMUNISTA! Siempre con
sus boludeces. Cómo abogado debes
de saber de sobra sobre el FRAUDE
ELECTORAL. O te ganaste el título
en la tómbola? Sácate los suspensores
boludo! EL PUEBLO UNIDO, LIBRE
Y DEMOCRÁTICO JAMÁS SERÁ VENCIDO
Huguito. "cogito ergo sum"</t>
  </si>
  <si>
    <t xml:space="preserve">hugo_gutierrez_
</t>
  </si>
  <si>
    <t>valenti94010220
@Pivotes_cl @UDD_cl Lo peor de
la educacion fue la TOMBOLA DE
BACHELET CORRUPTA</t>
  </si>
  <si>
    <t xml:space="preserve">udd_cl
</t>
  </si>
  <si>
    <t xml:space="preserve">pivotes_cl
</t>
  </si>
  <si>
    <t>checharquintero
@monerohernandez @NTRGuadalajara
@monerorape A mí me parece bastante
torpe y desinformado. ¿En qué parte
de la iniciativa se menciona la
tómbola? https://t.co/wnzl1adKW2</t>
  </si>
  <si>
    <t xml:space="preserve">monerorape
</t>
  </si>
  <si>
    <t xml:space="preserve">ntrguadalajara
</t>
  </si>
  <si>
    <t xml:space="preserve">monerohernandez
</t>
  </si>
  <si>
    <t>revistaolimerca
Se trata de una demanda de @ASAJASEVILLA,
a través de la cual, el SAE ofrecerá
en la campaña de 2024 la posibilidad
de casar ofertas y demandas de
empleo concretas para la recolección
de aceituna de mesa en Sevilla.
https://t.co/9UMfcrGx8b</t>
  </si>
  <si>
    <t xml:space="preserve">asajasevilla
</t>
  </si>
  <si>
    <t>cuchito2023
@Camara_cl Por fin se están avispando.
Falta #LeyAntibullying y cambiar
el sistema de Admisión Escolar</t>
  </si>
  <si>
    <t>elresumencl
Chillán - El sistema de admisión
escolar abre su período de postulaciones
el 2 de agosto. https://t.co/dD8SEUG8P2</t>
  </si>
  <si>
    <t>aallvaaroo05
Si a mis amigos te pasas,no te
quiere nadie y los q te quieren
es xq eres mas fácil q la tómbola
😂</t>
  </si>
  <si>
    <t>beadelariera
@MarotoReyes Eso es un pin de la
tómbola de una feria, no tiene
valor ninguno. Hala disfrútalo.</t>
  </si>
  <si>
    <t xml:space="preserve">marotoreyes
</t>
  </si>
  <si>
    <t>seremieducrios
Hoy inició el proceso de Admisión
Escolar 2025 🙋‍♀️🙋 Recuerda que
toda la información está disponible
en https://t.co/trbTuoBdfP y te
puedes acercar a los distintos
módulos de atención disponibles
en cada DAEM comunal 👨‍🏫 #Valdiviacl
https://t.co/8kqAugSS0i</t>
  </si>
  <si>
    <t>ladecada_80
@LadyMMaia si hace menos de 30
grados, hace frio , algo tendré
que hacer, y por supuesto a la
vuelta que caigan esos churritos
de la tombola eh</t>
  </si>
  <si>
    <t xml:space="preserve">ladymmaia
</t>
  </si>
  <si>
    <t>radio_festival
102 puntos de apoyo se han dispuesto
en la región para acompañar a las
familias en el proceso de postulación
del Sistema de Admisión Escolar
2025 ➡️ https://t.co/hJku2vONhc
✅ @SEREMI_EDUC_V https://t.co/iEuwonPqEg</t>
  </si>
  <si>
    <t xml:space="preserve">seremi_educ_v
</t>
  </si>
  <si>
    <t>ramirodaniel_
@JorgeRincon_N @ine Jejeje ese
@INEMexico arrobado no es jejeje.
Pero sí, ahora ni la tómbola les
hará el milagro para llegar. Taddei
está a meses de dejar de vivir
del INE y dudo que se presente
a competir por el INEC que sepa
qué monstruo (o no) será.</t>
  </si>
  <si>
    <t xml:space="preserve">inemexico
</t>
  </si>
  <si>
    <t xml:space="preserve">ine
</t>
  </si>
  <si>
    <t xml:space="preserve">jorgerincon_n
</t>
  </si>
  <si>
    <t>yasbelninaa
Pero porque papá Dios tiene que
meterme en la tómbola de los apagones?
No le basta con los indigentes
de Alma Rosa?</t>
  </si>
  <si>
    <t>meta_morfica
@veintimillapie Ea, muñecas chochonas
también para estas dos inútiles
en la Tómbola del Dictador Sánchez.
En el premio figura la leyenda:
"En agradecimiento por las palmas,
los vítores y el seguimiento sin
principios". De mí, Pedro Sánchez,
para quien yo tenga el capricho.
Suerte has tenido.</t>
  </si>
  <si>
    <t xml:space="preserve">valentina_doc
</t>
  </si>
  <si>
    <t xml:space="preserve">perdigueroasp
</t>
  </si>
  <si>
    <t xml:space="preserve">veintimillapie
</t>
  </si>
  <si>
    <t>scorpius2punt0
@ps_martin_ @_ayme Sobre todo porque
afectan a la vida de un ser humano
que no tiene la culpa de lo que
le ha tocado en la tómbola genética,
para bien o para mal.</t>
  </si>
  <si>
    <t xml:space="preserve">_ayme
</t>
  </si>
  <si>
    <t>rehtafdogeht
@Maanuf96 El balón de oro como
referencia de nada. Eso y la tómbola
es lo mismo.</t>
  </si>
  <si>
    <t xml:space="preserve">maanuf96
</t>
  </si>
  <si>
    <t>varucoo02
@ReignOfMyDays @infarruco @SilexRose
@Chaarrllyyy No se la sacó en la
tómbola. Se la sacó en la misma
promoción que un colega, que habláis
vosotros mucho y ni puta idea del
como va el tema</t>
  </si>
  <si>
    <t xml:space="preserve">chaarrllyyy
</t>
  </si>
  <si>
    <t xml:space="preserve">infarruco
</t>
  </si>
  <si>
    <t>reignofmydays
@infarruco @SilexRose @Chaarrllyyy
Y que sabrás tu, que para tener
una carrera en psicología deberías
conocer antes un poco a alguien
antes de decir tremenda mierda,
ya me joderia ser tu paciente aunque
lo mismo el título te lo has sacado
en la tómbola.</t>
  </si>
  <si>
    <t>itvnoticias
📚 Sistema de Admisión Escolar:
Secreduc orienta a familias para
postular a establecimientos educativos
https://t.co/2aH2HuvdcJ</t>
  </si>
  <si>
    <t>politicaspba
🍽️ Actualmente el SAE alcanza
a más de 2.400.000 niños y niñas
en la Provincia y casi 4.000 corresponden
a Rivadavia. https://t.co/BVi1vTpMsh</t>
  </si>
  <si>
    <t>radiocomarca
Ya han dado comienzo las actividades
programadas en la Semana del Comercio
con la tómbola en la plaza de la
Constitución, animación en las
calles y degustaciones de cava.
https://t.co/jZM9Pb6hOx</t>
  </si>
  <si>
    <t>ceciarmy
Representante de Corea del Sur:gafas
especializadas con visor táctico
y ojo cerrado Representante de
Serbia: gafas protectoras, cascos
antirruido y un ojo cerrado Turquía:
un tío con sus gafas de casa, los
dos ojos abiertos y una mano en
el bolsillo. Y ha ganado una medalla
de https://t.co/zZiOgGGKHE</t>
  </si>
  <si>
    <t>aangeeell16
Yo en la tombola del pueblo tengo
más pintas de tirador que este
hombre😂</t>
  </si>
  <si>
    <t>aitaneta_
dios no castiga dos veces (m'ha
tocat una rana de peluche en la
tómbola)</t>
  </si>
  <si>
    <t>bambison
Presidente @GabrielBoric, cuando
podrá hacer cambios en la educación?
Xq esta nefasta desde que se cambió
con la tómbola, esta la escoba
con la educación, donde están los
derechos de los niños? Que mezclan
delincuentes con niños que si quieren
estudiar. Ya no hay inclusión.</t>
  </si>
  <si>
    <t xml:space="preserve">gabrielboric
</t>
  </si>
  <si>
    <t>t13
Alumno con TEA queda grave tras
recibir brutal agresión en liceo
de Antofagasta: fue golpeado hasta
quedar inconsciente https://t.co/DUJFUipJ5A</t>
  </si>
  <si>
    <t>gonzalorguezm
@Miquel_R @JimenezYoneli Comparas
a un refugiado con que falsas Ongs
trasladen ex presidiarios a Europa?
El título de periodista te lo dieron
en la tómbola!? 🤦🏻</t>
  </si>
  <si>
    <t xml:space="preserve">anabelcresv
</t>
  </si>
  <si>
    <t xml:space="preserve">manlio
</t>
  </si>
  <si>
    <t xml:space="preserve">catitaidola
</t>
  </si>
  <si>
    <t xml:space="preserve">rojo_cherry
</t>
  </si>
  <si>
    <t xml:space="preserve">cctrecerosas
</t>
  </si>
  <si>
    <t xml:space="preserve">_diegomoreno
</t>
  </si>
  <si>
    <t xml:space="preserve">walterscansetti
</t>
  </si>
  <si>
    <t xml:space="preserve">psoemadridayto
</t>
  </si>
  <si>
    <t xml:space="preserve">psoelatina
</t>
  </si>
  <si>
    <t xml:space="preserve">psoe_m
</t>
  </si>
  <si>
    <t xml:space="preserve">pebarrero
</t>
  </si>
  <si>
    <t xml:space="preserve">mtlch50
</t>
  </si>
  <si>
    <t xml:space="preserve">jimenezyoneli
</t>
  </si>
  <si>
    <t xml:space="preserve">miquel_r
</t>
  </si>
  <si>
    <t>fac_educacionuc
🔴Ahora | Decano de #EducaciónUC
Alejandro Carrasco expone en la
Comisión Especial Investigadora
sobre Sistema de Educación Pública
de la Cámara de Diputadas y Diputados
de Chile. 👉🏼Sigue la transmisión
aquí: https://t.co/pnuB77AjxP https://t.co/QgYFkhbB85</t>
  </si>
  <si>
    <t>gastudillos
Sobre Sistema de Admisión Escolar:
https://t.co/KNtWOxzjKD</t>
  </si>
  <si>
    <t>pechunejo
@Abarra17353680 @eldiarioes Que
me entere..... Los nazis de desocupa
van a formar a policías "ya policías"
en defensa personal.... El título
de policía en la tómbola verdad.
🤣🤣🤣🤣 Joder que arte.</t>
  </si>
  <si>
    <t xml:space="preserve">eldiarioes
</t>
  </si>
  <si>
    <t xml:space="preserve">abarra17353680
</t>
  </si>
  <si>
    <t>ajulianalvarez
Participamos de la presentación
del nuevo ciclo de doble escolaridad
en la EP 69. Para llevar adelante
la iniciativa fue indispensable
reformular el SAE que recibía este
espacio. Por eso, las chicas y
chicos ahora podrán desayunar,
almorzar y merendar en la escuela.
https://t.co/hOepSnCXx2</t>
  </si>
  <si>
    <t>scherermar
Claudia Sheinbaum confirmó que
la propuesta de AMLO sobre la insaculación
para preseleccionar a jueces sí
será incluida en la reforma judicial.
Esta medida forma parte de las
opciones consideradas por los diputados
y se basa en las opiniones recogidas
en los foros.</t>
  </si>
  <si>
    <t>simapeter
Entendiéndose como Insaculacion
a la Tómbola de Don Chon!!!</t>
  </si>
  <si>
    <t>joscolon1
Shapiro, Kelly, Walz. Vuelta a
la tómbola: Creo que el elegido
será Tim Walz. Político, ex-militar
y educador.</t>
  </si>
  <si>
    <t>reporteroiqq
Este 2 de agosto comienzan las
postulaciones a establecimientos
educacionales a través del Sistema
de Admisión Escolar #Iquique #Tarapacá
https://t.co/Zh5wWKKphx</t>
  </si>
  <si>
    <t>palancopaola
ACABO DE VIVIR LA TOMBOLA ANTOJITO
EN PERSONA</t>
  </si>
  <si>
    <t>misfon
@Scarlett_Suzuya @lorzagirl @RealidadesDiv
Pues serán las únicas 2 personas
de España. Obtener 1 cert de discapacidad
superior al 33% (la q sirve para
las empresas o para obtener ventajas
fiscales) está muy baremado y no
lo regalan en la tómbola. Lo d
usar 1 certificado d otra persona,
en 1 contrato laboral es imposible.</t>
  </si>
  <si>
    <t xml:space="preserve">realidadesdiv
</t>
  </si>
  <si>
    <t xml:space="preserve">lorzagirl
</t>
  </si>
  <si>
    <t xml:space="preserve">scarlett_suzuya
</t>
  </si>
  <si>
    <t>guiuinfo
@antoniobanos_ Es com la tómbola
de la festa major, siempre toca!!!</t>
  </si>
  <si>
    <t xml:space="preserve">antoniobanos_
</t>
  </si>
  <si>
    <t>igna_iquique22
@biobio Obvio si la tómbola mezclo
estudiantes buenos con delincuentes,
bachelet ctm</t>
  </si>
  <si>
    <t>ldpsincomplejos
Meritocracia. "La abogada del Estado
que se querella contra Peinado,
la tercera peor de su promoción"
https://t.co/qfx74ZeaQH</t>
  </si>
  <si>
    <t>martabravogarci
De las peores , también le dan
en el título en la tombola o tiene
parecido con Irene Montero?</t>
  </si>
  <si>
    <t>claudiaea
@kanano76 @antofaopina2022 @cmds_antof
Pero ahora con esto de la "inclusión"
ya no existen los colegios "especiales"
todos entran a la gran idea de
la tómbola a no ser que tengas
las $$ y puedas elegir, pero no
todos tienen ese privilegio</t>
  </si>
  <si>
    <t xml:space="preserve">kanano76
</t>
  </si>
  <si>
    <t>gobiernodechile
¡Ya comenzó el periodo de postulación
al proceso de Admisión Escolar!
Postula a tu hija o hijo en https://t.co/sOEIEN9B4s
hasta el 30 de agosto a las 14:00
hrs. Ingresa al menos seis establecimientos
de tu interés. https://t.co/KK3AEVlQPH</t>
  </si>
  <si>
    <t>secreducmaule
Parte postulación 2025 a establecimientos
maulinos por Sistema de Admisión
Escolar https://t.co/JtsBv8Q5GL</t>
  </si>
  <si>
    <t>lrubiof
La tómbola judicial | El Universal
@homsricardo https://t.co/OyA9TuaWI8</t>
  </si>
  <si>
    <t>javitxufv
Yo en un pueblo en mitad de la
nada sacando peluches en la Tómbola
Paquito https://t.co/DTEOxyoOSm</t>
  </si>
  <si>
    <t>takashidarko
@Lattecast @saludand Yo tenía cita
telefónica hoy a las 11:40 con
el SAE. ¿A ti te han llamado? Porque
yo sigo esperando. Avisa cuando
nos organicemos para quemar cosas.</t>
  </si>
  <si>
    <t xml:space="preserve">saludand
</t>
  </si>
  <si>
    <t xml:space="preserve">lattecast
</t>
  </si>
  <si>
    <t>antirreelexion
la tómbola de la justicia... si
pensaban que la elección popular
de jueces y magiatwdosn ya era
algo muy bajo, ruín y maquiavélico,
ahora vienen los "SORTEROS DE LA
SUERTE" ¡Echa un vistazo al vídeo
de Abejorro Media! #TikTok https://t.co/Dmo86fNMtT</t>
  </si>
  <si>
    <t>campinadigital
El SAE renueva 90 puntos de empleo
y acerca sus servicios digitales
a los pequeños municipios. https://t.co/3t8KMB5xrx
@SAEmpleo @EmpleoJunta @JaenJunta</t>
  </si>
  <si>
    <t>saempleo
¡Nuevas facilidades en el #SAE
para ti! Ahora puedes: ▶ Escoger
tu cita en cualquier oficina ▶
Consultar y actualizar tu demanda
de empleo online ▶ Acreditarte
con CLAVE para acceder a tu perfil
▶ Realizar tu primera inscripción
desde la APP #AtenciónAlCiudadano
#SAE https://t.co/hSKe3Bmcby</t>
  </si>
  <si>
    <t>lvillatorod
@IreneAguiarG XY, pues ya está,
fin de la discusión, aunque se
le quiera dar vuelta a la tómbola
una y otra vez.</t>
  </si>
  <si>
    <t xml:space="preserve">ireneaguiarg
</t>
  </si>
  <si>
    <t>marcosguti66611
Voy a ser juez olímpico de boxeo
solo me falta saber la tómbola
donde las regalan</t>
  </si>
  <si>
    <t>elpaisuy
Conocé los resultados de la Quiniela
y la Tómbola vespertina y nocturna
del jueves 1° de agosto de 2024
https://t.co/nrvtyuRnNF</t>
  </si>
  <si>
    <t>milenaeldan
VIDEO| Tutorial paso a paso para
postular a su estudiante al Sistema
de Admisión Escolar (SAE) https://t.co/pbVROgRnBK
#ElDesconcierto</t>
  </si>
  <si>
    <t>ladiscusioncl
Bravo y Martínez piden tramitar
proyecto que elimina el SAE https://t.co/md9PDusdLO</t>
  </si>
  <si>
    <t>koobambis
@Mineduc holi si van a postular
al mineduc con el sae haganlo desde
una pestaña incognita, así pesca
la página :]</t>
  </si>
  <si>
    <t>elchappa
La plataforma del Sistema de Admisión
escolar y anótate en la lista son
las medidas más neoliberales desde
los semáforos de Lavin, pero ustedes
no están listos para esa conversación</t>
  </si>
  <si>
    <t>garcinuno91
@MrsVanBuren Eso también aplica
para los niños que tienen que recorrer
más de 20km para llegar a su colegio
gracias a la admisión escolar nueva.
Colegios que fueron afectados,
sin techumbres. Las políticas laborales
son las malas porque no existe
sentido común</t>
  </si>
  <si>
    <t xml:space="preserve">mrsvanburen
</t>
  </si>
  <si>
    <t>pacifico_tv
Sistema de Admisión Escolar (SAE):
Los mitos y verdades de la plataforma
de postulación a colegios https://t.co/7I6TgeWOjo
https://t.co/xdxnAHPV0D</t>
  </si>
  <si>
    <t>vlnradio
Comenzó proceso de postulación
a colegios por el Sistema de Admisión
Escolar https://t.co/tBca9xzUws
https://t.co/mtGGMR9lkK</t>
  </si>
  <si>
    <t>radiopaulina
Comienzan las postulaciones a establecimientos
educacionales a través del Sistema
de Admisión Escolar https://t.co/gjFygMKa2d
a través de @radiopaulina</t>
  </si>
  <si>
    <t>biopasan
Un dato para los apoderados Admisión
escolar https://t.co/XAEmG8pieQ</t>
  </si>
  <si>
    <t>zurdaburguesa
Yo estuve en la finca donde grabaron
el primer video de Karol jé Cuando
el manager era José Gaviria Confirmo
ajjajajajja Y silvestre canto la
colegiala en la tómbola de mi colegio
😂</t>
  </si>
  <si>
    <t>restrepovelez0
Que pecao de la gente de esta generación,
en mi tiempo a los colegios nos
llevaban a Balvin, Maluma, Golpe
a Golpe, al Broko y a los niños
de hoy en día les llevan a Cris
Valencia.</t>
  </si>
  <si>
    <t>patfercam
@T13 Es necesarip poner mano dura
ya para tantos delincuentes y basta
de la tombola de Bachelet.Deben
hechar a esas ....de los colegios,son
manzanas mas q podridas.</t>
  </si>
  <si>
    <t>elclan29
@AlanBarrosoA Tenias que haber
elegido la Chochona en la tómbola
de tu pueblo, en lugar del titulo
de "politólogue". Esto te viene
muy grande y más, cuando intentas
imitar a los mayores.</t>
  </si>
  <si>
    <t xml:space="preserve">alanbarrosoa
</t>
  </si>
  <si>
    <t>paislobo
Sistema de Admisión Escolar (SAE):
Los mitos y verdades de la plataforma
https://t.co/fHG6cP0Gmd</t>
  </si>
  <si>
    <t>sofialopezg_
@marioofdz3 se sacó el curso de
entrenadora en la tómbola</t>
  </si>
  <si>
    <t xml:space="preserve">marioofdz3
</t>
  </si>
  <si>
    <t>zona11aysen
Sistema de Admisión Escolar (SAE):
Los mitos y verdades de la plataforma
de postulación a colegios https://t.co/IT1GLH2hlP
https://t.co/8Eok0YHQjh</t>
  </si>
  <si>
    <t>frederickbulzar
@antofaopina2022 @cmds_antof La
tómbola de Bachelet..!!! Ha destruido
la educación</t>
  </si>
  <si>
    <t>manu14_jb
Ya me llama Rapero Pero hasta el
de la Tómbola Antojitos, ahora
sí que sí. @kiroleros https://t.co/QnQyDHctnr</t>
  </si>
  <si>
    <t>kiroleros
@Manu14_JB "RaperoPero", así fuiste
bautizado en Kiroleros y así triunfas
en la vida y en la Tómbola Antojitos.
Te ha tocado un gran premio...
y ahora tienes una gran responsabilidad.
#GranPoderGranResponsabilidad https://t.co/hHoWGnIfHv</t>
  </si>
  <si>
    <t>pabubell
Ayer vimos un espectáculo de drones,
luego el concierto de Ana Mena,
me compré una granizada, mi amiga
me consiguió un peluche de Kuromi
en la tómbola, y comí palomitas,
noche redonda en mi opinión 🪩</t>
  </si>
  <si>
    <t>enlahoracl
Senadores de izquierda y derecha
impulsan proyecto de ley para modificar
el Sistema de Admisión Escolar:
¿De qué se trata? https://t.co/AyM0TAodPz</t>
  </si>
  <si>
    <t>claucortesi
@Mineduc No funciona el sistema
de admisión escolar 🤦‍♀️</t>
  </si>
  <si>
    <t>roberto53590325
@Garcimonero @10DMayo1 No sé necesita
ser ingeniero para hacer obras
ni construir puentes..... Cualquier
puede..... Así como quieren que
sean jueces y magistrados Solo
que ponga tu nombre en la tómbola
https://t.co/Sr0x9nF8WQ</t>
  </si>
  <si>
    <t xml:space="preserve">10dmayo1
</t>
  </si>
  <si>
    <t xml:space="preserve">garcimonero
</t>
  </si>
  <si>
    <t>senapred
#SENAPREDBiobio Se declara #Alerta
Roja para la comuna de Arauco por
desborde. https://t.co/W39Ui5Zkk3
https://t.co/4NqDbuyq8T</t>
  </si>
  <si>
    <t>achormazabal
Ojo este es el momento en que debe
preparar la salida de su casa.
Tenga listo sus bolsos, elementos
básicos, animales y si puede salga
ahora. Cuando llega el SAE debe
salir de inmediato.👇</t>
  </si>
  <si>
    <t>mendozacpedro
La tómbola judicial https://t.co/3szjhxZ9i8
via @El_Universal_Mx</t>
  </si>
  <si>
    <t>belnn0rodriguez
Pues sí, así https://t.co/b03DXU6lmkí
estamos, "così sto" no Eccoci qui,
no. [molto meglio, certo direbbe
l'altro, y el otro y el de más
allá y la tómbola en dónde tal
vez me tocasen y no me enteré.]
¡Vaya!</t>
  </si>
  <si>
    <t>humanistasonora
La columna FOCUS DE @homsricardo
// La tómbola judicial Vía. @El_Universal_Mx
https://t.co/VLEoG2FrKK</t>
  </si>
  <si>
    <t>gusano666
@ClaudioXGG De todas las pendejadas
que ha dicho y dice todos los días
Amloco desde su farsa mañanera,
lo de la tómbola de los jueces
es lo más idiota y estupido que
he escuchado. La degradación de
la clase política, y además le
aplauden. Y ya no se diga d los
medios de comunicación q avalan</t>
  </si>
  <si>
    <t>fdodiaznaranjo
La tómbola judicial, de @homsricardo
https://t.co/l5XFVSPcyy vía @El_Universal_Mx</t>
  </si>
  <si>
    <t xml:space="preserve">ucatolica
</t>
  </si>
  <si>
    <t>magallaugarte
@nico_cataldo @justiciaeduc @ucatolica
@Mineduc Me llama la atención que
no se pida la opinión y orientación
de quienes trabajamos en los establecimientos
educacionales, y que convivimos
con el SAE año tras año. En variados
aspectos de la educación es así,
lo que debiese cambiar para mejorar
muchos aspectos.</t>
  </si>
  <si>
    <t>justiciaeduc
📣 El viernes 2 de agosto comenzó
el periodo regular de postulación
a colegios a través del Sistema
de Admisión Escolar (#SAE), cuya
evidencia muestra que más del 80%
de los y las postulantes quedan
en sus primeras preferencias de
establecimiento. 🏫 (1/2) https://t.co/szokfpSKcY</t>
  </si>
  <si>
    <t>1tiroalblanco1
¡Piden poner fin a la "tòmbola"
escolar! --Proyecto duerme en el
Congreso por mas de un año. --Entre
otras cosas permite la selección
en base a distintos criterios,
entre ellos el rendimiento académico
de los estudiantes. https://t.co/oC3mk8ugov</t>
  </si>
  <si>
    <t>tehuelchenotic
Sistema de Admisión Escolar (SAE):
Los mitos y verdades de la plataforma
de postulación a colegios https://t.co/DiAY1yEEJA
https://t.co/ts6rwv7sfy</t>
  </si>
  <si>
    <t>armorold
@RicardoBSalinas Que se esfuerze
tío richi como tu cundo tu primo
le. Echo. Ganas a las concesiones
de. Tele y te. Ganaste la. Tuya
en la. Tómbola</t>
  </si>
  <si>
    <t xml:space="preserve">ricardobsalinas
</t>
  </si>
  <si>
    <t>minanoaragones
@RaulSolisUE "No,yo creo que todos
los medallistas lo consiguen jugando
a la tómbola "</t>
  </si>
  <si>
    <t xml:space="preserve">raulsolisue
</t>
  </si>
  <si>
    <t>hericunill
@Pedro_Torrijos Lo mismo he pensado,
en la tómbola</t>
  </si>
  <si>
    <t xml:space="preserve">pedro_torrijos
</t>
  </si>
  <si>
    <t>isidromz
@DrAntorse El artículo 197 constitucional.</t>
  </si>
  <si>
    <t xml:space="preserve">tujuezlaboral
</t>
  </si>
  <si>
    <t>camacho_sand
@SoyLyn05 #NarcoPresidenteAMLO666
#NarcoPresidentaClaudia Y lo que
falta, y la tómbola de Claudia
pronostica que líneas del metro
tendrán problemas mañana. https://t.co/jvRHnEDut3</t>
  </si>
  <si>
    <t xml:space="preserve">soylyn05
</t>
  </si>
  <si>
    <t>mlucilarg
@CarolinaDarias @sanchezcastejon
Tuve q mirar si era parodia porque
están regalando medallitas de esas
de la tómbola a todos ustedes que
no están haciendo nada 😳y resulta
que a los que hicieron un Docu
circo para humillar más a la mujer,
maltratada a sus actores y a los
políticos de turno le toca medallitas😳⚖️</t>
  </si>
  <si>
    <t xml:space="preserve">carolinadarias
</t>
  </si>
  <si>
    <t>andresalvar5
@CarlaTornasol se ganó el cargo
en la tómbola de la derechita cobarde
y corrupta, nunca debió ser candidato
en esta comuna, nunca ha vivido
acá y no sabe nada de las necesidades
de los vecinos</t>
  </si>
  <si>
    <t xml:space="preserve">rodolfo_garciac
</t>
  </si>
  <si>
    <t>felipeleonlopez
La tómbola judicial, @homsricardo
https://t.co/mDvqoVA9Ah</t>
  </si>
  <si>
    <t>diariousach
Sistema de Admisión Escolar: ¿Hasta
cuándo hay plazo para postular
y cómo realizarla? https://t.co/rMAlwZyjQU</t>
  </si>
  <si>
    <t>patocelis
@biobio La tómbola de la Bachelet
solo hizo mezclar a simios 🦧 con
rabia, con alumnos que serán reales
aportes al país… Pero ellos con
su cagá de ideología creen que
la están haciendo de oro… Cobarde
qls…!!! desahogas tu inseguridad,
golpeando a los más débiles…🇨🇱🇨🇱🇨🇱</t>
  </si>
  <si>
    <t>angel_ciparque
Jajajajajajaja 😂 Literalmente
como experto en la materia puedo
decir que @antesandres tiene razón:
V de Vendetta no va de política;
va de mis cojones morenos echando
perras en la tómbola de la feria
de Pedro Muñoz.</t>
  </si>
  <si>
    <t xml:space="preserve">antesandres
</t>
  </si>
  <si>
    <t>somosjujuy
#Jujuy Repasá los resultados de
la Tómbola de la jornada y enterate
si tuviste suerte https://t.co/ljn12sAoCK</t>
  </si>
  <si>
    <t>martinarrau
Además, sumó una reforma educacional
que destrozó la educación pública,
niveló hacia abajo y le quitó los
patines al resto. La Ley de Inclusión
y la tómbola, borraron el derecho
de los padres a elegir el establecimiento
de sus hijos y permitieron que
en las salas de clases, https://t.co/MPmXJd3pRS</t>
  </si>
  <si>
    <t>aljarafeymas
La Hermandad del Rocío de Camas
pone a disposición del público
"pepones" para contribuir con la
tómbola https://t.co/jOoy3hPzHR
@HdadRocioCamas @AyuntaCamas @Victor_AvilaM
@MarianOlid #Camas #HermandadDelRocío
#Pepones #Feria #FiestasPatronales
#Tómbola #Muñecos #Donativos</t>
  </si>
  <si>
    <t xml:space="preserve">marianolid
</t>
  </si>
  <si>
    <t xml:space="preserve">victor_avilam
</t>
  </si>
  <si>
    <t xml:space="preserve">ayuntacamas
</t>
  </si>
  <si>
    <t xml:space="preserve">hdadrociocamas
</t>
  </si>
  <si>
    <t>thecalet
Todos los conductores de autobus
franceses han conseguido el carnet
en la tómbola, al parecer</t>
  </si>
  <si>
    <t>migentededuran
@DeniseDresserG @lopezobrador_
Será La tómbola que le dió el premio
de dipu pluri federal a Sergio
Mayer</t>
  </si>
  <si>
    <t>radiocrystalcl
🔵 #REGION | 102 PUNTOS DE APOYO
SE HAN DISPUESTO EN LA REGIÓN PARA
ACOMPAÑAR A LAS FAMILIAS EN EL
PROCESO DE POSTULACIÓN DEL SISTEMA
DE ADMISIÓN ESCOLAR 2025 Más información
aquí 👇 https://t.co/o7970crcoA</t>
  </si>
  <si>
    <t>laliguanoticias
#Región: Disponen 102 puntos de
apoyo en la región para acompañar
proceso de postulación del Sistema
de Admisión Escolar 2025 vía @LaLiguaNoticias
https://t.co/4kI98ADYhb</t>
  </si>
  <si>
    <t>lavozdelsures
La gran fiesta donde se degustan
cientos de pimientos gratis y se
juega a la tómbola en Sanlúcar
https://t.co/N30Q5wDJ6w</t>
  </si>
  <si>
    <t>radiopolar
SISTEMA DE ADMISIÓN ESCOLAR (SAE):
SECREDUC ENTREGA CONSEJOS A FAMILIAS
QUE ESTE AÑO DEBEN POSTULAR A UN
ESTABLECIMIENTO EDUCATIVO https://t.co/4fC8gJYsDW</t>
  </si>
  <si>
    <t>maximotova612
@Reforma LO DE LA TÓMBOLA SERÁ
EN EL CASO DE PROSPECTOS CON LAS
MISMAS CALIFICACIONES Y CONTEO
DE VOTOS, NO QUE SEA EL SISTEMA
A SEGUIR, NO DESVIRTUEN LA VERDADERA
INFORMACIÓN, Y NO SERÁ UN HECHO
, FUE UNA IDEA DE MOMENTO.</t>
  </si>
  <si>
    <t>javispecialone1
Si tienes que hablar/convencer
a alguien de si prefiere que le
toque el premio gordo de la tómbola
o que le toque el premio gordo
del euromillón, mal vamos....</t>
  </si>
  <si>
    <t>mas_que_pelotas
🎙️ @NachoJP_: “Si Nico Williams
tiene dudas, Deco debería ponerse
en contacto con él” 🔴 EN DIRECTO:
https://t.co/NeXjUVCN6Y https://t.co/hWMP9QhYp2</t>
  </si>
  <si>
    <t xml:space="preserve">nachojp_
</t>
  </si>
  <si>
    <t>tdgalvez
@antofaopina2022 @cmds_antof Aquí
el problema no es la exclusión,
el problema es que con el SAE los
colegios se llenaron de delincuentes
y la ley los ampara porque son
“niños”.</t>
  </si>
  <si>
    <t>ellioctop
@Mictia00 Q una grajea misteriosa
valga 6k no se yo eh, la pasaría
a la de 3k me parece demasiado
poco para 6k, el de la tombola
de 6k y si mejor q sean 2 boletos?
Por 6k y q te caiga en un triste
boleto nambre, yo me mato supongo
q sera un premio "malo" pero minimo
no tan malo para 6k</t>
  </si>
  <si>
    <t>mictia00
@Ellioctop todas las ruletas tienen
cosas mas buenas de su precio y
su contraparte mala, los precios
estan puestos y claramente pensados.
Por eso es una ruleta. l La tombola
de 6k tiene mas posibilidad de
entrada a la tombola. y es un premio
temporal porque es de máximo 10
cupos.</t>
  </si>
  <si>
    <t>donmrmonster
A esa sí la sacaron de la tómbola</t>
  </si>
  <si>
    <t>jockqueshi
En la tómbola del mundo Yo he tenido
mucha suerte Porque todo mi cariño
A tu número jugué… https://t.co/nEweFlARdm</t>
  </si>
  <si>
    <t>juguitodeodeo
@claudiaaldanas Sra conciencia
de clase, cuentanos mejor si con
tus hijes hiciste la fila con la
tómbola o te la saltaste? 🫠🫠
https://t.co/xe22X2pJ5b</t>
  </si>
  <si>
    <t xml:space="preserve">claudiaaldanas
</t>
  </si>
  <si>
    <t>florecicadabril
@Capichi__Libre @elindepcom @CFriasCruz
Claro, a Pedro le está tocando
cada vez más fuerte un suplicatorio
al TS en la tómbola de las imputaciones.</t>
  </si>
  <si>
    <t xml:space="preserve">cfriascruz
</t>
  </si>
  <si>
    <t xml:space="preserve">elindepcom
</t>
  </si>
  <si>
    <t xml:space="preserve">capichi__libre
</t>
  </si>
  <si>
    <t>ina_manroker
@Mineduc Postula a 6 porque es
un asco la tómbola! Ni siquiera
podemos elegir el que por cercanía
nos convenga</t>
  </si>
  <si>
    <t>fabiacade22
@larroqueandres Excelente programa
el SAE y su implementación va en
buen camino</t>
  </si>
  <si>
    <t>josepmariarubi1
@elpuntavui Guaita quina cara de
bones samaritanes que fan, semblen
aquelles xoxones que hi ha a la
tómbola ,</t>
  </si>
  <si>
    <t xml:space="preserve">elpuntavui
</t>
  </si>
  <si>
    <t>tsxjaeger
PERDON gracias x el sae furro https://t.co/u3rJ9A9eFd</t>
  </si>
  <si>
    <t>prensaevento
Sistema de Admisión Escolar (SAE):
Mineduc entrega consejos a familias
que este año deben postular a un
establecimiento educativo https://t.co/7PHNW6VFCm
a través de @PrensaEvento</t>
  </si>
  <si>
    <t>roornu59ortiz
@XochitlGalvez LA TÓMBOLA LE ESTE
SANGRANDO LA BOCA</t>
  </si>
  <si>
    <t xml:space="preserve">xochitlgalvez
</t>
  </si>
  <si>
    <t>becasess
@biobio Las consecuencias de cambiar
la selección por la tómbola. Ahora
cualquier delincuente entra a un
liceo, arma tomas, capea clases,
agrede a otros compañeros, asalta,
etc. La selección permitía que
jovenes con vocación y estudiosos
accedieran a la educación, no lacras
de suburbios</t>
  </si>
  <si>
    <t>mesa_plural
La columna FOCUS DE @homsricardo
// La tómbola judicial Vía. @El_Universal_Mx
https://t.co/bmxP5w4iA5</t>
  </si>
  <si>
    <t>kxngofxce
—Ha venido junto a Dante, noche
de diversión y de hacerle perder
a la tómbola—.</t>
  </si>
  <si>
    <t xml:space="preserve">ps_martin_
</t>
  </si>
  <si>
    <t xml:space="preserve">carlatornasol
</t>
  </si>
  <si>
    <t xml:space="preserve">gonzavpl
</t>
  </si>
  <si>
    <t>alfaro_rob
@biobio gracias bachelett por el
invento de la tombola y mesclar
peras con manzanas</t>
  </si>
  <si>
    <t>Directed</t>
  </si>
  <si>
    <t>Graph Type</t>
  </si>
  <si>
    <t>Modularity</t>
  </si>
  <si>
    <t>NodeXL Version</t>
  </si>
  <si>
    <t>Graph Gallery URL</t>
  </si>
  <si>
    <t>Graph Image URL</t>
  </si>
  <si>
    <t>Graph Source</t>
  </si>
  <si>
    <t>Graph Term</t>
  </si>
  <si>
    <t>Data Import</t>
  </si>
  <si>
    <t>Layout Algorithm</t>
  </si>
  <si>
    <t>Groups</t>
  </si>
  <si>
    <t>Edge Alpha</t>
  </si>
  <si>
    <t>Edge Color</t>
  </si>
  <si>
    <t>Edge Width</t>
  </si>
  <si>
    <t>Vertex Alpha</t>
  </si>
  <si>
    <t>Vertex Radius</t>
  </si>
  <si>
    <t>Vertex X</t>
  </si>
  <si>
    <t>Vertex y</t>
  </si>
  <si>
    <t>Not Applicable</t>
  </si>
  <si>
    <t>1.0.1.546</t>
  </si>
  <si>
    <t>TwitterSearch3</t>
  </si>
  <si>
    <t>("sistema de admisión escolar" OR "admisión escolar" OR "la tómbola" OR "el SAE") lang:es</t>
  </si>
  <si>
    <t>The graph represents a network of 482 Twitter users whose recent tweets contained "("sistema de admisión escolar" OR "admisión escolar" OR "la tómbola" OR "el SAE") lang:es", or who were replied to, mentioned, retweeted or quoted in those tweets, taken from a data set limited to a maximum of 500 tweets, tweeted between 01-08-2024 0:00:00 and 07-08-2024 0:00:00.  The network was obtained from Twitter on Tuesday, 03 June 2025 at 16:23 UTC._x000D_
_x000D_
The tweets in the network were tweeted over the 306-day, 16-hour, 17-minute period from Wednesday, 31 July 2024 at 20:05 UTC to Tuesday, 03 June 2025 at 12:22 UTC._x000D_
_x000D_
There is an edge for each "replies-to" relationship in a tweet, an edge for each "mentions" relationship in a tweet, an edge for each "retweet" relationship in a tweet, an edge for each "quote" relationship in a tweet, an edge for each "mention in retweet" relationship in a tweet, an edge for each "mention in reply-to" relationship in a tweet, an edge for each "mention in quote" relationship in a tweet, an edge for each "mention in quote reply-to" relationship in a tweet, and a self-loop edge for each tweet that is not from above.</t>
  </si>
  <si>
    <t>The graph was laid out using the Fruchterman-Reingold layout algorithm.</t>
  </si>
  <si>
    <t>Key</t>
  </si>
  <si>
    <t>Action Label</t>
  </si>
  <si>
    <t>Action URL</t>
  </si>
  <si>
    <t>Brand Logo</t>
  </si>
  <si>
    <t>Brand URL</t>
  </si>
  <si>
    <t>Hashtag</t>
  </si>
  <si>
    <t>▓0▓0▓0▓True▓Black▓Black▓▓▓0▓0▓0▓0▓0▓False▓▓0▓0▓0▓0▓0▓False▓▓0▓0▓0▓True▓Black▓Black▓▓Betweenness Centrality▓0▓675▓3▓1.5▓10▓False▓▓0▓0▓0▓0▓0▓False▓▓0▓0▓0▓0▓0▓False▓▓0▓0▓0▓0▓0▓False</t>
  </si>
  <si>
    <t>Workbook Settings 2</t>
  </si>
  <si>
    <t>G1</t>
  </si>
  <si>
    <t>G2</t>
  </si>
  <si>
    <t>G3</t>
  </si>
  <si>
    <t>G4</t>
  </si>
  <si>
    <t>G5</t>
  </si>
  <si>
    <t>G6</t>
  </si>
  <si>
    <t>G7</t>
  </si>
  <si>
    <t>G8</t>
  </si>
  <si>
    <t>G9</t>
  </si>
  <si>
    <t>G10</t>
  </si>
  <si>
    <t>G11</t>
  </si>
  <si>
    <t>G12</t>
  </si>
  <si>
    <t>G13</t>
  </si>
  <si>
    <t>G14</t>
  </si>
  <si>
    <t>G15</t>
  </si>
  <si>
    <t>G16</t>
  </si>
  <si>
    <t>G17</t>
  </si>
  <si>
    <t>G18</t>
  </si>
  <si>
    <t>G19</t>
  </si>
  <si>
    <t>G20</t>
  </si>
  <si>
    <t>G21</t>
  </si>
  <si>
    <t>G22</t>
  </si>
  <si>
    <t>G23</t>
  </si>
  <si>
    <t>G24</t>
  </si>
  <si>
    <t>G25</t>
  </si>
  <si>
    <t>G26</t>
  </si>
  <si>
    <t>G27</t>
  </si>
  <si>
    <t>G28</t>
  </si>
  <si>
    <t>G29</t>
  </si>
  <si>
    <t>G30</t>
  </si>
  <si>
    <t>G31</t>
  </si>
  <si>
    <t>G32</t>
  </si>
  <si>
    <t>G33</t>
  </si>
  <si>
    <t>G34</t>
  </si>
  <si>
    <t>G35</t>
  </si>
  <si>
    <t>G36</t>
  </si>
  <si>
    <t>G37</t>
  </si>
  <si>
    <t>G38</t>
  </si>
  <si>
    <t>G39</t>
  </si>
  <si>
    <t>G40</t>
  </si>
  <si>
    <t>G41</t>
  </si>
  <si>
    <t>G42</t>
  </si>
  <si>
    <t>G43</t>
  </si>
  <si>
    <t>G44</t>
  </si>
  <si>
    <t>G45</t>
  </si>
  <si>
    <t>G46</t>
  </si>
  <si>
    <t>G47</t>
  </si>
  <si>
    <t>G48</t>
  </si>
  <si>
    <t>G49</t>
  </si>
  <si>
    <t>G50</t>
  </si>
  <si>
    <t>G51</t>
  </si>
  <si>
    <t>G52</t>
  </si>
  <si>
    <t>G53</t>
  </si>
  <si>
    <t>G54</t>
  </si>
  <si>
    <t>G55</t>
  </si>
  <si>
    <t>G56</t>
  </si>
  <si>
    <t>G57</t>
  </si>
  <si>
    <t>G58</t>
  </si>
  <si>
    <t>G59</t>
  </si>
  <si>
    <t>G60</t>
  </si>
  <si>
    <t>G61</t>
  </si>
  <si>
    <t>G62</t>
  </si>
  <si>
    <t>G63</t>
  </si>
  <si>
    <t>G64</t>
  </si>
  <si>
    <t>G65</t>
  </si>
  <si>
    <t>G66</t>
  </si>
  <si>
    <t>G67</t>
  </si>
  <si>
    <t>G68</t>
  </si>
  <si>
    <t>G69</t>
  </si>
  <si>
    <t>G70</t>
  </si>
  <si>
    <t>G71</t>
  </si>
  <si>
    <t>G72</t>
  </si>
  <si>
    <t>G73</t>
  </si>
  <si>
    <t>G74</t>
  </si>
  <si>
    <t>G75</t>
  </si>
  <si>
    <t>G76</t>
  </si>
  <si>
    <t>G77</t>
  </si>
  <si>
    <t>G78</t>
  </si>
  <si>
    <t>G79</t>
  </si>
  <si>
    <t>G80</t>
  </si>
  <si>
    <t>G81</t>
  </si>
  <si>
    <t>G82</t>
  </si>
  <si>
    <t>G83</t>
  </si>
  <si>
    <t>G84</t>
  </si>
  <si>
    <t>G85</t>
  </si>
  <si>
    <t>G86</t>
  </si>
  <si>
    <t>G87</t>
  </si>
  <si>
    <t>G88</t>
  </si>
  <si>
    <t>G89</t>
  </si>
  <si>
    <t>G90</t>
  </si>
  <si>
    <t>G91</t>
  </si>
  <si>
    <t>G92</t>
  </si>
  <si>
    <t>G93</t>
  </si>
  <si>
    <t>G94</t>
  </si>
  <si>
    <t>G95</t>
  </si>
  <si>
    <t>G96</t>
  </si>
  <si>
    <t>G97</t>
  </si>
  <si>
    <t>G98</t>
  </si>
  <si>
    <t>G99</t>
  </si>
  <si>
    <t>G100</t>
  </si>
  <si>
    <t>G101</t>
  </si>
  <si>
    <t>G102</t>
  </si>
  <si>
    <t>G103</t>
  </si>
  <si>
    <t>G104</t>
  </si>
  <si>
    <t>G105</t>
  </si>
  <si>
    <t>G106</t>
  </si>
  <si>
    <t>G107</t>
  </si>
  <si>
    <t>G108</t>
  </si>
  <si>
    <t>G109</t>
  </si>
  <si>
    <t>G110</t>
  </si>
  <si>
    <t>G111</t>
  </si>
  <si>
    <t>G112</t>
  </si>
  <si>
    <t>G113</t>
  </si>
  <si>
    <t>G114</t>
  </si>
  <si>
    <t>G115</t>
  </si>
  <si>
    <t>G116</t>
  </si>
  <si>
    <t>G117</t>
  </si>
  <si>
    <t>G118</t>
  </si>
  <si>
    <t>G119</t>
  </si>
  <si>
    <t>G120</t>
  </si>
  <si>
    <t>G121</t>
  </si>
  <si>
    <t>G122</t>
  </si>
  <si>
    <t>G123</t>
  </si>
  <si>
    <t>G124</t>
  </si>
  <si>
    <t>G125</t>
  </si>
  <si>
    <t>G126</t>
  </si>
  <si>
    <t>G127</t>
  </si>
  <si>
    <t>G128</t>
  </si>
  <si>
    <t>G129</t>
  </si>
  <si>
    <t>G130</t>
  </si>
  <si>
    <t>G131</t>
  </si>
  <si>
    <t>G132</t>
  </si>
  <si>
    <t>G133</t>
  </si>
  <si>
    <t>G134</t>
  </si>
  <si>
    <t>G135</t>
  </si>
  <si>
    <t>G136</t>
  </si>
  <si>
    <t>G137</t>
  </si>
  <si>
    <t>G138</t>
  </si>
  <si>
    <t>G139</t>
  </si>
  <si>
    <t>G140</t>
  </si>
  <si>
    <t>G141</t>
  </si>
  <si>
    <t>G142</t>
  </si>
  <si>
    <t>G143</t>
  </si>
  <si>
    <t>G144</t>
  </si>
  <si>
    <t>G145</t>
  </si>
  <si>
    <t>G146</t>
  </si>
  <si>
    <t>G147</t>
  </si>
  <si>
    <t>G148</t>
  </si>
  <si>
    <t>G149</t>
  </si>
  <si>
    <t>G150</t>
  </si>
  <si>
    <t>G151</t>
  </si>
  <si>
    <t>G152</t>
  </si>
  <si>
    <t>G153</t>
  </si>
  <si>
    <t>G154</t>
  </si>
  <si>
    <t>G155</t>
  </si>
  <si>
    <t>G156</t>
  </si>
  <si>
    <t>G157</t>
  </si>
  <si>
    <t>G158</t>
  </si>
  <si>
    <t>G159</t>
  </si>
  <si>
    <t>G160</t>
  </si>
  <si>
    <t>G161</t>
  </si>
  <si>
    <t>G162</t>
  </si>
  <si>
    <t>G163</t>
  </si>
  <si>
    <t>G164</t>
  </si>
  <si>
    <t>G165</t>
  </si>
  <si>
    <t>G166</t>
  </si>
  <si>
    <t>G167</t>
  </si>
  <si>
    <t>G168</t>
  </si>
  <si>
    <t>G169</t>
  </si>
  <si>
    <t>G170</t>
  </si>
  <si>
    <t>G171</t>
  </si>
  <si>
    <t>G172</t>
  </si>
  <si>
    <t>G173</t>
  </si>
  <si>
    <t>G174</t>
  </si>
  <si>
    <t>G175</t>
  </si>
  <si>
    <t>G176</t>
  </si>
  <si>
    <t>G177</t>
  </si>
  <si>
    <t>G178</t>
  </si>
  <si>
    <t>G179</t>
  </si>
  <si>
    <t>G180</t>
  </si>
  <si>
    <t>G181</t>
  </si>
  <si>
    <t>G182</t>
  </si>
  <si>
    <t>G183</t>
  </si>
  <si>
    <t>G184</t>
  </si>
  <si>
    <t>G185</t>
  </si>
  <si>
    <t>G186</t>
  </si>
  <si>
    <t>G187</t>
  </si>
  <si>
    <t>G188</t>
  </si>
  <si>
    <t>G189</t>
  </si>
  <si>
    <t>G190</t>
  </si>
  <si>
    <t>G191</t>
  </si>
  <si>
    <t>G192</t>
  </si>
  <si>
    <t>G193</t>
  </si>
  <si>
    <t>G194</t>
  </si>
  <si>
    <t>G195</t>
  </si>
  <si>
    <t>G196</t>
  </si>
  <si>
    <t>G197</t>
  </si>
  <si>
    <t>G198</t>
  </si>
  <si>
    <t>G199</t>
  </si>
  <si>
    <t>G200</t>
  </si>
  <si>
    <t>G201</t>
  </si>
  <si>
    <t>G202</t>
  </si>
  <si>
    <t>G203</t>
  </si>
  <si>
    <t>G204</t>
  </si>
  <si>
    <t>G205</t>
  </si>
  <si>
    <t>G206</t>
  </si>
  <si>
    <t>G207</t>
  </si>
  <si>
    <t>G208</t>
  </si>
  <si>
    <t>G209</t>
  </si>
  <si>
    <t>G210</t>
  </si>
  <si>
    <t>G211</t>
  </si>
  <si>
    <t>G212</t>
  </si>
  <si>
    <t>0, 12, 96</t>
  </si>
  <si>
    <t>0, 136, 227</t>
  </si>
  <si>
    <t>0, 100, 50</t>
  </si>
  <si>
    <t>0, 176, 22</t>
  </si>
  <si>
    <t>191, 0, 0</t>
  </si>
  <si>
    <t>230, 120, 0</t>
  </si>
  <si>
    <t>255, 191, 0</t>
  </si>
  <si>
    <t>150, 200, 0</t>
  </si>
  <si>
    <t>200, 0, 120</t>
  </si>
  <si>
    <t>77, 0, 96</t>
  </si>
  <si>
    <t>91, 0, 191</t>
  </si>
  <si>
    <t>0, 98, 130</t>
  </si>
  <si>
    <t>213, 218, 255</t>
  </si>
  <si>
    <t>213, 238, 255</t>
  </si>
  <si>
    <t>213, 255, 234</t>
  </si>
  <si>
    <t>213, 255, 218</t>
  </si>
  <si>
    <t>255, 213, 213</t>
  </si>
  <si>
    <t>255, 235, 213</t>
  </si>
  <si>
    <t>255, 244, 213</t>
  </si>
  <si>
    <t>244, 255, 213</t>
  </si>
  <si>
    <t>255, 213, 238</t>
  </si>
  <si>
    <t>247, 213, 255</t>
  </si>
  <si>
    <t>233, 213, 255</t>
  </si>
  <si>
    <t>213, 244, 255</t>
  </si>
  <si>
    <t>Vertex Group</t>
  </si>
  <si>
    <t>Vertex 1 Group</t>
  </si>
  <si>
    <t>Vertex 2 Group</t>
  </si>
  <si>
    <t>GraphSource░TwitterSearch3▓GraphTerm░("sistema de admisión escolar" OR "admisión escolar" OR "la tómbola" OR "el SAE") lang:es▓ImportDescription░The graph represents a network of 482 Twitter users whose recent tweets contained "("sistema de admisión escolar" OR "admisión escolar" OR "la tómbola" OR "el SAE") lang:es", or who were replied to, mentioned, retweeted or quoted in those tweets, taken from a data set limited to a maximum of 500 tweets, tweeted between 01-08-2024 0:00:00 and 07-08-2024 0:00:00.  The network was obtained from Twitter on Tuesday, 03 June 2025 at 16:23 UTC._x000D_
_x000D_
The tweets in the network were tweeted over the 306-day, 16-hour, 17-minute period from Wednesday, 31 July 2024 at 20:05 UTC to Tuesday, 03 June 2025 at 12:22 UTC._x000D_
_x000D_
There is an edge for each "replies-to" relationship in a tweet, an edge for each "mentions" relationship in a tweet, an edge for each "retweet" relationship in a tweet, an edge for each "quote" relationship in a tweet, an edge for each "mention in retweet" relationship in a tweet, an edge for each "mention in reply-to" relationship in a tweet, an edge for each "mention in quote" relationship in a tweet, an edge for each "mention in quote reply-to" relationship in a tweet, and a self-loop edge for each tweet that is not from above.▓ImportSuggestedTitle░("sistema de admisión escolar" OR "admisión escolar" OR "la tómbola" OR "el SAE") lang:es Twitter NodeXL SNA Map and Report for martes, 03 junio 2025 at 16:20 UTC▓ImportSuggestedFileNameNoExtension░2025-06-03 16-20-32 NodeXL Twitter Search ("sistema de admisión escolar" OR "admisión escolar" OR "la tómbola" OR "el SAE") lang:es▓LayoutAlgorithm░The graph was laid out using the Fruchterman-Reingold layout algorithm.▓GraphDirectedness░The graph is directed.▓GroupingDescription░The graph's vertices were grouped by cluster using the Clauset-Newman-Moore cluster algorithm.</t>
  </si>
  <si>
    <t>Edges</t>
  </si>
  <si>
    <t>Vertices[Joined Twitter Date (UTC)]</t>
  </si>
  <si>
    <t>&lt;?xml version="1.0" encoding="utf-8"?&gt;_x000D_
&lt;configuration&gt;_x000D_
  &lt;configSections&gt;_x000D_
    &lt;sectionGroup name="userSettings" type="System.Configuration.UserSettingsGroup, System, Version=2.0.0.0, Culture=neutral, PublicKeyToken=b77a5c561934e089"&gt;_x000D_
      &lt;section name="GraphImageUserSettings2" type="System.Configuration.ClientSettingsSection, System, Version=2.0.0.0, Culture=neutral, PublicKeyToken=b77a5c561934e089" allowExeDefinition="MachineToLocalUser" requirePermission="false" /&gt;_x000D_
      &lt;section name="AutoScaleUserSettings"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 name="DynamicFiltersUserSettings" type="System.Configuration.ClientSettingsSection, System, Version=2.0.0.0, Culture=neutral, PublicKeyToken=b77a5c561934e089" allowExeDefinition="MachineToLocalUser" requirePermission="false" /&gt;_x000D_
      &lt;section name="GroupUserSettings" type="System.Configuration.ClientSettingsSection, System, Version=2.0.0.0, Culture=neutral, PublicKeyToken=b77a5c561934e089" allowExeDefinition="MachineToLocalUser" requirePermission="false" /&gt;_x000D_
      &lt;section name="ClusterUserSettings" type="System.Configuration.ClientSettingsSection, System, Version=2.0.0.0, Culture=neutral, PublicKeyToken=b77a5c561934e089" allowExeDefinition="MachineToLocalUser" requirePermission="false" /&gt;_x000D_
      &lt;section name="AutoFillUserSettings3"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 name="ColumnGroupUserSettings"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&lt;GraphImageUserSettings2&gt;_x000D_
      &lt;setting name="ImageSize" serializeAs="String"&gt;_x000D_
        &lt;value&gt;600, 400&lt;/value&gt;_x000D_
      &lt;/setting&gt;_x000D_
      &lt;setting name="UseControlSize" serializeAs="String"&gt;_x000D_
        &lt;value&gt;True&lt;/value&gt;_x000D_
      &lt;/setting&gt;_x000D_
      &lt;setting name="HeaderFooterFont" serializeAs="String"&gt;_x000D_
        &lt;value&gt;Microsoft Sans Serif, 8.25pt&lt;/value&gt;_x000D_
      &lt;/setting&gt;_x000D_
      &lt;setting name="HeaderText" serializeAs="String"&gt;_x000D_
        &lt;value&gt;Social media network connections&lt;/value&gt;_x000D_
      &lt;/setting&gt;_x000D_
      &lt;setting name="IncludeHeader" serializeAs="String"&gt;_x000D_
        &lt;value&gt;True&lt;/value&gt;_x000D_
      &lt;/setting&gt;_x000D_
      &lt;setting name="IncludeFooter" serializeAs="String"&gt;_x000D_
        &lt;value&gt;True&lt;/value&gt;_x000D_
      &lt;/setting&gt;_x000D_
      &lt;setting name="FooterText" serializeAs="String"&gt;_x000D_
        &lt;value&gt;Created with NodeXL Pro (http://nodexl.codeplex.com) from the Social Media Research Foundation (http://www.smrfoundation.org)&lt;/value&gt;_x000D_
      &lt;/setting&gt;_x000D_
    &lt;/GraphImageUserSettings2&gt;_x000D_
    &lt;AutoScaleUserSettings&gt;_x000D_
      &lt;setting name="AutoScale" serializeAs="String"&gt;_x000D_
        &lt;value&gt;False&lt;/value&gt;_x000D_
      &lt;/setting&gt;_x000D_
    &lt;/AutoScaleUserSettings&gt;_x000D_
    &lt;GraphZoomAndScaleUserSettings&gt;_x000D_
      &lt;setting name="GraphScale" serializeAs="String"&gt;_x000D_
        &lt;value&gt;1&lt;/value&gt;_x000D_
      &lt;/setting&gt;_x000D_
    &lt;/GraphZoomAndScaleUserSettings&gt;_x000D_
    &lt;DynamicFiltersUserSettings&gt;_x000D_
      &lt;setting name="FilterNonNumericCells" serializeAs="String"&gt;_x000D_
        &lt;value&gt;False&lt;/value&gt;_x000D_
      &lt;/setting&gt;_x000D_
      &lt;setting name="FilteredAlpha" serializeAs="String"&gt;_x000D_
        &lt;value&gt;0&lt;/value&gt;_x000D_
      &lt;/setting&gt;_x000D_
    &lt;/DynamicFiltersUserSettings&gt;_x000D_
    &lt;GroupUserSettings&gt;_x000D_
      &lt;setting name="ReadGroups" serializeAs="String"&gt;_x000D_
        &lt;value&gt;True&lt;/value&gt;_x000D_
      &lt;/setting&gt;_x000D_
    &lt;/GroupUserSettings&gt;_x000D_
    &lt;ClusterUserSettings&gt;_x000D_
      &lt;setting name="PutNeighborlessVerticesInOneCluster" serializeAs="String"&gt;_x000D_
        &lt;value&gt;False&lt;/value&gt;_x000D_
      &lt;/setting&gt;_x000D_
      &lt;setting name="ClusterAlgorithm" serializeAs="String"&gt;_x000D_
        &lt;value&gt;ClausetNewmanMoore&lt;/value&gt;_x000D_
      &lt;/setting&gt;_x000D_
    &lt;/ClusterUserSettings&gt;_x000D_
    &lt;AutoFillUserSettings3&gt;_x000D_
      &lt;setting name="VertexColorDetails" serializeAs="String"&gt;_x000D_
        &lt;value&gt;False	False	0	10	241, 137, 4	46, 7, 195	False	False	True&lt;/value&gt;_x000D_
      &lt;/setting&gt;_x000D_
      &lt;setting name="EdgeLabelSourceColumnName" serializeAs="String"&gt;_x000D_
        &lt;value /&gt;_x000D_
      &lt;/setting&gt;_x000D_
      &lt;setting name="VertexXSourceColumnName" serializeAs="String"&gt;_x000D_
        &lt;value /&gt;_x000D_
      &lt;/setting&gt;_x000D_
      &lt;setting name="VertexLayoutOrderSourceColumnName" serializeAs="String"&gt;_x000D_
        &lt;value /&gt;_x000D_
      &lt;/setting&gt;_x000D_
      &lt;setting name="VertexRadiusSourceColumnName" serializeAs="String"&gt;_x000D_
        &lt;value&gt;Betweenness Centrality&lt;/value&gt;_x000D_
      &lt;/setting&gt;_x000D_
      &lt;setting name="EdgeColorDetails" serializeAs="String"&gt;_x000D_
        &lt;value&gt;False	False	0	10	241, 137, 4	46, 7, 195	False	False	True&lt;/value&gt;_x000D_
      &lt;/setting&gt;_x000D_
      &lt;setting name="VertexLabelFillColorDetails" serializeAs="String"&gt;_x000D_
        &lt;value&gt;False	False	0	10	241, 137, 4	46, 7, 195	False	False	True&lt;/value&gt;_x000D_
      &lt;/setting&gt;_x000D_
      &lt;se</t>
  </si>
  <si>
    <t>tting name="VertexShapeSourceColumnName" serializeAs="String"&gt;_x000D_
        &lt;value /&gt;_x000D_
      &lt;/setting&gt;_x000D_
      &lt;setting name="VertexPolarRSourceColumnName" serializeAs="String"&gt;_x000D_
        &lt;value /&gt;_x000D_
      &lt;/setting&gt;_x000D_
      &lt;setting name="EdgeVisibilityDetails" serializeAs="String"&gt;_x000D_
        &lt;value&gt;GreaterThan	0	Show	Skip&lt;/value&gt;_x000D_
      &lt;/setting&gt;_x000D_
      &lt;setting name="VertexAlphaDetails" serializeAs="String"&gt;_x000D_
        &lt;value&gt;False	False	0	100	10	100	False	False&lt;/value&gt;_x000D_
      &lt;/setting&gt;_x000D_
      &lt;setting name="VertexLabelFillColorSourceColumnName" serializeAs="String"&gt;_x000D_
        &lt;value /&gt;_x000D_
      &lt;/setting&gt;_x000D_
      &lt;setting name="GroupCollapsedSourceColumnName" serializeAs="String"&gt;_x000D_
        &lt;value /&gt;_x000D_
      &lt;/setting&gt;_x000D_
      &lt;setting name="VertexLabelPositionDetails" serializeAs="String"&gt;_x000D_
        &lt;value&gt;GreaterThan	0	Bottom Center	Nowhere&lt;/value&gt;_x000D_
      &lt;/setting&gt;_x000D_
      &lt;setting name="VertexShapeDetails" serializeAs="String"&gt;_x000D_
        &lt;value&gt;GreaterThan	0	Solid Square	Disk&lt;/value&gt;_x000D_
      &lt;/setting&gt;_x000D_
      &lt;setting name="GroupCollapsedDetails" serializeAs="String"&gt;_x000D_
        &lt;value&gt;GreaterThan	0	Yes	No&lt;/value&gt;_x000D_
      &lt;/setting&gt;_x000D_
      &lt;setting name="EdgeWidthDetails" serializeAs="String"&gt;_x000D_
        &lt;value&gt;False	False	1	10	1	10	False	False&lt;/value&gt;_x000D_
      &lt;/setting&gt;_x000D_
      &lt;setting name="VertexPolarRDetails" serializeAs="String"&gt;_x000D_
        &lt;value&gt;False	False	0	0	0	1	False	False&lt;/value&gt;_x000D_
      &lt;/setting&gt;_x000D_
      &lt;setting name="VertexAlphaSourceColumnName" serializeAs="String"&gt;_x000D_
        &lt;value /&gt;_x000D_
      &lt;/setting&gt;_x000D_
      &lt;setting name="VertexVisibilitySourceColumnName" serializeAs="String"&gt;_x000D_
        &lt;value /&gt;_x000D_
      &lt;/setting&gt;_x000D_
      &lt;setting name="VertexLabelSourceColumnName" serializeAs="String"&gt;_x000D_
        &lt;value /&gt;_x000D_
      &lt;/setting&gt;_x000D_
      &lt;setting name="VertexToolTipSourceColumnName" serializeAs="String"&gt;_x000D_
        &lt;value /&gt;_x000D_
      &lt;/setting&gt;_x000D_
      &lt;setting name="EdgeWidthSourceColumnName" serializeAs="String"&gt;_x000D_
        &lt;value&gt;Relationship&lt;/value&gt;_x000D_
      &lt;/setting&gt;_x000D_
      &lt;setting name="EdgeAlphaSourceColumnName" serializeAs="String"&gt;_x000D_
        &lt;value /&gt;_x000D_
      &lt;/setting&gt;_x000D_
      &lt;setting name="VertexPolarAngleSourceColumnName" serializeAs="String"&gt;_x000D_
        &lt;value /&gt;_x000D_
      &lt;/setting&gt;_x000D_
      &lt;setting name="EdgeStyleSourceColumnName" serializeAs="String"&gt;_x000D_
        &lt;value /&gt;_x000D_
      &lt;/setting&gt;_x000D_
      &lt;setting name="EdgeStyleDetails" serializeAs="String"&gt;_x000D_
        &lt;value&gt;GreaterThan	0	Solid	Dash&lt;/value&gt;_x000D_
      &lt;/setting&gt;_x000D_
      &lt;setting name="VertexPolarAngleDetails" serializeAs="String"&gt;_x000D_
        &lt;value&gt;False	False	0	0	0	359	False	False&lt;/value&gt;_x000D_
      &lt;/setting&gt;_x000D_
      &lt;setting name="VertexYSourceColumnName" serializeAs="String"&gt;_x000D_
        &lt;value /&gt;_x000D_
      &lt;/setting&gt;_x000D_
      &lt;setting name="EdgeVisibilitySourceColumnName" serializeAs="String"&gt;_x000D_
        &lt;value /&gt;_x000D_
      &lt;/setting&gt;_x000D_
      &lt;setting name="VertexRadiusDetails" serializeAs="String"&gt;_x000D_
        &lt;value&gt;False	False	1	10	1.5	10	False	False&lt;/value&gt;_x000D_
      &lt;/setting&gt;_x000D_
      &lt;setting name="EdgeColorSourceColumnName" serializeAs="String"&gt;_x000D_
        &lt;value /&gt;_x000D_
      &lt;/setting&gt;_x000D_
      &lt;setting name="VertexXDetails" serializeAs="String"&gt;_x000D_
        &lt;value&gt;False	False	0	0	0	9999	False	False&lt;/value&gt;_x000D_
      &lt;/setting&gt;_x000D_
      &lt;setting name="GroupLabelSourceColumnName" serializeAs="String"&gt;_x000D_
        &lt;value /&gt;_x000D_
      &lt;/setting&gt;_x000D_
      &lt;setting name="VertexColorSourceColumnName" serializeAs="String"&gt;_x000D_
        &lt;value /&gt;_x000D_
      &lt;/setting&gt;_x000D_
      &lt;setting name="EdgeAlphaDetails" serializeAs="String"&gt;_x000D_
        &lt;value&gt;False	False	0	100	10	100	False	False&lt;/value&gt;_x000D_
      &lt;/setting&gt;_x000D_
      &lt;setting name="VertexLabelPositionSourceColumnName" serializeAs="String"&gt;_x000D_
        &lt;value /&gt;_x000D_
      &lt;/setting&gt;_x000D_
      &lt;setting name="VertexLayoutOrderDetails" serializeAs="String"&gt;_x000D_
        &lt;value&gt;False	False	0	0	1	9999	False	False&lt;/value&gt;_x000D_
      &lt;/setting&gt;_x000D_
      &lt;setting name="VertexVisibilityDetails" serializeAs="String"&gt;_x000D_
        &lt;value&gt;GreaterThan	0	Show if in an Edge	Skip&lt;/value&gt;_x000D_
      &lt;/setting&gt;_x000D_
      &lt;setting name="VertexYDetails" serializeAs="String"&gt;_x000D_
        &lt;value&gt;False	False	0	0	0	9999	False	False&lt;/value&gt;_x000D_
      &lt;/setting&gt;_x000D_
    &lt;/AutoFillUserSettings3&gt;_x000D_
    &lt;LayoutUserSettings&gt;_x000D_
      &lt;setting name="Layout" serializeAs="String"&gt;_x000D_
        &lt;value&gt;FruchtermanReingold&lt;/value&gt;_x000D_
      &lt;/setting&gt;_x000D_
    &lt;/LayoutUserSettings&gt;_x000D_
    &lt;ColumnGroupUserSettings&gt;_x000D_
      &lt;setting name="ColumnGroupsToShow" serializeAs="String"&gt;_x000D_
        &lt;value&gt;EdgeDoNotHide, EdgeVisualAttributes, EdgeLabels, EdgeGraphMetrics, EdgeOtherColumns, VertexDoNotHide, VertexVisualAttributes, VertexGraphMetrics, VertexLabels, VertexOtherColumns, GroupDoNotHide, GroupVisualAttributes, GroupLabels, GroupGraphMetrics, GroupEdgeDoNotHide, GroupEdgeGraphMetrics&lt;/value&gt;_x000D_
      &lt;/setting&gt;_x000D_
    &lt;/ColumnGroupUserSettings&gt;_x000D_
    &lt;GraphMetricUserSettings&gt;_x000D_
      &lt;setting name="GraphMetricsToCalculate" serializeAs="String"&gt;_x000D_
        &lt;value&gt;TopNBy&lt;/value&gt;_x000D_
      &lt;/setting&gt;_x000D_
    &lt;/GraphMetricUserSettings&gt;_x000D_
    &lt;GeneralUserSettings4&gt;_x000D_
      &lt;setting name="NewWorkbookGraphDirectedness" serializeAs="String"&gt;_x000D_
        &lt;value&gt;Directed&lt;/value&gt;_x000D_
      &lt;/setting&gt;_x000D_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&lt;/userSettings&gt;_x000D_
&lt;/configuration&gt;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</si>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</sst>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115">
    <xf numFmtId="0" fontId="0" fillId="0" borderId="0" xfId="0"/>
    <xf numFmtId="49" fontId="0" fillId="0" borderId="0" xfId="0" applyNumberFormat="1"/>
    <xf numFmtId="1"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Font="1"/>
    <xf numFmtId="4" fontId="0" fillId="0" borderId="0" xfId="0" applyNumberFormat="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ill="1" applyBorder="1"/>
    <xf numFmtId="0" fontId="0" fillId="8" borderId="6" xfId="0" applyFill="1" applyBorder="1"/>
    <xf numFmtId="4" fontId="0" fillId="9" borderId="5" xfId="0" applyNumberFormat="1" applyFill="1" applyBorder="1"/>
    <xf numFmtId="0" fontId="0" fillId="9" borderId="6" xfId="0" applyFill="1" applyBorder="1"/>
    <xf numFmtId="4" fontId="0" fillId="9" borderId="7" xfId="0" applyNumberFormat="1" applyFill="1" applyBorder="1"/>
    <xf numFmtId="0" fontId="0" fillId="9" borderId="0" xfId="0" applyFill="1"/>
    <xf numFmtId="0" fontId="0" fillId="8" borderId="5" xfId="0" applyFill="1" applyBorder="1"/>
    <xf numFmtId="0" fontId="0" fillId="9" borderId="5" xfId="0" applyFill="1" applyBorder="1"/>
    <xf numFmtId="0" fontId="0" fillId="9" borderId="7" xfId="0"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9" fontId="0" fillId="0" borderId="0" xfId="3" applyNumberFormat="1" applyFont="1" applyAlignment="1"/>
    <xf numFmtId="0" fontId="0" fillId="5" borderId="1" xfId="4" applyNumberFormat="1" applyFont="1" applyAlignment="1"/>
    <xf numFmtId="164" fontId="0" fillId="5" borderId="1" xfId="4" applyNumberFormat="1" applyFont="1" applyAlignment="1"/>
    <xf numFmtId="0" fontId="11" fillId="5" borderId="1" xfId="4" applyNumberFormat="1" applyFont="1" applyAlignment="1"/>
    <xf numFmtId="1" fontId="0" fillId="5" borderId="1" xfId="4" applyNumberFormat="1" applyFont="1" applyAlignment="1"/>
    <xf numFmtId="49" fontId="6" fillId="6" borderId="1" xfId="6" applyNumberForma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0" fontId="0" fillId="2" borderId="1" xfId="1" applyNumberFormat="1" applyFont="1"/>
    <xf numFmtId="0" fontId="11" fillId="2" borderId="1" xfId="1" applyNumberFormat="1" applyFont="1" applyAlignment="1"/>
    <xf numFmtId="22" fontId="0" fillId="0" borderId="0" xfId="0" applyNumberFormat="1"/>
    <xf numFmtId="0" fontId="0" fillId="0" borderId="0" xfId="0" quotePrefix="1"/>
    <xf numFmtId="0" fontId="13" fillId="0" borderId="0" xfId="9" applyFill="1" applyAlignment="1"/>
    <xf numFmtId="0" fontId="13" fillId="0" borderId="0" xfId="9" applyAlignment="1"/>
    <xf numFmtId="14" fontId="0" fillId="0" borderId="0" xfId="0" applyNumberFormat="1"/>
    <xf numFmtId="1" fontId="11" fillId="4" borderId="1" xfId="5" applyNumberFormat="1" applyFont="1" applyAlignment="1"/>
    <xf numFmtId="49" fontId="0" fillId="0" borderId="0" xfId="3" applyNumberFormat="1" applyFont="1" applyBorder="1" applyAlignment="1"/>
    <xf numFmtId="0" fontId="0" fillId="5" borderId="11" xfId="4" applyNumberFormat="1" applyFont="1" applyBorder="1" applyAlignment="1"/>
    <xf numFmtId="164" fontId="0" fillId="5" borderId="11" xfId="4" applyNumberFormat="1" applyFont="1" applyBorder="1" applyAlignment="1"/>
    <xf numFmtId="1" fontId="0" fillId="5" borderId="11" xfId="4" applyNumberFormat="1" applyFont="1" applyBorder="1" applyAlignment="1"/>
    <xf numFmtId="49" fontId="6" fillId="6" borderId="11" xfId="6" applyNumberFormat="1" applyBorder="1" applyAlignment="1"/>
    <xf numFmtId="0" fontId="6" fillId="6" borderId="11" xfId="6" applyNumberFormat="1" applyBorder="1" applyAlignment="1"/>
    <xf numFmtId="164" fontId="0" fillId="3" borderId="11" xfId="7" applyNumberFormat="1" applyFont="1" applyBorder="1" applyAlignment="1"/>
    <xf numFmtId="165" fontId="0" fillId="3" borderId="11" xfId="7" applyNumberFormat="1" applyFont="1" applyBorder="1" applyAlignment="1"/>
    <xf numFmtId="0" fontId="0" fillId="3" borderId="11" xfId="7" applyNumberFormat="1" applyFont="1" applyBorder="1" applyAlignment="1"/>
    <xf numFmtId="166" fontId="0" fillId="3" borderId="11" xfId="7" applyNumberFormat="1" applyFont="1" applyBorder="1" applyAlignment="1"/>
    <xf numFmtId="1" fontId="11" fillId="4" borderId="11" xfId="5" applyNumberFormat="1" applyFont="1" applyBorder="1" applyAlignment="1"/>
    <xf numFmtId="167" fontId="11" fillId="4" borderId="11" xfId="5" applyNumberFormat="1" applyFont="1" applyBorder="1" applyAlignment="1"/>
    <xf numFmtId="167" fontId="5" fillId="4" borderId="11" xfId="5" applyNumberFormat="1" applyBorder="1" applyAlignment="1"/>
    <xf numFmtId="0" fontId="0" fillId="2" borderId="11" xfId="1" applyNumberFormat="1" applyFont="1" applyBorder="1" applyAlignment="1"/>
    <xf numFmtId="0" fontId="0" fillId="0" borderId="0" xfId="2" applyNumberFormat="1" applyFont="1" applyBorder="1" applyAlignment="1"/>
    <xf numFmtId="0" fontId="13" fillId="5" borderId="1" xfId="9" applyNumberFormat="1" applyFill="1" applyBorder="1" applyAlignment="1"/>
    <xf numFmtId="0" fontId="13" fillId="5" borderId="11" xfId="9" applyNumberFormat="1" applyFill="1" applyBorder="1" applyAlignment="1"/>
    <xf numFmtId="0" fontId="5" fillId="5" borderId="1" xfId="8" applyNumberFormat="1" applyAlignment="1"/>
    <xf numFmtId="0" fontId="11" fillId="5" borderId="1" xfId="4" applyNumberFormat="1" applyFont="1"/>
    <xf numFmtId="0" fontId="11" fillId="2" borderId="1" xfId="1" applyNumberFormat="1" applyFont="1"/>
    <xf numFmtId="49" fontId="0" fillId="0" borderId="7" xfId="3" applyNumberFormat="1" applyFont="1" applyBorder="1" applyAlignment="1"/>
    <xf numFmtId="0" fontId="11" fillId="5" borderId="1" xfId="4" applyNumberFormat="1" applyFont="1" applyBorder="1"/>
    <xf numFmtId="0" fontId="11" fillId="5" borderId="11" xfId="4" applyNumberFormat="1" applyFont="1" applyBorder="1"/>
    <xf numFmtId="0" fontId="0" fillId="5" borderId="11" xfId="4" applyNumberFormat="1" applyFont="1" applyBorder="1"/>
    <xf numFmtId="49" fontId="6" fillId="6" borderId="11" xfId="6" applyNumberFormat="1" applyBorder="1"/>
    <xf numFmtId="0" fontId="0" fillId="3" borderId="11" xfId="7" applyNumberFormat="1" applyFont="1" applyBorder="1"/>
    <xf numFmtId="0" fontId="11" fillId="2" borderId="11" xfId="1" applyNumberFormat="1" applyFont="1" applyBorder="1"/>
    <xf numFmtId="0" fontId="0" fillId="2" borderId="11" xfId="1" applyNumberFormat="1" applyFont="1" applyBorder="1"/>
    <xf numFmtId="1" fontId="5" fillId="4" borderId="11" xfId="5" applyNumberFormat="1" applyBorder="1"/>
    <xf numFmtId="167" fontId="5" fillId="4" borderId="11" xfId="5" applyNumberFormat="1" applyBorder="1"/>
    <xf numFmtId="0" fontId="0" fillId="0" borderId="0" xfId="0" applyAlignment="1"/>
    <xf numFmtId="0" fontId="0" fillId="0" borderId="0" xfId="0" applyFill="1" applyAlignment="1"/>
    <xf numFmtId="0" fontId="0" fillId="0" borderId="0" xfId="0" quotePrefix="1" applyAlignment="1"/>
  </cellXfs>
  <cellStyles count="10">
    <cellStyle name="Hipervínculo" xfId="9" builtinId="8"/>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Normal" xfId="0" builtinId="0"/>
  </cellStyles>
  <dxfs count="192">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border outline="0">
        <left style="thin">
          <color theme="0"/>
        </left>
      </border>
    </dxf>
    <dxf>
      <numFmt numFmtId="0" formatCode="General"/>
      <alignment horizontal="general" vertical="bottom" textRotation="0" wrapText="0" indent="0" justifyLastLine="0" shrinkToFit="0" readingOrder="0"/>
      <border outline="0">
        <right style="thin">
          <color theme="0"/>
        </right>
      </border>
    </dxf>
    <dxf>
      <numFmt numFmtId="30" formatCode="@"/>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border outline="0">
        <right style="thin">
          <color theme="0"/>
        </right>
      </border>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border outline="0">
        <left style="thin">
          <color theme="0"/>
        </left>
      </border>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left style="thin">
          <color theme="0"/>
        </left>
        <right style="thin">
          <color theme="0"/>
        </right>
      </border>
    </dxf>
    <dxf>
      <numFmt numFmtId="1" formatCode="0"/>
      <alignment horizontal="general" vertical="bottom" textRotation="0" wrapText="0" indent="0" justifyLastLine="0" shrinkToFit="0" readingOrder="0"/>
    </dxf>
    <dxf>
      <numFmt numFmtId="1" formatCode="0"/>
      <alignment horizontal="general" vertical="bottom" textRotation="0" wrapText="0" indent="0" justifyLastLine="0" shrinkToFit="0" readingOrder="0"/>
      <border outline="0">
        <right style="thin">
          <color theme="0"/>
        </right>
      </border>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border outline="0">
        <right style="thin">
          <color theme="0"/>
        </right>
      </border>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right style="thin">
          <color theme="0"/>
        </right>
      </border>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xr9:uid="{00000000-0011-0000-FFFF-FFFF00000000}">
      <tableStyleElement type="wholeTable" dxfId="191"/>
      <tableStyleElement type="headerRow" dxfId="190"/>
    </tableStyle>
    <tableStyle name="NodeXL Table" pivot="0" count="1" xr9:uid="{00000000-0011-0000-FFFF-FFFF01000000}">
      <tableStyleElement type="headerRow" dxfId="18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Metrics'!$E$2:$E$41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8066-481D-BF83-1384F8062127}"/>
            </c:ext>
          </c:extLst>
        </c:ser>
        <c:dLbls>
          <c:showLegendKey val="0"/>
          <c:showVal val="0"/>
          <c:showCatName val="0"/>
          <c:showSerName val="0"/>
          <c:showPercent val="0"/>
          <c:showBubbleSize val="0"/>
        </c:dLbls>
        <c:gapWidth val="0"/>
        <c:axId val="1190537248"/>
        <c:axId val="1190542144"/>
      </c:barChart>
      <c:catAx>
        <c:axId val="1190537248"/>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90542144"/>
        <c:crosses val="autoZero"/>
        <c:auto val="1"/>
        <c:lblAlgn val="ctr"/>
        <c:lblOffset val="100"/>
        <c:noMultiLvlLbl val="0"/>
      </c:catAx>
      <c:valAx>
        <c:axId val="11905421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372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150</c:v>
                </c:pt>
              </c:strCache>
            </c:strRef>
          </c:tx>
          <c:spPr>
            <a:solidFill>
              <a:schemeClr val="accent1"/>
            </a:solidFill>
          </c:spPr>
          <c:invertIfNegative val="0"/>
          <c:cat>
            <c:numRef>
              <c:f>'Overall Metrics'!$F$2:$F$41</c:f>
              <c:numCache>
                <c:formatCode>#,##0.00</c:formatCode>
                <c:ptCount val="40"/>
                <c:pt idx="0">
                  <c:v>0</c:v>
                </c:pt>
                <c:pt idx="1">
                  <c:v>0.3235294117647059</c:v>
                </c:pt>
                <c:pt idx="2">
                  <c:v>0.6470588235294118</c:v>
                </c:pt>
                <c:pt idx="3">
                  <c:v>0.97058823529411775</c:v>
                </c:pt>
                <c:pt idx="4">
                  <c:v>1.2941176470588236</c:v>
                </c:pt>
                <c:pt idx="5">
                  <c:v>1.6176470588235294</c:v>
                </c:pt>
                <c:pt idx="6">
                  <c:v>1.9411764705882353</c:v>
                </c:pt>
                <c:pt idx="7">
                  <c:v>2.2647058823529411</c:v>
                </c:pt>
                <c:pt idx="8">
                  <c:v>2.5882352941176472</c:v>
                </c:pt>
                <c:pt idx="9">
                  <c:v>2.9117647058823533</c:v>
                </c:pt>
                <c:pt idx="10">
                  <c:v>3.2352941176470593</c:v>
                </c:pt>
                <c:pt idx="11">
                  <c:v>3.5588235294117654</c:v>
                </c:pt>
                <c:pt idx="12">
                  <c:v>3.8823529411764715</c:v>
                </c:pt>
                <c:pt idx="13">
                  <c:v>4.2058823529411775</c:v>
                </c:pt>
                <c:pt idx="14">
                  <c:v>4.5294117647058831</c:v>
                </c:pt>
                <c:pt idx="15">
                  <c:v>4.8529411764705888</c:v>
                </c:pt>
                <c:pt idx="16">
                  <c:v>5.1764705882352944</c:v>
                </c:pt>
                <c:pt idx="17">
                  <c:v>5.5</c:v>
                </c:pt>
                <c:pt idx="18">
                  <c:v>5.8235294117647056</c:v>
                </c:pt>
                <c:pt idx="19">
                  <c:v>6.1470588235294112</c:v>
                </c:pt>
                <c:pt idx="20">
                  <c:v>6.4705882352941169</c:v>
                </c:pt>
                <c:pt idx="21">
                  <c:v>6.7941176470588225</c:v>
                </c:pt>
                <c:pt idx="22">
                  <c:v>7.1176470588235281</c:v>
                </c:pt>
                <c:pt idx="23">
                  <c:v>7.4411764705882337</c:v>
                </c:pt>
                <c:pt idx="24">
                  <c:v>7.7647058823529393</c:v>
                </c:pt>
                <c:pt idx="25">
                  <c:v>8.088235294117645</c:v>
                </c:pt>
                <c:pt idx="26">
                  <c:v>8.4117647058823515</c:v>
                </c:pt>
                <c:pt idx="27">
                  <c:v>8.735294117647058</c:v>
                </c:pt>
                <c:pt idx="28">
                  <c:v>9.0588235294117645</c:v>
                </c:pt>
                <c:pt idx="29">
                  <c:v>9.382352941176471</c:v>
                </c:pt>
                <c:pt idx="30">
                  <c:v>9.7058823529411775</c:v>
                </c:pt>
                <c:pt idx="31">
                  <c:v>10.029411764705884</c:v>
                </c:pt>
                <c:pt idx="32">
                  <c:v>10.352941176470591</c:v>
                </c:pt>
                <c:pt idx="33">
                  <c:v>10.676470588235297</c:v>
                </c:pt>
                <c:pt idx="34">
                  <c:v>11</c:v>
                </c:pt>
              </c:numCache>
            </c:numRef>
          </c:cat>
          <c:val>
            <c:numRef>
              <c:f>'Overall Metrics'!$G$2:$G$41</c:f>
              <c:numCache>
                <c:formatCode>General</c:formatCode>
                <c:ptCount val="40"/>
                <c:pt idx="0">
                  <c:v>150</c:v>
                </c:pt>
                <c:pt idx="1">
                  <c:v>0</c:v>
                </c:pt>
                <c:pt idx="2">
                  <c:v>0</c:v>
                </c:pt>
                <c:pt idx="3">
                  <c:v>290</c:v>
                </c:pt>
                <c:pt idx="4">
                  <c:v>0</c:v>
                </c:pt>
                <c:pt idx="5">
                  <c:v>0</c:v>
                </c:pt>
                <c:pt idx="6">
                  <c:v>29</c:v>
                </c:pt>
                <c:pt idx="7">
                  <c:v>0</c:v>
                </c:pt>
                <c:pt idx="8">
                  <c:v>0</c:v>
                </c:pt>
                <c:pt idx="9">
                  <c:v>5</c:v>
                </c:pt>
                <c:pt idx="10">
                  <c:v>0</c:v>
                </c:pt>
                <c:pt idx="11">
                  <c:v>0</c:v>
                </c:pt>
                <c:pt idx="12">
                  <c:v>2</c:v>
                </c:pt>
                <c:pt idx="13">
                  <c:v>0</c:v>
                </c:pt>
                <c:pt idx="14">
                  <c:v>0</c:v>
                </c:pt>
                <c:pt idx="15">
                  <c:v>0</c:v>
                </c:pt>
                <c:pt idx="16">
                  <c:v>0</c:v>
                </c:pt>
                <c:pt idx="17">
                  <c:v>0</c:v>
                </c:pt>
                <c:pt idx="18">
                  <c:v>0</c:v>
                </c:pt>
                <c:pt idx="19">
                  <c:v>0</c:v>
                </c:pt>
                <c:pt idx="20">
                  <c:v>0</c:v>
                </c:pt>
                <c:pt idx="21">
                  <c:v>1</c:v>
                </c:pt>
                <c:pt idx="22">
                  <c:v>0</c:v>
                </c:pt>
                <c:pt idx="23">
                  <c:v>0</c:v>
                </c:pt>
                <c:pt idx="24">
                  <c:v>4</c:v>
                </c:pt>
                <c:pt idx="25">
                  <c:v>0</c:v>
                </c:pt>
                <c:pt idx="26">
                  <c:v>0</c:v>
                </c:pt>
                <c:pt idx="27">
                  <c:v>0</c:v>
                </c:pt>
                <c:pt idx="28">
                  <c:v>0</c:v>
                </c:pt>
                <c:pt idx="29">
                  <c:v>0</c:v>
                </c:pt>
                <c:pt idx="30">
                  <c:v>0</c:v>
                </c:pt>
                <c:pt idx="31">
                  <c:v>0</c:v>
                </c:pt>
                <c:pt idx="32">
                  <c:v>0</c:v>
                </c:pt>
                <c:pt idx="33">
                  <c:v>0</c:v>
                </c:pt>
                <c:pt idx="34">
                  <c:v>1</c:v>
                </c:pt>
              </c:numCache>
            </c:numRef>
          </c:val>
          <c:extLst>
            <c:ext xmlns:c16="http://schemas.microsoft.com/office/drawing/2014/chart" uri="{C3380CC4-5D6E-409C-BE32-E72D297353CC}">
              <c16:uniqueId val="{00000000-0847-4CD9-A405-E9A2D1D176FA}"/>
            </c:ext>
          </c:extLst>
        </c:ser>
        <c:dLbls>
          <c:showLegendKey val="0"/>
          <c:showVal val="0"/>
          <c:showCatName val="0"/>
          <c:showSerName val="0"/>
          <c:showPercent val="0"/>
          <c:showBubbleSize val="0"/>
        </c:dLbls>
        <c:gapWidth val="0"/>
        <c:axId val="1190542688"/>
        <c:axId val="1190537792"/>
      </c:barChart>
      <c:catAx>
        <c:axId val="1190542688"/>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90537792"/>
        <c:crosses val="autoZero"/>
        <c:auto val="1"/>
        <c:lblAlgn val="ctr"/>
        <c:lblOffset val="100"/>
        <c:noMultiLvlLbl val="0"/>
      </c:catAx>
      <c:valAx>
        <c:axId val="11905377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26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196</c:v>
                </c:pt>
              </c:strCache>
            </c:strRef>
          </c:tx>
          <c:spPr>
            <a:solidFill>
              <a:schemeClr val="accent1"/>
            </a:solidFill>
          </c:spPr>
          <c:invertIfNegative val="0"/>
          <c:cat>
            <c:numRef>
              <c:f>'Overall Metrics'!$H$2:$H$41</c:f>
              <c:numCache>
                <c:formatCode>#,##0.00</c:formatCode>
                <c:ptCount val="40"/>
                <c:pt idx="0">
                  <c:v>0</c:v>
                </c:pt>
                <c:pt idx="1">
                  <c:v>0.41176470588235292</c:v>
                </c:pt>
                <c:pt idx="2">
                  <c:v>0.82352941176470584</c:v>
                </c:pt>
                <c:pt idx="3">
                  <c:v>1.2352941176470589</c:v>
                </c:pt>
                <c:pt idx="4">
                  <c:v>1.6470588235294117</c:v>
                </c:pt>
                <c:pt idx="5">
                  <c:v>2.0588235294117645</c:v>
                </c:pt>
                <c:pt idx="6">
                  <c:v>2.4705882352941173</c:v>
                </c:pt>
                <c:pt idx="7">
                  <c:v>2.8823529411764701</c:v>
                </c:pt>
                <c:pt idx="8">
                  <c:v>3.2941176470588229</c:v>
                </c:pt>
                <c:pt idx="9">
                  <c:v>3.7058823529411757</c:v>
                </c:pt>
                <c:pt idx="10">
                  <c:v>4.117647058823529</c:v>
                </c:pt>
                <c:pt idx="11">
                  <c:v>4.5294117647058822</c:v>
                </c:pt>
                <c:pt idx="12">
                  <c:v>4.9411764705882355</c:v>
                </c:pt>
                <c:pt idx="13">
                  <c:v>5.3529411764705888</c:v>
                </c:pt>
                <c:pt idx="14">
                  <c:v>5.764705882352942</c:v>
                </c:pt>
                <c:pt idx="15">
                  <c:v>6.1764705882352953</c:v>
                </c:pt>
                <c:pt idx="16">
                  <c:v>6.5882352941176485</c:v>
                </c:pt>
                <c:pt idx="17">
                  <c:v>7.0000000000000018</c:v>
                </c:pt>
                <c:pt idx="18">
                  <c:v>7.411764705882355</c:v>
                </c:pt>
                <c:pt idx="19">
                  <c:v>7.8235294117647083</c:v>
                </c:pt>
                <c:pt idx="20">
                  <c:v>8.2352941176470615</c:v>
                </c:pt>
                <c:pt idx="21">
                  <c:v>8.6470588235294148</c:v>
                </c:pt>
                <c:pt idx="22">
                  <c:v>9.058823529411768</c:v>
                </c:pt>
                <c:pt idx="23">
                  <c:v>9.4705882352941213</c:v>
                </c:pt>
                <c:pt idx="24">
                  <c:v>9.8823529411764746</c:v>
                </c:pt>
                <c:pt idx="25">
                  <c:v>10.294117647058828</c:v>
                </c:pt>
                <c:pt idx="26">
                  <c:v>10.705882352941181</c:v>
                </c:pt>
                <c:pt idx="27">
                  <c:v>11.117647058823534</c:v>
                </c:pt>
                <c:pt idx="28">
                  <c:v>11.529411764705888</c:v>
                </c:pt>
                <c:pt idx="29">
                  <c:v>11.941176470588241</c:v>
                </c:pt>
                <c:pt idx="30">
                  <c:v>12.352941176470594</c:v>
                </c:pt>
                <c:pt idx="31">
                  <c:v>12.764705882352947</c:v>
                </c:pt>
                <c:pt idx="32">
                  <c:v>13.176470588235301</c:v>
                </c:pt>
                <c:pt idx="33">
                  <c:v>13.588235294117654</c:v>
                </c:pt>
                <c:pt idx="34">
                  <c:v>14</c:v>
                </c:pt>
              </c:numCache>
            </c:numRef>
          </c:cat>
          <c:val>
            <c:numRef>
              <c:f>'Overall Metrics'!$I$2:$I$41</c:f>
              <c:numCache>
                <c:formatCode>General</c:formatCode>
                <c:ptCount val="40"/>
                <c:pt idx="0">
                  <c:v>196</c:v>
                </c:pt>
                <c:pt idx="1">
                  <c:v>0</c:v>
                </c:pt>
                <c:pt idx="2">
                  <c:v>225</c:v>
                </c:pt>
                <c:pt idx="3">
                  <c:v>0</c:v>
                </c:pt>
                <c:pt idx="4">
                  <c:v>35</c:v>
                </c:pt>
                <c:pt idx="5">
                  <c:v>0</c:v>
                </c:pt>
                <c:pt idx="6">
                  <c:v>0</c:v>
                </c:pt>
                <c:pt idx="7">
                  <c:v>12</c:v>
                </c:pt>
                <c:pt idx="8">
                  <c:v>0</c:v>
                </c:pt>
                <c:pt idx="9">
                  <c:v>8</c:v>
                </c:pt>
                <c:pt idx="10">
                  <c:v>0</c:v>
                </c:pt>
                <c:pt idx="11">
                  <c:v>0</c:v>
                </c:pt>
                <c:pt idx="12">
                  <c:v>2</c:v>
                </c:pt>
                <c:pt idx="13">
                  <c:v>0</c:v>
                </c:pt>
                <c:pt idx="14">
                  <c:v>0</c:v>
                </c:pt>
                <c:pt idx="15">
                  <c:v>0</c:v>
                </c:pt>
                <c:pt idx="16">
                  <c:v>0</c:v>
                </c:pt>
                <c:pt idx="17">
                  <c:v>0</c:v>
                </c:pt>
                <c:pt idx="18">
                  <c:v>0</c:v>
                </c:pt>
                <c:pt idx="19">
                  <c:v>0</c:v>
                </c:pt>
                <c:pt idx="20">
                  <c:v>0</c:v>
                </c:pt>
                <c:pt idx="21">
                  <c:v>1</c:v>
                </c:pt>
                <c:pt idx="22">
                  <c:v>0</c:v>
                </c:pt>
                <c:pt idx="23">
                  <c:v>0</c:v>
                </c:pt>
                <c:pt idx="24">
                  <c:v>0</c:v>
                </c:pt>
                <c:pt idx="25">
                  <c:v>0</c:v>
                </c:pt>
                <c:pt idx="26">
                  <c:v>0</c:v>
                </c:pt>
                <c:pt idx="27">
                  <c:v>0</c:v>
                </c:pt>
                <c:pt idx="28">
                  <c:v>0</c:v>
                </c:pt>
                <c:pt idx="29">
                  <c:v>1</c:v>
                </c:pt>
                <c:pt idx="30">
                  <c:v>0</c:v>
                </c:pt>
                <c:pt idx="31">
                  <c:v>1</c:v>
                </c:pt>
                <c:pt idx="32">
                  <c:v>0</c:v>
                </c:pt>
                <c:pt idx="33">
                  <c:v>0</c:v>
                </c:pt>
                <c:pt idx="34">
                  <c:v>1</c:v>
                </c:pt>
              </c:numCache>
            </c:numRef>
          </c:val>
          <c:extLst>
            <c:ext xmlns:c16="http://schemas.microsoft.com/office/drawing/2014/chart" uri="{C3380CC4-5D6E-409C-BE32-E72D297353CC}">
              <c16:uniqueId val="{00000000-9AB4-43E3-A95E-EE63B0FFBBEB}"/>
            </c:ext>
          </c:extLst>
        </c:ser>
        <c:dLbls>
          <c:showLegendKey val="0"/>
          <c:showVal val="0"/>
          <c:showCatName val="0"/>
          <c:showSerName val="0"/>
          <c:showPercent val="0"/>
          <c:showBubbleSize val="0"/>
        </c:dLbls>
        <c:gapWidth val="0"/>
        <c:axId val="1190539424"/>
        <c:axId val="1190543232"/>
      </c:barChart>
      <c:catAx>
        <c:axId val="1190539424"/>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190543232"/>
        <c:crosses val="autoZero"/>
        <c:auto val="1"/>
        <c:lblAlgn val="ctr"/>
        <c:lblOffset val="100"/>
        <c:noMultiLvlLbl val="0"/>
      </c:catAx>
      <c:valAx>
        <c:axId val="119054323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394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464</c:v>
                </c:pt>
              </c:strCache>
            </c:strRef>
          </c:tx>
          <c:spPr>
            <a:solidFill>
              <a:schemeClr val="accent1"/>
            </a:solidFill>
          </c:spPr>
          <c:invertIfNegative val="0"/>
          <c:cat>
            <c:numRef>
              <c:f>'Overall Metrics'!$J$2:$J$41</c:f>
              <c:numCache>
                <c:formatCode>#,##0.00</c:formatCode>
                <c:ptCount val="40"/>
                <c:pt idx="0">
                  <c:v>0</c:v>
                </c:pt>
                <c:pt idx="1">
                  <c:v>19.852941176470587</c:v>
                </c:pt>
                <c:pt idx="2">
                  <c:v>39.705882352941174</c:v>
                </c:pt>
                <c:pt idx="3">
                  <c:v>59.558823529411761</c:v>
                </c:pt>
                <c:pt idx="4">
                  <c:v>79.411764705882348</c:v>
                </c:pt>
                <c:pt idx="5">
                  <c:v>99.264705882352928</c:v>
                </c:pt>
                <c:pt idx="6">
                  <c:v>119.11764705882351</c:v>
                </c:pt>
                <c:pt idx="7">
                  <c:v>138.97058823529409</c:v>
                </c:pt>
                <c:pt idx="8">
                  <c:v>158.82352941176467</c:v>
                </c:pt>
                <c:pt idx="9">
                  <c:v>178.67647058823525</c:v>
                </c:pt>
                <c:pt idx="10">
                  <c:v>198.52941176470583</c:v>
                </c:pt>
                <c:pt idx="11">
                  <c:v>218.38235294117641</c:v>
                </c:pt>
                <c:pt idx="12">
                  <c:v>238.23529411764699</c:v>
                </c:pt>
                <c:pt idx="13">
                  <c:v>258.08823529411757</c:v>
                </c:pt>
                <c:pt idx="14">
                  <c:v>277.94117647058818</c:v>
                </c:pt>
                <c:pt idx="15">
                  <c:v>297.79411764705878</c:v>
                </c:pt>
                <c:pt idx="16">
                  <c:v>317.64705882352939</c:v>
                </c:pt>
                <c:pt idx="17">
                  <c:v>337.5</c:v>
                </c:pt>
                <c:pt idx="18">
                  <c:v>357.35294117647061</c:v>
                </c:pt>
                <c:pt idx="19">
                  <c:v>377.20588235294122</c:v>
                </c:pt>
                <c:pt idx="20">
                  <c:v>397.05882352941182</c:v>
                </c:pt>
                <c:pt idx="21">
                  <c:v>416.91176470588243</c:v>
                </c:pt>
                <c:pt idx="22">
                  <c:v>436.76470588235304</c:v>
                </c:pt>
                <c:pt idx="23">
                  <c:v>456.61764705882365</c:v>
                </c:pt>
                <c:pt idx="24">
                  <c:v>476.47058823529426</c:v>
                </c:pt>
                <c:pt idx="25">
                  <c:v>496.32352941176487</c:v>
                </c:pt>
                <c:pt idx="26">
                  <c:v>516.17647058823547</c:v>
                </c:pt>
                <c:pt idx="27">
                  <c:v>536.02941176470608</c:v>
                </c:pt>
                <c:pt idx="28">
                  <c:v>555.88235294117669</c:v>
                </c:pt>
                <c:pt idx="29">
                  <c:v>575.7352941176473</c:v>
                </c:pt>
                <c:pt idx="30">
                  <c:v>595.58823529411791</c:v>
                </c:pt>
                <c:pt idx="31">
                  <c:v>615.44117647058852</c:v>
                </c:pt>
                <c:pt idx="32">
                  <c:v>635.29411764705912</c:v>
                </c:pt>
                <c:pt idx="33">
                  <c:v>655.14705882352973</c:v>
                </c:pt>
                <c:pt idx="34">
                  <c:v>675</c:v>
                </c:pt>
              </c:numCache>
            </c:numRef>
          </c:cat>
          <c:val>
            <c:numRef>
              <c:f>'Overall Metrics'!$K$2:$K$41</c:f>
              <c:numCache>
                <c:formatCode>General</c:formatCode>
                <c:ptCount val="40"/>
                <c:pt idx="0">
                  <c:v>464</c:v>
                </c:pt>
                <c:pt idx="1">
                  <c:v>4</c:v>
                </c:pt>
                <c:pt idx="2">
                  <c:v>5</c:v>
                </c:pt>
                <c:pt idx="3">
                  <c:v>1</c:v>
                </c:pt>
                <c:pt idx="4">
                  <c:v>1</c:v>
                </c:pt>
                <c:pt idx="5">
                  <c:v>1</c:v>
                </c:pt>
                <c:pt idx="6">
                  <c:v>1</c:v>
                </c:pt>
                <c:pt idx="7">
                  <c:v>0</c:v>
                </c:pt>
                <c:pt idx="8">
                  <c:v>1</c:v>
                </c:pt>
                <c:pt idx="9">
                  <c:v>1</c:v>
                </c:pt>
                <c:pt idx="10">
                  <c:v>1</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1</c:v>
                </c:pt>
                <c:pt idx="27">
                  <c:v>0</c:v>
                </c:pt>
                <c:pt idx="28">
                  <c:v>0</c:v>
                </c:pt>
                <c:pt idx="29">
                  <c:v>0</c:v>
                </c:pt>
                <c:pt idx="30">
                  <c:v>0</c:v>
                </c:pt>
                <c:pt idx="31">
                  <c:v>0</c:v>
                </c:pt>
                <c:pt idx="32">
                  <c:v>0</c:v>
                </c:pt>
                <c:pt idx="33">
                  <c:v>0</c:v>
                </c:pt>
                <c:pt idx="34">
                  <c:v>1</c:v>
                </c:pt>
              </c:numCache>
            </c:numRef>
          </c:val>
          <c:extLst>
            <c:ext xmlns:c16="http://schemas.microsoft.com/office/drawing/2014/chart" uri="{C3380CC4-5D6E-409C-BE32-E72D297353CC}">
              <c16:uniqueId val="{00000000-B4DB-4148-BBF4-7C2E79FDCA48}"/>
            </c:ext>
          </c:extLst>
        </c:ser>
        <c:dLbls>
          <c:showLegendKey val="0"/>
          <c:showVal val="0"/>
          <c:showCatName val="0"/>
          <c:showSerName val="0"/>
          <c:showPercent val="0"/>
          <c:showBubbleSize val="0"/>
        </c:dLbls>
        <c:gapWidth val="0"/>
        <c:axId val="1190543776"/>
        <c:axId val="1190548128"/>
      </c:barChart>
      <c:catAx>
        <c:axId val="1190543776"/>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90548128"/>
        <c:crosses val="autoZero"/>
        <c:auto val="1"/>
        <c:lblAlgn val="ctr"/>
        <c:lblOffset val="100"/>
        <c:noMultiLvlLbl val="0"/>
      </c:catAx>
      <c:valAx>
        <c:axId val="119054812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37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103</c:v>
                </c:pt>
              </c:strCache>
            </c:strRef>
          </c:tx>
          <c:spPr>
            <a:solidFill>
              <a:schemeClr val="accent1"/>
            </a:solidFill>
          </c:spPr>
          <c:invertIfNegative val="0"/>
          <c:cat>
            <c:numRef>
              <c:f>'Overall Metrics'!$L$2:$L$41</c:f>
              <c:numCache>
                <c:formatCode>#,##0.00</c:formatCode>
                <c:ptCount val="40"/>
                <c:pt idx="0">
                  <c:v>0</c:v>
                </c:pt>
                <c:pt idx="1">
                  <c:v>1.1098823529411765E-3</c:v>
                </c:pt>
                <c:pt idx="2">
                  <c:v>2.2197647058823529E-3</c:v>
                </c:pt>
                <c:pt idx="3">
                  <c:v>3.3296470588235292E-3</c:v>
                </c:pt>
                <c:pt idx="4">
                  <c:v>4.4395294117647059E-3</c:v>
                </c:pt>
                <c:pt idx="5">
                  <c:v>5.5494117647058826E-3</c:v>
                </c:pt>
                <c:pt idx="6">
                  <c:v>6.6592941176470593E-3</c:v>
                </c:pt>
                <c:pt idx="7">
                  <c:v>7.7691764705882359E-3</c:v>
                </c:pt>
                <c:pt idx="8">
                  <c:v>8.8790588235294118E-3</c:v>
                </c:pt>
                <c:pt idx="9">
                  <c:v>9.9889411764705876E-3</c:v>
                </c:pt>
                <c:pt idx="10">
                  <c:v>1.1098823529411763E-2</c:v>
                </c:pt>
                <c:pt idx="11">
                  <c:v>1.2208705882352939E-2</c:v>
                </c:pt>
                <c:pt idx="12">
                  <c:v>1.3318588235294115E-2</c:v>
                </c:pt>
                <c:pt idx="13">
                  <c:v>1.4428470588235291E-2</c:v>
                </c:pt>
                <c:pt idx="14">
                  <c:v>1.5538352941176467E-2</c:v>
                </c:pt>
                <c:pt idx="15">
                  <c:v>1.6648235294117644E-2</c:v>
                </c:pt>
                <c:pt idx="16">
                  <c:v>1.775811764705882E-2</c:v>
                </c:pt>
                <c:pt idx="17">
                  <c:v>1.8867999999999996E-2</c:v>
                </c:pt>
                <c:pt idx="18">
                  <c:v>1.9977882352941172E-2</c:v>
                </c:pt>
                <c:pt idx="19">
                  <c:v>2.1087764705882348E-2</c:v>
                </c:pt>
                <c:pt idx="20">
                  <c:v>2.2197647058823523E-2</c:v>
                </c:pt>
                <c:pt idx="21">
                  <c:v>2.3307529411764699E-2</c:v>
                </c:pt>
                <c:pt idx="22">
                  <c:v>2.4417411764705875E-2</c:v>
                </c:pt>
                <c:pt idx="23">
                  <c:v>2.5527294117647051E-2</c:v>
                </c:pt>
                <c:pt idx="24">
                  <c:v>2.6637176470588227E-2</c:v>
                </c:pt>
                <c:pt idx="25">
                  <c:v>2.7747058823529402E-2</c:v>
                </c:pt>
                <c:pt idx="26">
                  <c:v>2.8856941176470578E-2</c:v>
                </c:pt>
                <c:pt idx="27">
                  <c:v>2.9966823529411754E-2</c:v>
                </c:pt>
                <c:pt idx="28">
                  <c:v>3.107670588235293E-2</c:v>
                </c:pt>
                <c:pt idx="29">
                  <c:v>3.2186588235294106E-2</c:v>
                </c:pt>
                <c:pt idx="30">
                  <c:v>3.3296470588235282E-2</c:v>
                </c:pt>
                <c:pt idx="31">
                  <c:v>3.4406352941176457E-2</c:v>
                </c:pt>
                <c:pt idx="32">
                  <c:v>3.5516235294117633E-2</c:v>
                </c:pt>
                <c:pt idx="33">
                  <c:v>3.6626117647058809E-2</c:v>
                </c:pt>
                <c:pt idx="34">
                  <c:v>3.7735999999999999E-2</c:v>
                </c:pt>
              </c:numCache>
            </c:numRef>
          </c:cat>
          <c:val>
            <c:numRef>
              <c:f>'Overall Metrics'!$M$2:$M$41</c:f>
              <c:numCache>
                <c:formatCode>General</c:formatCode>
                <c:ptCount val="40"/>
                <c:pt idx="0">
                  <c:v>103</c:v>
                </c:pt>
                <c:pt idx="1">
                  <c:v>146</c:v>
                </c:pt>
                <c:pt idx="2">
                  <c:v>26</c:v>
                </c:pt>
                <c:pt idx="3">
                  <c:v>39</c:v>
                </c:pt>
                <c:pt idx="4">
                  <c:v>29</c:v>
                </c:pt>
                <c:pt idx="5">
                  <c:v>18</c:v>
                </c:pt>
                <c:pt idx="6">
                  <c:v>8</c:v>
                </c:pt>
                <c:pt idx="7">
                  <c:v>8</c:v>
                </c:pt>
                <c:pt idx="8">
                  <c:v>18</c:v>
                </c:pt>
                <c:pt idx="9">
                  <c:v>9</c:v>
                </c:pt>
                <c:pt idx="10">
                  <c:v>8</c:v>
                </c:pt>
                <c:pt idx="11">
                  <c:v>1</c:v>
                </c:pt>
                <c:pt idx="12">
                  <c:v>4</c:v>
                </c:pt>
                <c:pt idx="13">
                  <c:v>26</c:v>
                </c:pt>
                <c:pt idx="14">
                  <c:v>0</c:v>
                </c:pt>
                <c:pt idx="15">
                  <c:v>4</c:v>
                </c:pt>
                <c:pt idx="16">
                  <c:v>4</c:v>
                </c:pt>
                <c:pt idx="17">
                  <c:v>5</c:v>
                </c:pt>
                <c:pt idx="18">
                  <c:v>2</c:v>
                </c:pt>
                <c:pt idx="19">
                  <c:v>11</c:v>
                </c:pt>
                <c:pt idx="20">
                  <c:v>0</c:v>
                </c:pt>
                <c:pt idx="21">
                  <c:v>4</c:v>
                </c:pt>
                <c:pt idx="22">
                  <c:v>2</c:v>
                </c:pt>
                <c:pt idx="23">
                  <c:v>4</c:v>
                </c:pt>
                <c:pt idx="24">
                  <c:v>0</c:v>
                </c:pt>
                <c:pt idx="25">
                  <c:v>0</c:v>
                </c:pt>
                <c:pt idx="26">
                  <c:v>1</c:v>
                </c:pt>
                <c:pt idx="27">
                  <c:v>0</c:v>
                </c:pt>
                <c:pt idx="28">
                  <c:v>0</c:v>
                </c:pt>
                <c:pt idx="29">
                  <c:v>1</c:v>
                </c:pt>
                <c:pt idx="30">
                  <c:v>0</c:v>
                </c:pt>
                <c:pt idx="31">
                  <c:v>0</c:v>
                </c:pt>
                <c:pt idx="32">
                  <c:v>0</c:v>
                </c:pt>
                <c:pt idx="33">
                  <c:v>0</c:v>
                </c:pt>
                <c:pt idx="34">
                  <c:v>1</c:v>
                </c:pt>
              </c:numCache>
            </c:numRef>
          </c:val>
          <c:extLst>
            <c:ext xmlns:c16="http://schemas.microsoft.com/office/drawing/2014/chart" uri="{C3380CC4-5D6E-409C-BE32-E72D297353CC}">
              <c16:uniqueId val="{00000000-2811-4D14-8FE5-19FD91E38FF3}"/>
            </c:ext>
          </c:extLst>
        </c:ser>
        <c:dLbls>
          <c:showLegendKey val="0"/>
          <c:showVal val="0"/>
          <c:showCatName val="0"/>
          <c:showSerName val="0"/>
          <c:showPercent val="0"/>
          <c:showBubbleSize val="0"/>
        </c:dLbls>
        <c:gapWidth val="0"/>
        <c:axId val="1190536704"/>
        <c:axId val="1190549760"/>
      </c:barChart>
      <c:catAx>
        <c:axId val="1190536704"/>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90549760"/>
        <c:crosses val="autoZero"/>
        <c:auto val="1"/>
        <c:lblAlgn val="ctr"/>
        <c:lblOffset val="100"/>
        <c:noMultiLvlLbl val="0"/>
      </c:catAx>
      <c:valAx>
        <c:axId val="119054976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367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Metrics'!$O$2:$O$41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717A-4487-9150-9519EAFF3A3B}"/>
            </c:ext>
          </c:extLst>
        </c:ser>
        <c:dLbls>
          <c:showLegendKey val="0"/>
          <c:showVal val="0"/>
          <c:showCatName val="0"/>
          <c:showSerName val="0"/>
          <c:showPercent val="0"/>
          <c:showBubbleSize val="0"/>
        </c:dLbls>
        <c:gapWidth val="0"/>
        <c:axId val="1190544320"/>
        <c:axId val="1190548672"/>
      </c:barChart>
      <c:catAx>
        <c:axId val="1190544320"/>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90548672"/>
        <c:crosses val="autoZero"/>
        <c:auto val="1"/>
        <c:lblAlgn val="ctr"/>
        <c:lblOffset val="100"/>
        <c:noMultiLvlLbl val="0"/>
      </c:catAx>
      <c:valAx>
        <c:axId val="119054867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432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Metrics'!$S$2:$S$41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1070-498F-9EB9-E9F313FF1A41}"/>
            </c:ext>
          </c:extLst>
        </c:ser>
        <c:dLbls>
          <c:showLegendKey val="0"/>
          <c:showVal val="0"/>
          <c:showCatName val="0"/>
          <c:showSerName val="0"/>
          <c:showPercent val="0"/>
          <c:showBubbleSize val="0"/>
        </c:dLbls>
        <c:gapWidth val="0"/>
        <c:axId val="1190545408"/>
        <c:axId val="1190545952"/>
      </c:barChart>
      <c:catAx>
        <c:axId val="1190545408"/>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90545952"/>
        <c:crosses val="autoZero"/>
        <c:auto val="1"/>
        <c:lblAlgn val="ctr"/>
        <c:lblOffset val="100"/>
        <c:noMultiLvlLbl val="0"/>
      </c:catAx>
      <c:valAx>
        <c:axId val="119054595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540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Metrics'!$Q$2:$Q$41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E425-47ED-820A-8DB82DADCDAA}"/>
            </c:ext>
          </c:extLst>
        </c:ser>
        <c:dLbls>
          <c:showLegendKey val="0"/>
          <c:showVal val="0"/>
          <c:showCatName val="0"/>
          <c:showSerName val="0"/>
          <c:showPercent val="0"/>
          <c:showBubbleSize val="0"/>
        </c:dLbls>
        <c:gapWidth val="0"/>
        <c:axId val="1190546496"/>
        <c:axId val="1190547040"/>
      </c:barChart>
      <c:catAx>
        <c:axId val="1190546496"/>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90547040"/>
        <c:crosses val="autoZero"/>
        <c:auto val="1"/>
        <c:lblAlgn val="ctr"/>
        <c:lblOffset val="100"/>
        <c:noMultiLvlLbl val="0"/>
      </c:catAx>
      <c:valAx>
        <c:axId val="119054704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649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5</c:v>
                </c:pt>
              </c:strCache>
            </c:strRef>
          </c:tx>
          <c:spPr>
            <a:solidFill>
              <a:schemeClr val="accent1"/>
            </a:solidFill>
          </c:spPr>
          <c:invertIfNegative val="0"/>
          <c:cat>
            <c:numRef>
              <c:f>'Overall Metrics'!$T$2:$T$41</c:f>
              <c:numCache>
                <c:formatCode>#,##0.00</c:formatCode>
                <c:ptCount val="40"/>
                <c:pt idx="0">
                  <c:v>39168.447280092594</c:v>
                </c:pt>
                <c:pt idx="1">
                  <c:v>39354.830384667759</c:v>
                </c:pt>
                <c:pt idx="2">
                  <c:v>39541.213489242924</c:v>
                </c:pt>
                <c:pt idx="3">
                  <c:v>39727.596593818089</c:v>
                </c:pt>
                <c:pt idx="4">
                  <c:v>39913.979698393254</c:v>
                </c:pt>
                <c:pt idx="5">
                  <c:v>40100.362802968419</c:v>
                </c:pt>
                <c:pt idx="6">
                  <c:v>40286.745907543584</c:v>
                </c:pt>
                <c:pt idx="7">
                  <c:v>40473.129012118749</c:v>
                </c:pt>
                <c:pt idx="8">
                  <c:v>40659.512116693913</c:v>
                </c:pt>
                <c:pt idx="9">
                  <c:v>40845.895221269078</c:v>
                </c:pt>
                <c:pt idx="10">
                  <c:v>41032.278325844243</c:v>
                </c:pt>
                <c:pt idx="11">
                  <c:v>41218.661430419408</c:v>
                </c:pt>
                <c:pt idx="12">
                  <c:v>41405.044534994573</c:v>
                </c:pt>
                <c:pt idx="13">
                  <c:v>41591.427639569738</c:v>
                </c:pt>
                <c:pt idx="14">
                  <c:v>41777.810744144903</c:v>
                </c:pt>
                <c:pt idx="15">
                  <c:v>41964.193848720068</c:v>
                </c:pt>
                <c:pt idx="16">
                  <c:v>42150.576953295233</c:v>
                </c:pt>
                <c:pt idx="17">
                  <c:v>42336.960057870398</c:v>
                </c:pt>
                <c:pt idx="18">
                  <c:v>42523.343162445562</c:v>
                </c:pt>
                <c:pt idx="19">
                  <c:v>42709.726267020727</c:v>
                </c:pt>
                <c:pt idx="20">
                  <c:v>42896.109371595892</c:v>
                </c:pt>
                <c:pt idx="21">
                  <c:v>43082.492476171057</c:v>
                </c:pt>
                <c:pt idx="22">
                  <c:v>43268.875580746222</c:v>
                </c:pt>
                <c:pt idx="23">
                  <c:v>43455.258685321387</c:v>
                </c:pt>
                <c:pt idx="24">
                  <c:v>43641.641789896552</c:v>
                </c:pt>
                <c:pt idx="25">
                  <c:v>43828.024894471717</c:v>
                </c:pt>
                <c:pt idx="26">
                  <c:v>44014.407999046882</c:v>
                </c:pt>
                <c:pt idx="27">
                  <c:v>44200.791103622047</c:v>
                </c:pt>
                <c:pt idx="28">
                  <c:v>44387.174208197212</c:v>
                </c:pt>
                <c:pt idx="29">
                  <c:v>44573.557312772376</c:v>
                </c:pt>
                <c:pt idx="30">
                  <c:v>44759.940417347541</c:v>
                </c:pt>
                <c:pt idx="31">
                  <c:v>44946.323521922706</c:v>
                </c:pt>
                <c:pt idx="32">
                  <c:v>45132.706626497871</c:v>
                </c:pt>
                <c:pt idx="33">
                  <c:v>45319.089731073036</c:v>
                </c:pt>
                <c:pt idx="34">
                  <c:v>45505.47283564815</c:v>
                </c:pt>
              </c:numCache>
            </c:numRef>
          </c:cat>
          <c:val>
            <c:numRef>
              <c:f>'Overall Metrics'!$U$2:$U$41</c:f>
              <c:numCache>
                <c:formatCode>General</c:formatCode>
                <c:ptCount val="40"/>
                <c:pt idx="0">
                  <c:v>5</c:v>
                </c:pt>
                <c:pt idx="1">
                  <c:v>2</c:v>
                </c:pt>
                <c:pt idx="2">
                  <c:v>3</c:v>
                </c:pt>
                <c:pt idx="3">
                  <c:v>14</c:v>
                </c:pt>
                <c:pt idx="4">
                  <c:v>35</c:v>
                </c:pt>
                <c:pt idx="5">
                  <c:v>28</c:v>
                </c:pt>
                <c:pt idx="6">
                  <c:v>35</c:v>
                </c:pt>
                <c:pt idx="7">
                  <c:v>29</c:v>
                </c:pt>
                <c:pt idx="8">
                  <c:v>19</c:v>
                </c:pt>
                <c:pt idx="9">
                  <c:v>30</c:v>
                </c:pt>
                <c:pt idx="10">
                  <c:v>20</c:v>
                </c:pt>
                <c:pt idx="11">
                  <c:v>19</c:v>
                </c:pt>
                <c:pt idx="12">
                  <c:v>15</c:v>
                </c:pt>
                <c:pt idx="13">
                  <c:v>11</c:v>
                </c:pt>
                <c:pt idx="14">
                  <c:v>11</c:v>
                </c:pt>
                <c:pt idx="15">
                  <c:v>14</c:v>
                </c:pt>
                <c:pt idx="16">
                  <c:v>9</c:v>
                </c:pt>
                <c:pt idx="17">
                  <c:v>10</c:v>
                </c:pt>
                <c:pt idx="18">
                  <c:v>3</c:v>
                </c:pt>
                <c:pt idx="19">
                  <c:v>11</c:v>
                </c:pt>
                <c:pt idx="20">
                  <c:v>12</c:v>
                </c:pt>
                <c:pt idx="21">
                  <c:v>9</c:v>
                </c:pt>
                <c:pt idx="22">
                  <c:v>9</c:v>
                </c:pt>
                <c:pt idx="23">
                  <c:v>7</c:v>
                </c:pt>
                <c:pt idx="24">
                  <c:v>8</c:v>
                </c:pt>
                <c:pt idx="25">
                  <c:v>11</c:v>
                </c:pt>
                <c:pt idx="26">
                  <c:v>17</c:v>
                </c:pt>
                <c:pt idx="27">
                  <c:v>9</c:v>
                </c:pt>
                <c:pt idx="28">
                  <c:v>12</c:v>
                </c:pt>
                <c:pt idx="29">
                  <c:v>19</c:v>
                </c:pt>
                <c:pt idx="30">
                  <c:v>14</c:v>
                </c:pt>
                <c:pt idx="31">
                  <c:v>14</c:v>
                </c:pt>
                <c:pt idx="32">
                  <c:v>3</c:v>
                </c:pt>
                <c:pt idx="33">
                  <c:v>14</c:v>
                </c:pt>
                <c:pt idx="34">
                  <c:v>1</c:v>
                </c:pt>
              </c:numCache>
            </c:numRef>
          </c:val>
          <c:extLst>
            <c:ext xmlns:c16="http://schemas.microsoft.com/office/drawing/2014/chart" uri="{C3380CC4-5D6E-409C-BE32-E72D297353CC}">
              <c16:uniqueId val="{00000000-3FBF-49BC-9E57-935634C54B0D}"/>
            </c:ext>
          </c:extLst>
        </c:ser>
        <c:dLbls>
          <c:showLegendKey val="0"/>
          <c:showVal val="0"/>
          <c:showCatName val="0"/>
          <c:showSerName val="0"/>
          <c:showPercent val="0"/>
          <c:showBubbleSize val="0"/>
        </c:dLbls>
        <c:gapWidth val="0"/>
        <c:axId val="1190549216"/>
        <c:axId val="1190550304"/>
      </c:barChart>
      <c:catAx>
        <c:axId val="1190549216"/>
        <c:scaling>
          <c:orientation val="minMax"/>
        </c:scaling>
        <c:delete val="1"/>
        <c:axPos val="b"/>
        <c:numFmt formatCode="#,##0.00" sourceLinked="1"/>
        <c:majorTickMark val="out"/>
        <c:minorTickMark val="none"/>
        <c:tickLblPos val="none"/>
        <c:crossAx val="1190550304"/>
        <c:crosses val="autoZero"/>
        <c:auto val="1"/>
        <c:lblAlgn val="ctr"/>
        <c:lblOffset val="100"/>
        <c:noMultiLvlLbl val="0"/>
      </c:catAx>
      <c:valAx>
        <c:axId val="1190550304"/>
        <c:scaling>
          <c:orientation val="minMax"/>
        </c:scaling>
        <c:delete val="1"/>
        <c:axPos val="l"/>
        <c:numFmt formatCode="General" sourceLinked="1"/>
        <c:majorTickMark val="out"/>
        <c:minorTickMark val="none"/>
        <c:tickLblPos val="none"/>
        <c:crossAx val="1190549216"/>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65</xdr:row>
      <xdr:rowOff>38100</xdr:rowOff>
    </xdr:from>
    <xdr:to>
      <xdr:col>1</xdr:col>
      <xdr:colOff>918209</xdr:colOff>
      <xdr:row>72</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79</xdr:row>
      <xdr:rowOff>38100</xdr:rowOff>
    </xdr:from>
    <xdr:to>
      <xdr:col>1</xdr:col>
      <xdr:colOff>918209</xdr:colOff>
      <xdr:row>86</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93</xdr:row>
      <xdr:rowOff>28575</xdr:rowOff>
    </xdr:from>
    <xdr:to>
      <xdr:col>1</xdr:col>
      <xdr:colOff>918209</xdr:colOff>
      <xdr:row>100</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107</xdr:row>
      <xdr:rowOff>9525</xdr:rowOff>
    </xdr:from>
    <xdr:to>
      <xdr:col>1</xdr:col>
      <xdr:colOff>918210</xdr:colOff>
      <xdr:row>114</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121</xdr:row>
      <xdr:rowOff>19050</xdr:rowOff>
    </xdr:from>
    <xdr:to>
      <xdr:col>2</xdr:col>
      <xdr:colOff>0</xdr:colOff>
      <xdr:row>128</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135</xdr:row>
      <xdr:rowOff>19050</xdr:rowOff>
    </xdr:from>
    <xdr:to>
      <xdr:col>1</xdr:col>
      <xdr:colOff>918210</xdr:colOff>
      <xdr:row>142</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163</xdr:row>
      <xdr:rowOff>9525</xdr:rowOff>
    </xdr:from>
    <xdr:to>
      <xdr:col>1</xdr:col>
      <xdr:colOff>918210</xdr:colOff>
      <xdr:row>170</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149</xdr:row>
      <xdr:rowOff>0</xdr:rowOff>
    </xdr:from>
    <xdr:to>
      <xdr:col>1</xdr:col>
      <xdr:colOff>918210</xdr:colOff>
      <xdr:row>156</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dges" displayName="Edges" ref="A2:BL500" totalsRowShown="0" headerRowDxfId="188" dataDxfId="187">
  <autoFilter ref="A2:BL500" xr:uid="{00000000-0009-0000-0100-000001000000}"/>
  <sortState xmlns:xlrd2="http://schemas.microsoft.com/office/spreadsheetml/2017/richdata2" ref="A3:BJ500">
    <sortCondition descending="1" ref="W2:W500"/>
  </sortState>
  <tableColumns count="64">
    <tableColumn id="1" xr3:uid="{00000000-0010-0000-0000-000001000000}" name="Vertex 1" dataDxfId="186" dataCellStyle="NodeXL Required"/>
    <tableColumn id="2" xr3:uid="{00000000-0010-0000-0000-000002000000}" name="Vertex 2" dataDxfId="185" dataCellStyle="NodeXL Required"/>
    <tableColumn id="3" xr3:uid="{00000000-0010-0000-0000-000003000000}" name="Color" dataDxfId="184" dataCellStyle="NodeXL Visual Property"/>
    <tableColumn id="4" xr3:uid="{00000000-0010-0000-0000-000004000000}" name="Width" dataDxfId="183" dataCellStyle="NodeXL Visual Property"/>
    <tableColumn id="11" xr3:uid="{00000000-0010-0000-0000-00000B000000}" name="Style" dataDxfId="182" dataCellStyle="NodeXL Visual Property"/>
    <tableColumn id="5" xr3:uid="{00000000-0010-0000-0000-000005000000}" name="Opacity" dataDxfId="181" dataCellStyle="NodeXL Visual Property"/>
    <tableColumn id="6" xr3:uid="{00000000-0010-0000-0000-000006000000}" name="Visibility" dataDxfId="180" dataCellStyle="NodeXL Visual Property"/>
    <tableColumn id="10" xr3:uid="{00000000-0010-0000-0000-00000A000000}" name="Label" dataDxfId="179" dataCellStyle="NodeXL Label"/>
    <tableColumn id="12" xr3:uid="{00000000-0010-0000-0000-00000C000000}" name="Label Text Color" dataDxfId="178" dataCellStyle="NodeXL Label"/>
    <tableColumn id="13" xr3:uid="{00000000-0010-0000-0000-00000D000000}" name="Label Font Size" dataDxfId="177" dataCellStyle="NodeXL Label"/>
    <tableColumn id="14" xr3:uid="{00000000-0010-0000-0000-00000E000000}" name="Reciprocated?" dataDxfId="176" dataCellStyle="NodeXL Graph Metric"/>
    <tableColumn id="7" xr3:uid="{00000000-0010-0000-0000-000007000000}" name="ID" dataDxfId="175" dataCellStyle="NodeXL Do Not Edit"/>
    <tableColumn id="9" xr3:uid="{00000000-0010-0000-0000-000009000000}" name="Dynamic Filter" dataDxfId="174" dataCellStyle="NodeXL Do Not Edit">
      <calculatedColumnFormula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calculatedColumnFormula>
    </tableColumn>
    <tableColumn id="8" xr3:uid="{00000000-0010-0000-0000-000008000000}" name="Add Your Own Columns Here" dataDxfId="173" dataCellStyle="NodeXL Other Column"/>
    <tableColumn id="15" xr3:uid="{4A24D1EF-210E-42F8-8134-7F0D710E1384}" name="Relationship" dataDxfId="172" dataCellStyle="Normal"/>
    <tableColumn id="16" xr3:uid="{FE06101A-EA63-42CD-B73A-2A127BB677EC}" name="Relationship Date (UTC)" dataDxfId="171" dataCellStyle="Normal"/>
    <tableColumn id="17" xr3:uid="{500F537B-A5D7-45AF-92F2-4669B37C6B73}" name="Tweet" dataDxfId="170" dataCellStyle="Normal"/>
    <tableColumn id="18" xr3:uid="{506242D0-A8D7-4B26-873A-826DF2A88203}" name="Added by Reference from Another Message" dataDxfId="169" dataCellStyle="Normal"/>
    <tableColumn id="19" xr3:uid="{1BCEBEE2-6CC1-44AA-A434-06F02650F6BC}" name="Retweet Count" dataDxfId="168" dataCellStyle="Normal"/>
    <tableColumn id="20" xr3:uid="{C1DA9907-40FF-4686-9DF9-0A5A1162557D}" name="Favorite Count" dataDxfId="167" dataCellStyle="Normal"/>
    <tableColumn id="21" xr3:uid="{29CF9338-D4D9-46D5-B5C5-D7D4AA30C636}" name="Reply Count" dataDxfId="166" dataCellStyle="Normal"/>
    <tableColumn id="22" xr3:uid="{A16043C7-1C58-4121-97F6-4270D9CA4672}" name="Quote Count" dataDxfId="165" dataCellStyle="Normal"/>
    <tableColumn id="23" xr3:uid="{E34EAB3C-97E3-4ECC-8D70-665178630132}" name="Impression Count" dataDxfId="164" dataCellStyle="Normal"/>
    <tableColumn id="24" xr3:uid="{8157424C-1154-4CEF-8B42-B2578A77E87E}" name="Hashtags in Tweet" dataDxfId="163" dataCellStyle="Normal"/>
    <tableColumn id="25" xr3:uid="{DD35EFC4-65B9-473C-B681-F9D28202A661}" name="URLs in Tweet" dataDxfId="162" dataCellStyle="Normal"/>
    <tableColumn id="26" xr3:uid="{08F38BEC-D3F2-47DB-9851-8352A6B6E00D}" name="Domains in Tweet" dataDxfId="161" dataCellStyle="Normal"/>
    <tableColumn id="27" xr3:uid="{DF715D5D-D6DD-452B-8EC1-72FD4C7111CB}" name="Mentions in Tweet" dataDxfId="160" dataCellStyle="Normal"/>
    <tableColumn id="28" xr3:uid="{3EF84B4F-1FE2-41A5-BF32-4AB9C60C4AEA}" name="Media in Tweet" dataDxfId="159" dataCellStyle="Normal"/>
    <tableColumn id="29" xr3:uid="{805571A5-4A64-47C1-BDD7-3A4725BFD305}" name="Media Type" dataDxfId="158" dataCellStyle="Normal"/>
    <tableColumn id="30" xr3:uid="{CB88F2C2-CE90-4616-86B0-589DCBB6DCC3}" name="Source" dataDxfId="157" dataCellStyle="Normal"/>
    <tableColumn id="31" xr3:uid="{6B8E577A-C3F8-4560-BB80-7264B370523D}" name="Language" dataDxfId="156" dataCellStyle="Normal"/>
    <tableColumn id="32" xr3:uid="{D63C1198-8FB8-4FCF-A382-6E4977972B61}" name="Twitter Page for Tweet" dataDxfId="155" dataCellStyle="Normal"/>
    <tableColumn id="33" xr3:uid="{1387F97A-2C27-4B60-AF2E-4B0459072EA2}" name="Tweet Date (UTC)" dataDxfId="154" dataCellStyle="Normal"/>
    <tableColumn id="34" xr3:uid="{142D7019-0A1B-4DDE-88EA-B4C682059544}" name="Date" dataDxfId="153" dataCellStyle="Normal"/>
    <tableColumn id="35" xr3:uid="{E1E5AEB7-0416-4815-B8E4-A42F23E3AD20}" name="Time" dataDxfId="152" dataCellStyle="Normal"/>
    <tableColumn id="36" xr3:uid="{451D8B58-3673-4CBE-8625-E1DCCA2B13A8}" name="Possibly Sensitive" dataDxfId="151" dataCellStyle="Normal"/>
    <tableColumn id="37" xr3:uid="{8BD9224B-C289-4C6E-8ACE-3EF38C1D7B9F}" name="Place Bounding Box" dataDxfId="150" dataCellStyle="Normal"/>
    <tableColumn id="38" xr3:uid="{98E3836E-4055-4994-ACBD-1299564259B8}" name="Place Country" dataDxfId="149" dataCellStyle="Normal"/>
    <tableColumn id="39" xr3:uid="{B3D9C23F-DE4C-48A5-93FD-9798C00659EA}" name="Place Country Code" dataDxfId="148" dataCellStyle="Normal"/>
    <tableColumn id="40" xr3:uid="{68EF8528-E91D-44D9-82CE-DD22F47ECCD8}" name="Place Full Name" dataDxfId="147" dataCellStyle="Normal"/>
    <tableColumn id="41" xr3:uid="{AE9F3838-F425-4FA8-8FBF-3F99F911A404}" name="Place ID" dataDxfId="146" dataCellStyle="Normal"/>
    <tableColumn id="42" xr3:uid="{3541D08B-92F3-444F-88BE-BE7EA4E6DCAB}" name="Place Name" dataDxfId="145" dataCellStyle="Normal"/>
    <tableColumn id="43" xr3:uid="{04C40B27-E9BF-43CF-B1C5-8ECABD37E347}" name="Place Type" dataDxfId="144" dataCellStyle="Normal"/>
    <tableColumn id="44" xr3:uid="{8E031CE1-9A7F-4B31-A42E-6572449352EF}" name="Media Key" dataDxfId="143" dataCellStyle="Normal"/>
    <tableColumn id="45" xr3:uid="{FD251405-ABC8-47CF-B760-844235E19578}" name="Media Duration (ms)" dataDxfId="142" dataCellStyle="Normal"/>
    <tableColumn id="46" xr3:uid="{71F4C9FB-59A5-4058-86AA-E1B019554DE8}" name="Media Height" dataDxfId="141" dataCellStyle="Normal"/>
    <tableColumn id="47" xr3:uid="{62D31865-7F0F-4DA0-A772-69A87FB38785}" name="Media Width" dataDxfId="140" dataCellStyle="Normal"/>
    <tableColumn id="48" xr3:uid="{5C22F706-869D-4265-8C72-331B98A4D1C9}" name="Media View Count" dataDxfId="139" dataCellStyle="Normal"/>
    <tableColumn id="49" xr3:uid="{3D7443C7-2682-4268-9041-F91026376896}" name="Tweet Image File" dataDxfId="138" dataCellStyle="Normal"/>
    <tableColumn id="50" xr3:uid="{49174EF2-B1AE-42BF-9C6C-CB3DB4D282A1}" name="Imported ID" dataDxfId="137" dataCellStyle="Normal"/>
    <tableColumn id="51" xr3:uid="{373E8E2E-D581-40A9-B0BC-53896B7D4106}" name="Conversation ID" dataDxfId="136" dataCellStyle="Normal"/>
    <tableColumn id="52" xr3:uid="{5E770BC7-8E60-4523-80A0-D911E77F0721}" name="In-Reply-To User ID" dataDxfId="135" dataCellStyle="Normal"/>
    <tableColumn id="53" xr3:uid="{29865A8F-CC07-4716-A109-CB2B0AB32212}" name="In-Reply-To Tweet ID" dataDxfId="134" dataCellStyle="Normal"/>
    <tableColumn id="54" xr3:uid="{48427BE4-6DD5-43EC-98A0-9394CC9F83D6}" name="Quoted Status ID" dataDxfId="133" dataCellStyle="Normal"/>
    <tableColumn id="55" xr3:uid="{76BF4CD6-A480-46F4-B61A-2DE925348B97}" name="Retweet ID" dataDxfId="132" dataCellStyle="Normal"/>
    <tableColumn id="56" xr3:uid="{FB119C81-28E9-488B-A3B2-87EEDB7D9CCA}" name="Unified Twitter ID" dataDxfId="131" dataCellStyle="Normal"/>
    <tableColumn id="57" xr3:uid="{FE6D08AB-1AA4-4DC7-A4EF-2182639E8622}" name="Author ID" dataDxfId="130" dataCellStyle="Normal"/>
    <tableColumn id="58" xr3:uid="{5CC0BEEB-20FD-4576-966C-FCA36213052B}" name="Poll ID" dataDxfId="129" dataCellStyle="Normal"/>
    <tableColumn id="59" xr3:uid="{82821456-EA0D-4590-AD75-4B7B3BF7449F}" name="Poll Options" dataDxfId="128" dataCellStyle="Normal"/>
    <tableColumn id="60" xr3:uid="{8396EA04-969F-4E7F-BDF2-F4A7CC2959B3}" name="Poll Duration" dataDxfId="127" dataCellStyle="Normal"/>
    <tableColumn id="61" xr3:uid="{F10406D7-9403-4D9F-B48F-7D088F59C0CD}" name="Poll End Date" dataDxfId="126" dataCellStyle="Normal"/>
    <tableColumn id="62" xr3:uid="{8DD37EFE-7763-490B-A254-DBCC59600E1F}" name="Poll Voting Status" dataDxfId="2" dataCellStyle="Normal"/>
    <tableColumn id="63" xr3:uid="{29C56D66-A7C9-4DC7-BDED-6CA4562ED648}" name="Vertex 1 Group" dataDxfId="1" dataCellStyle="Normal">
      <calculatedColumnFormula>REPLACE(INDEX(GroupVertices[Group], MATCH("~"&amp;Edges[[#This Row],[Vertex 1]],GroupVertices[Vertex],0)),1,1,"")</calculatedColumnFormula>
    </tableColumn>
    <tableColumn id="64" xr3:uid="{D7EABC30-0EDB-4660-B646-1584BF4E201D}" name="Vertex 2 Group" dataDxfId="0" dataCellStyle="Normal">
      <calculatedColumnFormula>REPLACE(INDEX(GroupVertices[Group], MATCH("~"&amp;Edges[[#This Row],[Vertex 2]],GroupVertices[Vertex],0)),1,1,"")</calculatedColumnFormula>
    </tableColumn>
  </tableColumns>
  <tableStyleInfo name="NodeXL Tab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DynamicFilterSettings" displayName="DynamicFilterSettings" ref="M1:P23" totalsRowShown="0" headerRowDxfId="16">
  <autoFilter ref="M1:P23" xr:uid="{00000000-0009-0000-0100-000008000000}"/>
  <tableColumns count="4">
    <tableColumn id="1" xr3:uid="{00000000-0010-0000-0900-000001000000}" name="Table Name"/>
    <tableColumn id="2" xr3:uid="{00000000-0010-0000-0900-000002000000}" name="Column Name"/>
    <tableColumn id="3" xr3:uid="{00000000-0010-0000-0900-000003000000}" name="Selected Minimum"/>
    <tableColumn id="4" xr3:uid="{00000000-0010-0000-0900-000004000000}" name="Selected Maximum"/>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CFC771D-044D-4D6B-8779-408241094B00}" name="ExportOptions" displayName="ExportOptions" ref="A1:B7" totalsRowShown="0" headerRowDxfId="15" dataDxfId="14" dataCellStyle="Normal">
  <autoFilter ref="A1:B7" xr:uid="{2CFC771D-044D-4D6B-8779-408241094B00}"/>
  <tableColumns count="2">
    <tableColumn id="1" xr3:uid="{5ACDA774-3F89-41D3-9AD5-C2EE85CFD2E5}" name="Key" dataDxfId="13" dataCellStyle="Normal"/>
    <tableColumn id="2" xr3:uid="{DEBB86EB-6061-4D56-A273-853DD9414703}" name="Value" dataDxfId="12" dataCellStyle="Normal"/>
  </tableColumns>
  <tableStyleInfo name="NodeXL Tab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rtices" displayName="Vertices" ref="A2:BP484" totalsRowShown="0" headerRowDxfId="125" dataDxfId="124">
  <autoFilter ref="A2:BP484" xr:uid="{00000000-0009-0000-0100-000002000000}"/>
  <sortState xmlns:xlrd2="http://schemas.microsoft.com/office/spreadsheetml/2017/richdata2" ref="A3:BO484">
    <sortCondition descending="1" ref="U2:U484"/>
  </sortState>
  <tableColumns count="68">
    <tableColumn id="1" xr3:uid="{00000000-0010-0000-0100-000001000000}" name="Vertex" dataDxfId="123" dataCellStyle="NodeXL Required"/>
    <tableColumn id="2" xr3:uid="{00000000-0010-0000-0100-000002000000}" name="Color" dataDxfId="122" dataCellStyle="NodeXL Visual Property"/>
    <tableColumn id="5" xr3:uid="{00000000-0010-0000-0100-000005000000}" name="Shape" dataDxfId="121" dataCellStyle="NodeXL Visual Property"/>
    <tableColumn id="6" xr3:uid="{00000000-0010-0000-0100-000006000000}" name="Size" dataDxfId="120" dataCellStyle="NodeXL Visual Property"/>
    <tableColumn id="4" xr3:uid="{00000000-0010-0000-0100-000004000000}" name="Opacity" dataDxfId="119" dataCellStyle="NodeXL Visual Property"/>
    <tableColumn id="7" xr3:uid="{00000000-0010-0000-0100-000007000000}" name="Image File" dataDxfId="118" dataCellStyle="NodeXL Visual Property"/>
    <tableColumn id="3" xr3:uid="{00000000-0010-0000-0100-000003000000}" name="Visibility" dataDxfId="117" dataCellStyle="NodeXL Visual Property"/>
    <tableColumn id="10" xr3:uid="{00000000-0010-0000-0100-00000A000000}" name="Label" dataDxfId="116" dataCellStyle="NodeXL Label"/>
    <tableColumn id="16" xr3:uid="{00000000-0010-0000-0100-000010000000}" name="Label Fill Color" dataDxfId="115" dataCellStyle="NodeXL Label"/>
    <tableColumn id="9" xr3:uid="{00000000-0010-0000-0100-000009000000}" name="Label Position" dataDxfId="114" dataCellStyle="NodeXL Label"/>
    <tableColumn id="8" xr3:uid="{00000000-0010-0000-0100-000008000000}" name="Tooltip" dataDxfId="113" dataCellStyle="NodeXL Label"/>
    <tableColumn id="18" xr3:uid="{00000000-0010-0000-0100-000012000000}" name="Layout Order" dataDxfId="112" dataCellStyle="NodeXL Layout"/>
    <tableColumn id="13" xr3:uid="{00000000-0010-0000-0100-00000D000000}" name="X" dataDxfId="111" dataCellStyle="NodeXL Layout"/>
    <tableColumn id="14" xr3:uid="{00000000-0010-0000-0100-00000E000000}" name="Y" dataDxfId="110" dataCellStyle="NodeXL Layout"/>
    <tableColumn id="12" xr3:uid="{00000000-0010-0000-0100-00000C000000}" name="Locked?" dataDxfId="109" dataCellStyle="NodeXL Layout"/>
    <tableColumn id="19" xr3:uid="{00000000-0010-0000-0100-000013000000}" name="Polar R" dataDxfId="108" dataCellStyle="NodeXL Layout"/>
    <tableColumn id="20" xr3:uid="{00000000-0010-0000-0100-000014000000}" name="Polar Angle" dataDxfId="107" dataCellStyle="NodeXL Layout"/>
    <tableColumn id="21" xr3:uid="{00000000-0010-0000-0100-000015000000}" name="Degree" dataDxfId="106" dataCellStyle="NodeXL Graph Metric"/>
    <tableColumn id="22" xr3:uid="{00000000-0010-0000-0100-000016000000}" name=",,,," dataDxfId="105" dataCellStyle="NodeXL Graph Metric"/>
    <tableColumn id="23" xr3:uid="{00000000-0010-0000-0100-000017000000}" name="Out-Degree" dataDxfId="104" dataCellStyle="NodeXL Graph Metric"/>
    <tableColumn id="24" xr3:uid="{00000000-0010-0000-0100-000018000000}" name="Betweenness Centrality" dataDxfId="103" dataCellStyle="NodeXL Graph Metric"/>
    <tableColumn id="25" xr3:uid="{00000000-0010-0000-0100-000019000000}" name="Closeness Centrality" dataDxfId="102" dataCellStyle="NodeXL Graph Metric"/>
    <tableColumn id="26" xr3:uid="{00000000-0010-0000-0100-00001A000000}" name="Eigenvector Centrality" dataDxfId="101" dataCellStyle="NodeXL Graph Metric"/>
    <tableColumn id="15" xr3:uid="{00000000-0010-0000-0100-00000F000000}" name="PageRank" dataDxfId="100" dataCellStyle="NodeXL Graph Metric"/>
    <tableColumn id="27" xr3:uid="{00000000-0010-0000-0100-00001B000000}" name="Clustering Coefficient" dataDxfId="99" dataCellStyle="NodeXL Graph Metric"/>
    <tableColumn id="29" xr3:uid="{00000000-0010-0000-0100-00001D000000}" name="Reciprocated Vertex Pair Ratio" dataDxfId="98" dataCellStyle="NodeXL Graph Metric"/>
    <tableColumn id="11" xr3:uid="{00000000-0010-0000-0100-00000B000000}" name="ID" dataDxfId="97" dataCellStyle="NodeXL Do Not Edit"/>
    <tableColumn id="28" xr3:uid="{00000000-0010-0000-0100-00001C000000}" name="Dynamic Filter" dataDxfId="96" dataCellStyle="NodeXL Do Not Edit">
      <calculatedColumnFormula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calculatedColumnFormula>
    </tableColumn>
    <tableColumn id="17" xr3:uid="{00000000-0010-0000-0100-000011000000}" name="Add Your Own Columns Here" dataDxfId="95" dataCellStyle="NodeXL Other Column"/>
    <tableColumn id="30" xr3:uid="{31BFEAD8-47FA-4B16-85AB-BEB4E775D49D}" name="Name" dataDxfId="94" dataCellStyle="Normal"/>
    <tableColumn id="31" xr3:uid="{E05665AF-239C-456E-8580-9BA6A211CE59}" name="User ID" dataDxfId="93" dataCellStyle="Normal"/>
    <tableColumn id="32" xr3:uid="{208435D3-D164-440D-86E5-225CF2FD14C3}" name="Followers" dataDxfId="92" dataCellStyle="Normal"/>
    <tableColumn id="33" xr3:uid="{7C64205A-22AC-4DEA-B5C2-B2AA33B9001D}" name="Followed" dataDxfId="91" dataCellStyle="Normal"/>
    <tableColumn id="34" xr3:uid="{0B1894E0-8430-4CBA-86DB-0DBA8C6C513D}" name="Tweets" dataDxfId="90" dataCellStyle="Normal"/>
    <tableColumn id="35" xr3:uid="{048A1910-3D76-4843-BDF1-BAEEE25A9EE3}" name="Listed Count" dataDxfId="89" dataCellStyle="Normal"/>
    <tableColumn id="36" xr3:uid="{DDF37118-3189-4EF9-82E0-F592CD46A387}" name="Favourites Count" dataDxfId="88" dataCellStyle="Normal"/>
    <tableColumn id="37" xr3:uid="{F7C3D17E-B16A-4693-A4D2-6945F7DE739F}" name="Media Count" dataDxfId="87" dataCellStyle="Normal"/>
    <tableColumn id="38" xr3:uid="{00868E12-72F3-4381-92EF-1FD11772682B}" name="Verified" dataDxfId="86" dataCellStyle="Normal"/>
    <tableColumn id="39" xr3:uid="{21257A19-A704-454A-98AF-AE8A4FC9890C}" name="Joined Twitter Date (UTC)" dataDxfId="85" dataCellStyle="Normal"/>
    <tableColumn id="40" xr3:uid="{B2AD84AC-C429-4E7A-A03A-E731733F2D91}" name="Location" dataDxfId="84" dataCellStyle="Normal"/>
    <tableColumn id="41" xr3:uid="{33351EA2-838F-4990-9D96-7CF0A4FA2495}" name="Description" dataDxfId="83" dataCellStyle="Normal"/>
    <tableColumn id="42" xr3:uid="{68D7C3E1-E65A-4B2A-BD56-2BF1CF385283}" name="URLs (Details)" dataDxfId="82" dataCellStyle="Normal"/>
    <tableColumn id="43" xr3:uid="{6B0C805A-30E7-4683-8273-4410FB64A926}" name="Expanded URLs (Details)" dataDxfId="81" dataCellStyle="Normal"/>
    <tableColumn id="44" xr3:uid="{6CFF6EDD-A55A-4734-9522-6C774D514CCC}" name="Display URLs (Details)" dataDxfId="80" dataCellStyle="Normal"/>
    <tableColumn id="45" xr3:uid="{3B4BFC75-79AF-4A6D-89AB-E78EC3548C3D}" name="Description URLs (Details)" dataDxfId="79" dataCellStyle="Normal"/>
    <tableColumn id="46" xr3:uid="{5396F8F3-06F6-4CA7-85C6-2BC4409E6549}" name="Description Expanded URLs (Details)" dataDxfId="78" dataCellStyle="Normal"/>
    <tableColumn id="47" xr3:uid="{08532776-28B2-4DEF-8E25-98543BFC87F7}" name="Description Display URLS (Details)" dataDxfId="77" dataCellStyle="Normal"/>
    <tableColumn id="48" xr3:uid="{1FC40D38-D5AA-4189-9D2E-7B62E4EEB165}" name="Pinned Tweet ID" dataDxfId="76" dataCellStyle="Normal"/>
    <tableColumn id="49" xr3:uid="{ED0E9CA5-7647-4310-91B7-392381A9B354}" name="URL" dataDxfId="75" dataCellStyle="Normal"/>
    <tableColumn id="50" xr3:uid="{CA812BAA-B328-4FB6-B4F9-074096D2D4F1}" name="Is Blue Verified" dataDxfId="74" dataCellStyle="Normal"/>
    <tableColumn id="51" xr3:uid="{708E4E09-1EB7-4108-9F53-33F07590052F}" name="You Are Followed By" dataDxfId="73" dataCellStyle="Normal"/>
    <tableColumn id="52" xr3:uid="{2CE0B5C0-E6D0-4E9B-887E-38CDC740C1E4}" name="You Are Following" dataDxfId="72" dataCellStyle="Normal"/>
    <tableColumn id="53" xr3:uid="{1A776318-E20E-4274-8B2D-698000906F81}" name="Can DM" dataDxfId="71" dataCellStyle="Normal"/>
    <tableColumn id="54" xr3:uid="{EFCBA053-8302-4FB6-A2C1-64E7AF280483}" name="Can Media Tag" dataDxfId="70" dataCellStyle="Normal"/>
    <tableColumn id="55" xr3:uid="{FD4BFA72-C380-4DD3-A917-F4C222D0D038}" name="Default Profile" dataDxfId="69" dataCellStyle="Normal"/>
    <tableColumn id="56" xr3:uid="{B8992A8B-931F-4690-8E50-0F2B7CFDFDE0}" name="Default Profile Image" dataDxfId="68" dataCellStyle="Normal"/>
    <tableColumn id="57" xr3:uid="{FCEADD8A-288A-4EEC-A597-937FD183A0A5}" name="Has Custom Timelines" dataDxfId="67" dataCellStyle="Normal"/>
    <tableColumn id="58" xr3:uid="{BE8F7772-3EC6-4E66-B0D2-82A4C0B433F2}" name="Is Translator" dataDxfId="66" dataCellStyle="Normal"/>
    <tableColumn id="59" xr3:uid="{525EDF29-0BA9-44B4-8AFE-99A0FA8330B2}" name="Possibly Sensitive" dataDxfId="65" dataCellStyle="Normal"/>
    <tableColumn id="60" xr3:uid="{9385E5B5-C6D7-4F6E-B02F-73138BF3C8F5}" name="Profile Banner URL" dataDxfId="64" dataCellStyle="Normal"/>
    <tableColumn id="61" xr3:uid="{4862C973-265B-4976-8764-FB77F7657782}" name="Profile Interstitial Type" dataDxfId="63" dataCellStyle="Normal"/>
    <tableColumn id="62" xr3:uid="{F11EAF7F-C951-49BF-8F81-267633780ACA}" name="Translator Type" dataDxfId="62" dataCellStyle="Normal"/>
    <tableColumn id="63" xr3:uid="{E5B0DE52-26FD-45A8-AAE0-F1C1B8F0590C}" name="Want Retweets" dataDxfId="61" dataCellStyle="Normal"/>
    <tableColumn id="64" xr3:uid="{0E8893C0-6874-4F18-93E8-5BE26C2B69F5}" name="Withheld" dataDxfId="60" dataCellStyle="Normal"/>
    <tableColumn id="65" xr3:uid="{E4FA626D-88C9-43E0-8E16-CC708D829E7F}" name="Tweeted Search Term?" dataDxfId="59" dataCellStyle="Normal"/>
    <tableColumn id="66" xr3:uid="{16EE5C18-DA80-4DF9-894C-41F94BEF7521}" name="Custom Menu Item Text" dataDxfId="58" dataCellStyle="Normal"/>
    <tableColumn id="67" xr3:uid="{4C080851-A12C-4ADA-99BF-7492E01E1904}" name="Custom Menu Item Action" dataDxfId="4" dataCellStyle="Normal"/>
    <tableColumn id="68" xr3:uid="{66213CFA-6C5E-490A-8D1A-D159094EF532}" name="Vertex Group" dataDxfId="3" dataCellStyle="Normal">
      <calculatedColumnFormula>REPLACE(INDEX(GroupVertices[Group], MATCH("~"&amp;Vertices[[#This Row],[Vertex]],GroupVertices[Vertex],0)),1,1,"")</calculatedColumnFormula>
    </tableColumn>
  </tableColumns>
  <tableStyleInfo name="NodeXL Tab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Groups" displayName="Groups" ref="A2:X214" totalsRowShown="0" headerRowDxfId="57">
  <autoFilter ref="A2:X214" xr:uid="{00000000-0009-0000-0100-000004000000}"/>
  <tableColumns count="24">
    <tableColumn id="1" xr3:uid="{00000000-0010-0000-0200-000001000000}" name="Group" dataDxfId="11" dataCellStyle="NodeXL Required"/>
    <tableColumn id="2" xr3:uid="{00000000-0010-0000-0200-000002000000}" name="Vertex Color" dataDxfId="10" dataCellStyle="NodeXL Visual Property"/>
    <tableColumn id="3" xr3:uid="{00000000-0010-0000-0200-000003000000}" name="Vertex Shape" dataDxfId="8" dataCellStyle="NodeXL Visual Property"/>
    <tableColumn id="22" xr3:uid="{00000000-0010-0000-0200-000016000000}" name="Visibility" dataDxfId="9" dataCellStyle="NodeXL Visual Property"/>
    <tableColumn id="4" xr3:uid="{00000000-0010-0000-0200-000004000000}" name="Collapsed?" dataCellStyle="NodeXL Visual Property"/>
    <tableColumn id="18" xr3:uid="{00000000-0010-0000-0200-000012000000}" name="Label" dataDxfId="56" dataCellStyle="NodeXL Label"/>
    <tableColumn id="20" xr3:uid="{00000000-0010-0000-0200-000014000000}" name="Collapsed X" dataCellStyle="NodeXL Layout"/>
    <tableColumn id="21" xr3:uid="{00000000-0010-0000-0200-000015000000}" name="Collapsed Y" dataCellStyle="NodeXL Layout"/>
    <tableColumn id="6" xr3:uid="{00000000-0010-0000-0200-000006000000}" name="ID" dataDxfId="55" dataCellStyle="NodeXL Do Not Edit"/>
    <tableColumn id="19" xr3:uid="{00000000-0010-0000-0200-000013000000}" name="Collapsed Properties" dataDxfId="54" dataCellStyle="NodeXL Do Not Edit"/>
    <tableColumn id="5" xr3:uid="{00000000-0010-0000-0200-000005000000}" name="Vertices" dataDxfId="53" dataCellStyle="NodeXL Graph Metric"/>
    <tableColumn id="7" xr3:uid="{00000000-0010-0000-0200-000007000000}" name="Unique Edges" dataDxfId="52" dataCellStyle="NodeXL Graph Metric"/>
    <tableColumn id="8" xr3:uid="{00000000-0010-0000-0200-000008000000}" name="Edges With Duplicates" dataDxfId="51" dataCellStyle="NodeXL Graph Metric"/>
    <tableColumn id="9" xr3:uid="{00000000-0010-0000-0200-000009000000}" name="Total Edges" dataDxfId="50" dataCellStyle="NodeXL Graph Metric"/>
    <tableColumn id="10" xr3:uid="{00000000-0010-0000-0200-00000A000000}" name="Self-Loops" dataDxfId="49" dataCellStyle="NodeXL Graph Metric"/>
    <tableColumn id="24" xr3:uid="{00000000-0010-0000-0200-000018000000}" name="Reciprocated Vertex Pair Ratio" dataDxfId="48" dataCellStyle="NodeXL Graph Metric"/>
    <tableColumn id="25" xr3:uid="{00000000-0010-0000-0200-000019000000}" name="Reciprocated Edge Ratio" dataDxfId="47" dataCellStyle="NodeXL Graph Metric"/>
    <tableColumn id="11" xr3:uid="{00000000-0010-0000-0200-00000B000000}" name="Connected Components" dataDxfId="46" dataCellStyle="NodeXL Graph Metric"/>
    <tableColumn id="12" xr3:uid="{00000000-0010-0000-0200-00000C000000}" name="Single-Vertex Connected Components" dataDxfId="45" dataCellStyle="NodeXL Graph Metric"/>
    <tableColumn id="13" xr3:uid="{00000000-0010-0000-0200-00000D000000}" name="Maximum Vertices in a Connected Component" dataDxfId="44" dataCellStyle="NodeXL Graph Metric"/>
    <tableColumn id="14" xr3:uid="{00000000-0010-0000-0200-00000E000000}" name="Maximum Edges in a Connected Component" dataDxfId="43" dataCellStyle="NodeXL Graph Metric"/>
    <tableColumn id="15" xr3:uid="{00000000-0010-0000-0200-00000F000000}" name="Maximum Geodesic Distance (Diameter)" dataDxfId="42" dataCellStyle="NodeXL Graph Metric"/>
    <tableColumn id="16" xr3:uid="{00000000-0010-0000-0200-000010000000}" name="Average Geodesic Distance" dataDxfId="41" dataCellStyle="NodeXL Graph Metric"/>
    <tableColumn id="17" xr3:uid="{00000000-0010-0000-0200-000011000000}" name="Graph Density" dataDxfId="40" dataCellStyle="NodeXL Graph Metric"/>
  </tableColumns>
  <tableStyleInfo name="NodeXL 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GroupVertices" displayName="GroupVertices" ref="A1:C479" totalsRowShown="0" headerRowDxfId="39" dataDxfId="38">
  <autoFilter ref="A1:C479" xr:uid="{00000000-0009-0000-0100-000005000000}"/>
  <sortState xmlns:xlrd2="http://schemas.microsoft.com/office/spreadsheetml/2017/richdata2" ref="A2:C479">
    <sortCondition ref="A1:A479"/>
  </sortState>
  <tableColumns count="3">
    <tableColumn id="1" xr3:uid="{00000000-0010-0000-0300-000001000000}" name="Group" dataDxfId="7" dataCellStyle="Normal"/>
    <tableColumn id="2" xr3:uid="{00000000-0010-0000-0300-000002000000}" name="Vertex" dataDxfId="6" dataCellStyle="Normal"/>
    <tableColumn id="3" xr3:uid="{00000000-0010-0000-0300-000003000000}" name="Vertex ID" dataDxfId="5" dataCellStyle="Normal">
      <calculatedColumnFormula>VLOOKUP("~"&amp;GroupVertices[[#This Row],[Vertex]], Vertices[], MATCH("ID", Vertices[#Headers], 0), FALSE)</calculatedColumnFormula>
    </tableColumn>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verallMetrics" displayName="OverallMetrics" ref="A1:B43" totalsRowShown="0" dataCellStyle="NodeXL Graph Metric">
  <autoFilter ref="A1:B43" xr:uid="{00000000-0009-0000-0100-000006000000}"/>
  <tableColumns count="2">
    <tableColumn id="1" xr3:uid="{00000000-0010-0000-0400-000001000000}" name="Graph Metric" dataDxfId="37" dataCellStyle="NodeXL Graph Metric"/>
    <tableColumn id="2" xr3:uid="{00000000-0010-0000-0400-000002000000}" name="Value" dataDxfId="36" dataCellStyle="NodeXL Graph Metric"/>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HistogramBins" displayName="HistogramBins" ref="D1:U36" totalsRowShown="0">
  <autoFilter ref="D1:U36" xr:uid="{00000000-0009-0000-0100-000003000000}"/>
  <tableColumns count="18">
    <tableColumn id="1" xr3:uid="{00000000-0010-0000-0500-000001000000}" name="Degree Bin" dataDxfId="35"/>
    <tableColumn id="2" xr3:uid="{00000000-0010-0000-0500-000002000000}" name="Degree Frequency" dataDxfId="34">
      <calculatedColumnFormula>COUNTIF(Vertices[Degree], "&gt;= " &amp; D2) - COUNTIF(Vertices[Degree], "&gt;=" &amp; D3)</calculatedColumnFormula>
    </tableColumn>
    <tableColumn id="3" xr3:uid="{00000000-0010-0000-0500-000003000000}" name="In-Degree Bin" dataDxfId="33"/>
    <tableColumn id="4" xr3:uid="{00000000-0010-0000-0500-000004000000}" name="In-Degree Frequency" dataDxfId="32">
      <calculatedColumnFormula>COUNTIF(Vertices[,,,,], "&gt;= " &amp; F2) - COUNTIF(Vertices[,,,,], "&gt;=" &amp; F3)</calculatedColumnFormula>
    </tableColumn>
    <tableColumn id="5" xr3:uid="{00000000-0010-0000-0500-000005000000}" name="Out-Degree Bin" dataDxfId="31"/>
    <tableColumn id="6" xr3:uid="{00000000-0010-0000-0500-000006000000}" name="Out-Degree Frequency" dataDxfId="30">
      <calculatedColumnFormula>COUNTIF(Vertices[Out-Degree], "&gt;= " &amp; H2) - COUNTIF(Vertices[Out-Degree], "&gt;=" &amp; H3)</calculatedColumnFormula>
    </tableColumn>
    <tableColumn id="7" xr3:uid="{00000000-0010-0000-0500-000007000000}" name="Betweenness Centrality Bin" dataDxfId="29"/>
    <tableColumn id="8" xr3:uid="{00000000-0010-0000-0500-000008000000}" name="Betweenness Centrality Frequency" dataDxfId="28">
      <calculatedColumnFormula>COUNTIF(Vertices[Betweenness Centrality], "&gt;= " &amp; J2) - COUNTIF(Vertices[Betweenness Centrality], "&gt;=" &amp; J3)</calculatedColumnFormula>
    </tableColumn>
    <tableColumn id="9" xr3:uid="{00000000-0010-0000-0500-000009000000}" name="Closeness Centrality Bin" dataDxfId="27"/>
    <tableColumn id="10" xr3:uid="{00000000-0010-0000-0500-00000A000000}" name="Closeness Centrality Frequency" dataDxfId="26">
      <calculatedColumnFormula>COUNTIF(Vertices[Closeness Centrality], "&gt;= " &amp; L2) - COUNTIF(Vertices[Closeness Centrality], "&gt;=" &amp; L3)</calculatedColumnFormula>
    </tableColumn>
    <tableColumn id="11" xr3:uid="{00000000-0010-0000-0500-00000B000000}" name="Eigenvector Centrality Bin" dataDxfId="25"/>
    <tableColumn id="12" xr3:uid="{00000000-0010-0000-0500-00000C000000}" name="Eigenvector Centrality Frequency" dataDxfId="24">
      <calculatedColumnFormula>COUNTIF(Vertices[Eigenvector Centrality], "&gt;= " &amp; N2) - COUNTIF(Vertices[Eigenvector Centrality], "&gt;=" &amp; N3)</calculatedColumnFormula>
    </tableColumn>
    <tableColumn id="18" xr3:uid="{00000000-0010-0000-0500-000012000000}" name="PageRank Bin" dataDxfId="23"/>
    <tableColumn id="17" xr3:uid="{00000000-0010-0000-0500-000011000000}" name="PageRank Frequency" dataDxfId="22">
      <calculatedColumnFormula>COUNTIF(Vertices[Eigenvector Centrality], "&gt;= " &amp; P2) - COUNTIF(Vertices[Eigenvector Centrality], "&gt;=" &amp; P3)</calculatedColumnFormula>
    </tableColumn>
    <tableColumn id="13" xr3:uid="{00000000-0010-0000-0500-00000D000000}" name="Clustering Coefficient Bin" dataDxfId="21"/>
    <tableColumn id="14" xr3:uid="{00000000-0010-0000-0500-00000E000000}" name="Clustering Coefficient Frequency" dataDxfId="20">
      <calculatedColumnFormula>COUNTIF(Vertices[Clustering Coefficient], "&gt;= " &amp; R2) - COUNTIF(Vertices[Clustering Coefficient], "&gt;=" &amp; R3)</calculatedColumnFormula>
    </tableColumn>
    <tableColumn id="15" xr3:uid="{00000000-0010-0000-0500-00000F000000}" name="Dynamic Filter Bin" dataDxfId="19"/>
    <tableColumn id="16" xr3:uid="{00000000-0010-0000-0500-000010000000}" name="Dynamic Filter Frequency" dataDxfId="18">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HistogramProperties" displayName="HistogramProperties" ref="W1:X4" totalsRowShown="0">
  <autoFilter ref="W1:X4" xr:uid="{00000000-0009-0000-0100-00000F000000}"/>
  <tableColumns count="2">
    <tableColumn id="1" xr3:uid="{00000000-0010-0000-0600-000001000000}" name="Histogram Property"/>
    <tableColumn id="2" xr3:uid="{00000000-0010-0000-0600-000002000000}" name="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OverallReadabilityMetrics" displayName="OverallReadabilityMetrics" ref="A60:B61" insertRow="1" totalsRowShown="0" dataCellStyle="NodeXL Graph Metric">
  <autoFilter ref="A60:B61" xr:uid="{00000000-0009-0000-0100-000009000000}"/>
  <tableColumns count="2">
    <tableColumn id="1" xr3:uid="{00000000-0010-0000-0700-000001000000}" name="Readability Metric" dataCellStyle="NodeXL Graph Metric"/>
    <tableColumn id="2" xr3:uid="{00000000-0010-0000-0700-000002000000}"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PerWorkbookSettings" displayName="PerWorkbookSettings" ref="J1:K9" totalsRowShown="0" headerRowDxfId="17">
  <autoFilter ref="J1:K9" xr:uid="{00000000-0009-0000-0100-000007000000}"/>
  <tableColumns count="2">
    <tableColumn id="1" xr3:uid="{00000000-0010-0000-0800-000001000000}" name="Per-Workbook Setting"/>
    <tableColumn id="2" xr3:uid="{00000000-0010-0000-0800-000002000000}" name="Value"/>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L500"/>
  <sheetViews>
    <sheetView tabSelected="1" workbookViewId="0">
      <pane xSplit="2" ySplit="2" topLeftCell="H3" activePane="bottomRight" state="frozen"/>
      <selection pane="topRight" activeCell="C1" sqref="C1"/>
      <selection pane="bottomLeft" activeCell="A3" sqref="A3"/>
      <selection pane="bottomRight" activeCell="Q1" sqref="Q1:Q1048576"/>
    </sheetView>
  </sheetViews>
  <sheetFormatPr baseColWidth="10" defaultColWidth="9.140625" defaultRowHeight="15" x14ac:dyDescent="0.25"/>
  <cols>
    <col min="1" max="2" width="10.42578125" style="1" customWidth="1"/>
    <col min="3" max="3" width="7.85546875" bestFit="1" customWidth="1"/>
    <col min="4" max="4" width="8.7109375" style="2" bestFit="1" customWidth="1"/>
    <col min="5" max="5" width="7.7109375" style="2" bestFit="1" customWidth="1"/>
    <col min="6" max="6" width="9.85546875" style="2" bestFit="1" customWidth="1"/>
    <col min="7" max="7" width="11" bestFit="1" customWidth="1"/>
    <col min="8" max="8" width="8" style="1" bestFit="1" customWidth="1"/>
    <col min="9" max="9" width="12.28515625" bestFit="1" customWidth="1"/>
    <col min="10" max="10" width="12.42578125" bestFit="1" customWidth="1"/>
    <col min="11" max="11" width="15.5703125" customWidth="1"/>
    <col min="12" max="12" width="11" hidden="1" customWidth="1"/>
    <col min="13" max="13" width="10.85546875" hidden="1" customWidth="1"/>
    <col min="14" max="14" width="16" bestFit="1" customWidth="1"/>
    <col min="15" max="15" width="12.7109375" bestFit="1" customWidth="1"/>
    <col min="16" max="16" width="14.42578125" bestFit="1" customWidth="1"/>
    <col min="17" max="17" width="8.85546875" bestFit="1" customWidth="1"/>
    <col min="18" max="18" width="23.7109375" bestFit="1" customWidth="1"/>
    <col min="19" max="19" width="10.85546875" bestFit="1" customWidth="1"/>
    <col min="20" max="20" width="10.5703125" bestFit="1" customWidth="1"/>
    <col min="21" max="21" width="8.5703125" bestFit="1" customWidth="1"/>
    <col min="22" max="22" width="8.85546875" bestFit="1" customWidth="1"/>
    <col min="23" max="23" width="13.140625" bestFit="1" customWidth="1"/>
    <col min="24" max="24" width="13.28515625" bestFit="1" customWidth="1"/>
    <col min="25" max="25" width="9.5703125" bestFit="1" customWidth="1"/>
    <col min="26" max="26" width="13.140625" bestFit="1" customWidth="1"/>
    <col min="27" max="27" width="13.85546875" bestFit="1" customWidth="1"/>
    <col min="28" max="28" width="11" bestFit="1" customWidth="1"/>
    <col min="29" max="29" width="8.85546875" bestFit="1" customWidth="1"/>
    <col min="30" max="30" width="9.28515625" bestFit="1" customWidth="1"/>
    <col min="31" max="31" width="11.5703125" bestFit="1" customWidth="1"/>
    <col min="32" max="32" width="14.42578125" bestFit="1" customWidth="1"/>
    <col min="33" max="33" width="13.42578125" bestFit="1" customWidth="1"/>
    <col min="34" max="34" width="7.42578125" bestFit="1" customWidth="1"/>
    <col min="35" max="35" width="7.7109375" bestFit="1" customWidth="1"/>
    <col min="36" max="36" width="11.42578125" bestFit="1" customWidth="1"/>
    <col min="37" max="37" width="16.85546875" bestFit="1" customWidth="1"/>
    <col min="38" max="38" width="10.28515625" bestFit="1" customWidth="1"/>
    <col min="39" max="39" width="15.42578125" bestFit="1" customWidth="1"/>
    <col min="40" max="40" width="11.7109375" bestFit="1" customWidth="1"/>
    <col min="41" max="41" width="10.28515625" bestFit="1" customWidth="1"/>
    <col min="42" max="42" width="8.5703125" bestFit="1" customWidth="1"/>
    <col min="43" max="43" width="8" bestFit="1" customWidth="1"/>
    <col min="44" max="44" width="8.85546875" bestFit="1" customWidth="1"/>
    <col min="45" max="45" width="17" bestFit="1" customWidth="1"/>
    <col min="47" max="47" width="8.85546875" bestFit="1" customWidth="1"/>
    <col min="48" max="48" width="13.85546875" bestFit="1" customWidth="1"/>
    <col min="49" max="49" width="14.7109375" bestFit="1" customWidth="1"/>
    <col min="50" max="50" width="11.5703125" bestFit="1" customWidth="1"/>
    <col min="51" max="51" width="12.7109375" bestFit="1" customWidth="1"/>
    <col min="52" max="53" width="13.5703125" bestFit="1" customWidth="1"/>
    <col min="54" max="54" width="11" bestFit="1" customWidth="1"/>
    <col min="55" max="55" width="13.140625" bestFit="1" customWidth="1"/>
    <col min="56" max="56" width="12" bestFit="1" customWidth="1"/>
    <col min="57" max="57" width="11.7109375" bestFit="1" customWidth="1"/>
    <col min="58" max="58" width="9" bestFit="1" customWidth="1"/>
    <col min="59" max="59" width="10.28515625" bestFit="1" customWidth="1"/>
    <col min="60" max="60" width="11" bestFit="1" customWidth="1"/>
    <col min="61" max="61" width="10.42578125" bestFit="1" customWidth="1"/>
    <col min="62" max="62" width="13" bestFit="1" customWidth="1"/>
    <col min="63" max="64" width="11.140625" bestFit="1" customWidth="1"/>
  </cols>
  <sheetData>
    <row r="1" spans="1:64" x14ac:dyDescent="0.25">
      <c r="C1" s="14" t="s">
        <v>39</v>
      </c>
      <c r="D1" s="15"/>
      <c r="E1" s="15"/>
      <c r="F1" s="15"/>
      <c r="G1" s="14"/>
      <c r="H1" s="12" t="s">
        <v>43</v>
      </c>
      <c r="I1" s="49"/>
      <c r="J1" s="49"/>
      <c r="K1" s="30" t="s">
        <v>42</v>
      </c>
      <c r="L1" s="16" t="s">
        <v>40</v>
      </c>
      <c r="M1" s="16"/>
      <c r="N1" s="13" t="s">
        <v>41</v>
      </c>
    </row>
    <row r="2" spans="1:64" ht="30" customHeight="1" x14ac:dyDescent="0.25">
      <c r="A2" s="10" t="s">
        <v>0</v>
      </c>
      <c r="B2" s="10" t="s">
        <v>1</v>
      </c>
      <c r="C2" s="7" t="s">
        <v>2</v>
      </c>
      <c r="D2" s="7" t="s">
        <v>3</v>
      </c>
      <c r="E2" s="7" t="s">
        <v>129</v>
      </c>
      <c r="F2" s="7" t="s">
        <v>4</v>
      </c>
      <c r="G2" s="7" t="s">
        <v>11</v>
      </c>
      <c r="H2" s="10" t="s">
        <v>46</v>
      </c>
      <c r="I2" s="7" t="s">
        <v>159</v>
      </c>
      <c r="J2" s="7" t="s">
        <v>160</v>
      </c>
      <c r="K2" s="7" t="s">
        <v>164</v>
      </c>
      <c r="L2" s="7" t="s">
        <v>12</v>
      </c>
      <c r="M2" s="7" t="s">
        <v>38</v>
      </c>
      <c r="N2" s="7" t="s">
        <v>26</v>
      </c>
      <c r="O2" s="7" t="s">
        <v>175</v>
      </c>
      <c r="P2" s="7" t="s">
        <v>176</v>
      </c>
      <c r="Q2" s="7" t="s">
        <v>177</v>
      </c>
      <c r="R2" s="7" t="s">
        <v>178</v>
      </c>
      <c r="S2" s="7" t="s">
        <v>179</v>
      </c>
      <c r="T2" s="7" t="s">
        <v>180</v>
      </c>
      <c r="U2" s="7" t="s">
        <v>181</v>
      </c>
      <c r="V2" s="7" t="s">
        <v>182</v>
      </c>
      <c r="W2" s="7" t="s">
        <v>183</v>
      </c>
      <c r="X2" s="7" t="s">
        <v>184</v>
      </c>
      <c r="Y2" s="7" t="s">
        <v>185</v>
      </c>
      <c r="Z2" s="7" t="s">
        <v>186</v>
      </c>
      <c r="AA2" s="7" t="s">
        <v>187</v>
      </c>
      <c r="AB2" s="7" t="s">
        <v>188</v>
      </c>
      <c r="AC2" s="7" t="s">
        <v>189</v>
      </c>
      <c r="AD2" s="7" t="s">
        <v>190</v>
      </c>
      <c r="AE2" s="7" t="s">
        <v>191</v>
      </c>
      <c r="AF2" s="7" t="s">
        <v>192</v>
      </c>
      <c r="AG2" s="7" t="s">
        <v>193</v>
      </c>
      <c r="AH2" s="7" t="s">
        <v>194</v>
      </c>
      <c r="AI2" s="7" t="s">
        <v>195</v>
      </c>
      <c r="AJ2" s="7" t="s">
        <v>196</v>
      </c>
      <c r="AK2" s="7" t="s">
        <v>197</v>
      </c>
      <c r="AL2" s="7" t="s">
        <v>198</v>
      </c>
      <c r="AM2" s="7" t="s">
        <v>199</v>
      </c>
      <c r="AN2" s="7" t="s">
        <v>200</v>
      </c>
      <c r="AO2" s="7" t="s">
        <v>201</v>
      </c>
      <c r="AP2" s="7" t="s">
        <v>202</v>
      </c>
      <c r="AQ2" s="7" t="s">
        <v>203</v>
      </c>
      <c r="AR2" s="7" t="s">
        <v>204</v>
      </c>
      <c r="AS2" s="7" t="s">
        <v>205</v>
      </c>
      <c r="AT2" s="7" t="s">
        <v>206</v>
      </c>
      <c r="AU2" s="7" t="s">
        <v>207</v>
      </c>
      <c r="AV2" s="7" t="s">
        <v>208</v>
      </c>
      <c r="AW2" s="7" t="s">
        <v>209</v>
      </c>
      <c r="AX2" s="7" t="s">
        <v>210</v>
      </c>
      <c r="AY2" s="7" t="s">
        <v>211</v>
      </c>
      <c r="AZ2" s="7" t="s">
        <v>212</v>
      </c>
      <c r="BA2" s="7" t="s">
        <v>213</v>
      </c>
      <c r="BB2" s="7" t="s">
        <v>214</v>
      </c>
      <c r="BC2" s="7" t="s">
        <v>215</v>
      </c>
      <c r="BD2" s="7" t="s">
        <v>216</v>
      </c>
      <c r="BE2" s="7" t="s">
        <v>217</v>
      </c>
      <c r="BF2" s="7" t="s">
        <v>218</v>
      </c>
      <c r="BG2" s="7" t="s">
        <v>219</v>
      </c>
      <c r="BH2" s="7" t="s">
        <v>220</v>
      </c>
      <c r="BI2" s="7" t="s">
        <v>221</v>
      </c>
      <c r="BJ2" s="7" t="s">
        <v>222</v>
      </c>
      <c r="BK2" s="7" t="s">
        <v>5074</v>
      </c>
      <c r="BL2" s="7" t="s">
        <v>5075</v>
      </c>
    </row>
    <row r="3" spans="1:64" ht="15" customHeight="1" x14ac:dyDescent="0.25">
      <c r="A3" s="61" t="s">
        <v>371</v>
      </c>
      <c r="B3" s="61" t="s">
        <v>371</v>
      </c>
      <c r="C3" s="62"/>
      <c r="D3" s="63"/>
      <c r="E3" s="64"/>
      <c r="F3" s="65"/>
      <c r="G3" s="62"/>
      <c r="H3" s="66"/>
      <c r="I3" s="67"/>
      <c r="J3" s="67"/>
      <c r="K3" s="31"/>
      <c r="L3" s="75">
        <v>3</v>
      </c>
      <c r="M3"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 s="69"/>
      <c r="O3" t="s">
        <v>177</v>
      </c>
      <c r="P3" s="76">
        <v>45505.458449074074</v>
      </c>
      <c r="Q3" t="s">
        <v>934</v>
      </c>
      <c r="R3" t="b">
        <v>1</v>
      </c>
      <c r="S3">
        <v>4524</v>
      </c>
      <c r="T3">
        <v>31525</v>
      </c>
      <c r="U3">
        <v>270</v>
      </c>
      <c r="V3">
        <v>278</v>
      </c>
      <c r="W3">
        <v>1625328</v>
      </c>
      <c r="AB3" t="s">
        <v>1318</v>
      </c>
      <c r="AC3" t="s">
        <v>1364</v>
      </c>
      <c r="AD3" s="77" t="s">
        <v>1367</v>
      </c>
      <c r="AE3" t="s">
        <v>1385</v>
      </c>
      <c r="AF3" s="78" t="str">
        <f>HYPERLINK("https://twitter.com/ilovepisto/status/1818964938276168017")</f>
        <v>https://twitter.com/ilovepisto/status/1818964938276168017</v>
      </c>
      <c r="AG3" s="76">
        <v>45505.458449074074</v>
      </c>
      <c r="AH3" s="80">
        <v>45505</v>
      </c>
      <c r="AI3" s="77" t="s">
        <v>1614</v>
      </c>
      <c r="AJ3" t="b">
        <v>0</v>
      </c>
      <c r="AR3" t="s">
        <v>1831</v>
      </c>
      <c r="AW3" s="78" t="str">
        <f>HYPERLINK("https://pbs.twimg.com/media/GT5C1yJWoAAXChX.jpg")</f>
        <v>https://pbs.twimg.com/media/GT5C1yJWoAAXChX.jpg</v>
      </c>
      <c r="AX3" s="77" t="s">
        <v>2100</v>
      </c>
      <c r="AY3" s="77" t="s">
        <v>2100</v>
      </c>
      <c r="BA3" s="77" t="s">
        <v>2494</v>
      </c>
      <c r="BB3" s="77" t="s">
        <v>2494</v>
      </c>
      <c r="BC3" s="77" t="s">
        <v>2494</v>
      </c>
      <c r="BD3" s="77" t="s">
        <v>2100</v>
      </c>
      <c r="BE3" s="77" t="s">
        <v>2593</v>
      </c>
      <c r="BK3" s="112" t="str">
        <f>REPLACE(INDEX(GroupVertices[Group], MATCH("~"&amp;Edges[[#This Row],[Vertex 1]],GroupVertices[Vertex],0)),1,1,"")</f>
        <v>109</v>
      </c>
      <c r="BL3" s="112" t="str">
        <f>REPLACE(INDEX(GroupVertices[Group], MATCH("~"&amp;Edges[[#This Row],[Vertex 2]],GroupVertices[Vertex],0)),1,1,"")</f>
        <v>109</v>
      </c>
    </row>
    <row r="4" spans="1:64" ht="15" customHeight="1" x14ac:dyDescent="0.25">
      <c r="A4" s="61" t="s">
        <v>501</v>
      </c>
      <c r="B4" s="61" t="s">
        <v>501</v>
      </c>
      <c r="C4" s="62"/>
      <c r="D4" s="63"/>
      <c r="E4" s="64"/>
      <c r="F4" s="65"/>
      <c r="G4" s="62"/>
      <c r="H4" s="66"/>
      <c r="I4" s="67"/>
      <c r="J4" s="67"/>
      <c r="K4" s="31"/>
      <c r="L4" s="75">
        <v>4</v>
      </c>
      <c r="M4"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 s="69"/>
      <c r="O4" t="s">
        <v>177</v>
      </c>
      <c r="P4" s="76">
        <v>45505.393206018518</v>
      </c>
      <c r="Q4" t="s">
        <v>1083</v>
      </c>
      <c r="R4" t="b">
        <v>1</v>
      </c>
      <c r="S4">
        <v>1764</v>
      </c>
      <c r="T4">
        <v>5035</v>
      </c>
      <c r="U4">
        <v>881</v>
      </c>
      <c r="V4">
        <v>57</v>
      </c>
      <c r="W4">
        <v>202032</v>
      </c>
      <c r="AD4" s="77" t="s">
        <v>1366</v>
      </c>
      <c r="AE4" t="s">
        <v>1385</v>
      </c>
      <c r="AF4" s="78" t="str">
        <f>HYPERLINK("https://twitter.com/antoniomaestre/status/1818941295223541976")</f>
        <v>https://twitter.com/antoniomaestre/status/1818941295223541976</v>
      </c>
      <c r="AG4" s="76">
        <v>45505.393206018518</v>
      </c>
      <c r="AH4" s="80">
        <v>45505</v>
      </c>
      <c r="AI4" s="77" t="s">
        <v>1759</v>
      </c>
      <c r="AW4" s="78" t="str">
        <f>HYPERLINK("https://pbs.twimg.com/profile_images/1917524672440066048/CafUNyWs_normal.jpg")</f>
        <v>https://pbs.twimg.com/profile_images/1917524672440066048/CafUNyWs_normal.jpg</v>
      </c>
      <c r="AX4" s="77" t="s">
        <v>2249</v>
      </c>
      <c r="AY4" s="77" t="s">
        <v>2249</v>
      </c>
      <c r="BA4" s="77" t="s">
        <v>2494</v>
      </c>
      <c r="BB4" s="77" t="s">
        <v>2494</v>
      </c>
      <c r="BC4" s="77" t="s">
        <v>2494</v>
      </c>
      <c r="BD4" s="77" t="s">
        <v>2249</v>
      </c>
      <c r="BE4">
        <v>94208950</v>
      </c>
      <c r="BK4" s="112" t="str">
        <f>REPLACE(INDEX(GroupVertices[Group], MATCH("~"&amp;Edges[[#This Row],[Vertex 1]],GroupVertices[Vertex],0)),1,1,"")</f>
        <v>13</v>
      </c>
      <c r="BL4" s="112" t="str">
        <f>REPLACE(INDEX(GroupVertices[Group], MATCH("~"&amp;Edges[[#This Row],[Vertex 2]],GroupVertices[Vertex],0)),1,1,"")</f>
        <v>13</v>
      </c>
    </row>
    <row r="5" spans="1:64" x14ac:dyDescent="0.25">
      <c r="A5" s="61" t="s">
        <v>353</v>
      </c>
      <c r="B5" s="61" t="s">
        <v>353</v>
      </c>
      <c r="C5" s="62"/>
      <c r="D5" s="63"/>
      <c r="E5" s="64"/>
      <c r="F5" s="65"/>
      <c r="G5" s="62"/>
      <c r="H5" s="66"/>
      <c r="I5" s="67"/>
      <c r="J5" s="67"/>
      <c r="K5" s="31"/>
      <c r="L5" s="75">
        <v>5</v>
      </c>
      <c r="M5"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5" s="69"/>
      <c r="O5" t="s">
        <v>177</v>
      </c>
      <c r="P5" s="76">
        <v>45506.702546296299</v>
      </c>
      <c r="Q5" t="s">
        <v>913</v>
      </c>
      <c r="R5" t="b">
        <v>1</v>
      </c>
      <c r="S5">
        <v>1886</v>
      </c>
      <c r="T5">
        <v>6939</v>
      </c>
      <c r="U5">
        <v>380</v>
      </c>
      <c r="V5">
        <v>43</v>
      </c>
      <c r="W5">
        <v>193619</v>
      </c>
      <c r="AB5" t="s">
        <v>1308</v>
      </c>
      <c r="AC5" t="s">
        <v>1359</v>
      </c>
      <c r="AD5" s="77" t="s">
        <v>1365</v>
      </c>
      <c r="AE5" t="s">
        <v>1385</v>
      </c>
      <c r="AF5" s="78" t="str">
        <f>HYPERLINK("https://twitter.com/rthur013/status/1819415783643939017")</f>
        <v>https://twitter.com/rthur013/status/1819415783643939017</v>
      </c>
      <c r="AG5" s="76">
        <v>45506.702546296299</v>
      </c>
      <c r="AH5" s="80">
        <v>45506</v>
      </c>
      <c r="AI5" s="77" t="s">
        <v>1593</v>
      </c>
      <c r="AJ5" t="b">
        <v>0</v>
      </c>
      <c r="AR5" t="s">
        <v>1821</v>
      </c>
      <c r="AW5" s="78" t="str">
        <f>HYPERLINK("https://pbs.twimg.com/media/GT_dA2yWAAQvt3J.jpg")</f>
        <v>https://pbs.twimg.com/media/GT_dA2yWAAQvt3J.jpg</v>
      </c>
      <c r="AX5" s="77" t="s">
        <v>2079</v>
      </c>
      <c r="AY5" s="77" t="s">
        <v>2079</v>
      </c>
      <c r="BA5" s="77" t="s">
        <v>2494</v>
      </c>
      <c r="BB5" s="77" t="s">
        <v>2494</v>
      </c>
      <c r="BC5" s="77" t="s">
        <v>2494</v>
      </c>
      <c r="BD5" s="77" t="s">
        <v>2079</v>
      </c>
      <c r="BE5" s="77" t="s">
        <v>2587</v>
      </c>
      <c r="BK5" s="112" t="str">
        <f>REPLACE(INDEX(GroupVertices[Group], MATCH("~"&amp;Edges[[#This Row],[Vertex 1]],GroupVertices[Vertex],0)),1,1,"")</f>
        <v>74</v>
      </c>
      <c r="BL5" s="112" t="str">
        <f>REPLACE(INDEX(GroupVertices[Group], MATCH("~"&amp;Edges[[#This Row],[Vertex 2]],GroupVertices[Vertex],0)),1,1,"")</f>
        <v>74</v>
      </c>
    </row>
    <row r="6" spans="1:64" x14ac:dyDescent="0.25">
      <c r="A6" s="61" t="s">
        <v>486</v>
      </c>
      <c r="B6" s="61" t="s">
        <v>486</v>
      </c>
      <c r="C6" s="62"/>
      <c r="D6" s="63"/>
      <c r="E6" s="64"/>
      <c r="F6" s="65"/>
      <c r="G6" s="62"/>
      <c r="H6" s="66"/>
      <c r="I6" s="67"/>
      <c r="J6" s="67"/>
      <c r="K6" s="31"/>
      <c r="L6" s="75">
        <v>6</v>
      </c>
      <c r="M6"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6" s="69"/>
      <c r="O6" t="s">
        <v>177</v>
      </c>
      <c r="P6" s="76">
        <v>45505.682060185187</v>
      </c>
      <c r="Q6" t="s">
        <v>1067</v>
      </c>
      <c r="R6" t="b">
        <v>1</v>
      </c>
      <c r="S6">
        <v>377</v>
      </c>
      <c r="T6">
        <v>307</v>
      </c>
      <c r="U6">
        <v>160</v>
      </c>
      <c r="V6">
        <v>31</v>
      </c>
      <c r="W6">
        <v>82567</v>
      </c>
      <c r="Y6" s="78" t="str">
        <f>HYPERLINK("https://www.t13.cl/597485-tw")</f>
        <v>https://www.t13.cl/597485-tw</v>
      </c>
      <c r="Z6" t="s">
        <v>1208</v>
      </c>
      <c r="AD6" s="77" t="s">
        <v>1367</v>
      </c>
      <c r="AE6" t="s">
        <v>1385</v>
      </c>
      <c r="AF6" s="78" t="str">
        <f>HYPERLINK("https://twitter.com/t13/status/1819045973462548620")</f>
        <v>https://twitter.com/t13/status/1819045973462548620</v>
      </c>
      <c r="AG6" s="76">
        <v>45505.682060185187</v>
      </c>
      <c r="AH6" s="80">
        <v>45505</v>
      </c>
      <c r="AI6" s="77" t="s">
        <v>1744</v>
      </c>
      <c r="AJ6" t="b">
        <v>0</v>
      </c>
      <c r="AW6" s="78" t="str">
        <f>HYPERLINK("https://pbs.twimg.com/profile_images/1521363358301233152/YcrFjQiB_normal.jpg")</f>
        <v>https://pbs.twimg.com/profile_images/1521363358301233152/YcrFjQiB_normal.jpg</v>
      </c>
      <c r="AX6" s="77" t="s">
        <v>2233</v>
      </c>
      <c r="AY6" s="77" t="s">
        <v>2233</v>
      </c>
      <c r="BA6" s="77" t="s">
        <v>2494</v>
      </c>
      <c r="BB6" s="77" t="s">
        <v>2494</v>
      </c>
      <c r="BC6" s="77" t="s">
        <v>2494</v>
      </c>
      <c r="BD6" s="77" t="s">
        <v>2233</v>
      </c>
      <c r="BE6">
        <v>24952459</v>
      </c>
      <c r="BK6" s="112" t="str">
        <f>REPLACE(INDEX(GroupVertices[Group], MATCH("~"&amp;Edges[[#This Row],[Vertex 1]],GroupVertices[Vertex],0)),1,1,"")</f>
        <v>22</v>
      </c>
      <c r="BL6" s="112" t="str">
        <f>REPLACE(INDEX(GroupVertices[Group], MATCH("~"&amp;Edges[[#This Row],[Vertex 2]],GroupVertices[Vertex],0)),1,1,"")</f>
        <v>22</v>
      </c>
    </row>
    <row r="7" spans="1:64" x14ac:dyDescent="0.25">
      <c r="A7" s="61" t="s">
        <v>412</v>
      </c>
      <c r="B7" s="61" t="s">
        <v>412</v>
      </c>
      <c r="C7" s="62"/>
      <c r="D7" s="63"/>
      <c r="E7" s="64"/>
      <c r="F7" s="65"/>
      <c r="G7" s="62"/>
      <c r="H7" s="66"/>
      <c r="I7" s="67"/>
      <c r="J7" s="67"/>
      <c r="K7" s="31"/>
      <c r="L7" s="75">
        <v>7</v>
      </c>
      <c r="M7"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7" s="69"/>
      <c r="O7" t="s">
        <v>177</v>
      </c>
      <c r="P7" s="76">
        <v>45505.231689814813</v>
      </c>
      <c r="Q7" t="s">
        <v>980</v>
      </c>
      <c r="R7" t="b">
        <v>1</v>
      </c>
      <c r="S7">
        <v>1859</v>
      </c>
      <c r="T7">
        <v>4036</v>
      </c>
      <c r="U7">
        <v>126</v>
      </c>
      <c r="V7">
        <v>27</v>
      </c>
      <c r="W7">
        <v>55759</v>
      </c>
      <c r="Y7" s="78" t="str">
        <f>HYPERLINK("https://theobjective.com/espana/tribunales/2024-08-01/abogada-estado-querella-peinado-peor-promocion/")</f>
        <v>https://theobjective.com/espana/tribunales/2024-08-01/abogada-estado-querella-peinado-peor-promocion/</v>
      </c>
      <c r="Z7" t="s">
        <v>1172</v>
      </c>
      <c r="AD7" s="77" t="s">
        <v>1367</v>
      </c>
      <c r="AE7" t="s">
        <v>1385</v>
      </c>
      <c r="AF7" s="78" t="str">
        <f>HYPERLINK("https://twitter.com/ldpsincomplejos/status/1818882764256473501")</f>
        <v>https://twitter.com/ldpsincomplejos/status/1818882764256473501</v>
      </c>
      <c r="AG7" s="76">
        <v>45505.231689814813</v>
      </c>
      <c r="AH7" s="80">
        <v>45505</v>
      </c>
      <c r="AI7" s="77" t="s">
        <v>1660</v>
      </c>
      <c r="AJ7" t="b">
        <v>0</v>
      </c>
      <c r="AW7" s="78" t="str">
        <f>HYPERLINK("https://pbs.twimg.com/profile_images/1774769382809276416/G6UKR6dz_normal.jpg")</f>
        <v>https://pbs.twimg.com/profile_images/1774769382809276416/G6UKR6dz_normal.jpg</v>
      </c>
      <c r="AX7" s="77" t="s">
        <v>2146</v>
      </c>
      <c r="AY7" s="77" t="s">
        <v>2146</v>
      </c>
      <c r="BA7" s="77" t="s">
        <v>2494</v>
      </c>
      <c r="BB7" s="77" t="s">
        <v>2494</v>
      </c>
      <c r="BC7" s="77" t="s">
        <v>2494</v>
      </c>
      <c r="BD7" s="77" t="s">
        <v>2146</v>
      </c>
      <c r="BE7">
        <v>241993704</v>
      </c>
      <c r="BK7" s="112" t="str">
        <f>REPLACE(INDEX(GroupVertices[Group], MATCH("~"&amp;Edges[[#This Row],[Vertex 1]],GroupVertices[Vertex],0)),1,1,"")</f>
        <v>84</v>
      </c>
      <c r="BL7" s="112" t="str">
        <f>REPLACE(INDEX(GroupVertices[Group], MATCH("~"&amp;Edges[[#This Row],[Vertex 2]],GroupVertices[Vertex],0)),1,1,"")</f>
        <v>84</v>
      </c>
    </row>
    <row r="8" spans="1:64" x14ac:dyDescent="0.25">
      <c r="A8" s="61" t="s">
        <v>497</v>
      </c>
      <c r="B8" s="61" t="s">
        <v>497</v>
      </c>
      <c r="C8" s="62"/>
      <c r="D8" s="63"/>
      <c r="E8" s="64"/>
      <c r="F8" s="65"/>
      <c r="G8" s="62"/>
      <c r="H8" s="66"/>
      <c r="I8" s="67"/>
      <c r="J8" s="67"/>
      <c r="K8" s="31"/>
      <c r="L8" s="75">
        <v>8</v>
      </c>
      <c r="M8"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8" s="69"/>
      <c r="O8" t="s">
        <v>177</v>
      </c>
      <c r="P8" s="76">
        <v>45506.167361111111</v>
      </c>
      <c r="Q8" t="s">
        <v>1079</v>
      </c>
      <c r="R8" t="b">
        <v>1</v>
      </c>
      <c r="S8">
        <v>21</v>
      </c>
      <c r="T8">
        <v>29</v>
      </c>
      <c r="U8">
        <v>77</v>
      </c>
      <c r="V8">
        <v>3</v>
      </c>
      <c r="W8">
        <v>38530</v>
      </c>
      <c r="X8" s="77" t="s">
        <v>1102</v>
      </c>
      <c r="Y8" s="78" t="str">
        <f>HYPERLINK("http://sistemadeadmisionescolar.cl")</f>
        <v>http://sistemadeadmisionescolar.cl</v>
      </c>
      <c r="Z8" t="s">
        <v>1137</v>
      </c>
      <c r="AB8" t="s">
        <v>1356</v>
      </c>
      <c r="AC8" t="s">
        <v>1359</v>
      </c>
      <c r="AD8" s="77" t="s">
        <v>1367</v>
      </c>
      <c r="AE8" t="s">
        <v>1385</v>
      </c>
      <c r="AF8" s="78" t="str">
        <f>HYPERLINK("https://twitter.com/mineduc/status/1819221838074921399")</f>
        <v>https://twitter.com/mineduc/status/1819221838074921399</v>
      </c>
      <c r="AG8" s="76">
        <v>45506.167361111111</v>
      </c>
      <c r="AH8" s="80">
        <v>45506</v>
      </c>
      <c r="AI8" s="77" t="s">
        <v>1521</v>
      </c>
      <c r="AJ8" t="b">
        <v>0</v>
      </c>
      <c r="AR8" t="s">
        <v>1869</v>
      </c>
      <c r="AW8" s="78" t="str">
        <f>HYPERLINK("https://pbs.twimg.com/media/GT71aeiWUAE2d0d.jpg")</f>
        <v>https://pbs.twimg.com/media/GT71aeiWUAE2d0d.jpg</v>
      </c>
      <c r="AX8" s="77" t="s">
        <v>2245</v>
      </c>
      <c r="AY8" s="77" t="s">
        <v>2245</v>
      </c>
      <c r="BA8" s="77" t="s">
        <v>2494</v>
      </c>
      <c r="BB8" s="77" t="s">
        <v>2494</v>
      </c>
      <c r="BC8" s="77" t="s">
        <v>2494</v>
      </c>
      <c r="BD8" s="77" t="s">
        <v>2245</v>
      </c>
      <c r="BE8">
        <v>140583083</v>
      </c>
      <c r="BK8" s="112" t="str">
        <f>REPLACE(INDEX(GroupVertices[Group], MATCH("~"&amp;Edges[[#This Row],[Vertex 1]],GroupVertices[Vertex],0)),1,1,"")</f>
        <v>1</v>
      </c>
      <c r="BL8" s="112" t="str">
        <f>REPLACE(INDEX(GroupVertices[Group], MATCH("~"&amp;Edges[[#This Row],[Vertex 2]],GroupVertices[Vertex],0)),1,1,"")</f>
        <v>1</v>
      </c>
    </row>
    <row r="9" spans="1:64" x14ac:dyDescent="0.25">
      <c r="A9" s="61" t="s">
        <v>364</v>
      </c>
      <c r="B9" s="61" t="s">
        <v>364</v>
      </c>
      <c r="C9" s="62"/>
      <c r="D9" s="63"/>
      <c r="E9" s="64"/>
      <c r="F9" s="65"/>
      <c r="G9" s="62"/>
      <c r="H9" s="66"/>
      <c r="I9" s="67"/>
      <c r="J9" s="67"/>
      <c r="K9" s="31"/>
      <c r="L9" s="75">
        <v>9</v>
      </c>
      <c r="M9"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9" s="69"/>
      <c r="O9" t="s">
        <v>177</v>
      </c>
      <c r="P9" s="76">
        <v>45505.471284722225</v>
      </c>
      <c r="Q9" t="s">
        <v>925</v>
      </c>
      <c r="R9" t="b">
        <v>1</v>
      </c>
      <c r="S9">
        <v>28</v>
      </c>
      <c r="T9">
        <v>66</v>
      </c>
      <c r="U9">
        <v>295</v>
      </c>
      <c r="V9">
        <v>43</v>
      </c>
      <c r="W9">
        <v>23907</v>
      </c>
      <c r="Y9" s="78" t="str">
        <f>HYPERLINK("https://theobjective.com/espana/politica/2024-08-01/redondo-defiende-pacto-cataluna/")</f>
        <v>https://theobjective.com/espana/politica/2024-08-01/redondo-defiende-pacto-cataluna/</v>
      </c>
      <c r="Z9" t="s">
        <v>1172</v>
      </c>
      <c r="AD9" s="77" t="s">
        <v>1367</v>
      </c>
      <c r="AE9" t="s">
        <v>1385</v>
      </c>
      <c r="AF9" s="78" t="str">
        <f>HYPERLINK("https://twitter.com/theobjective_es/status/1818969588098310597")</f>
        <v>https://twitter.com/theobjective_es/status/1818969588098310597</v>
      </c>
      <c r="AG9" s="76">
        <v>45505.471284722225</v>
      </c>
      <c r="AH9" s="80">
        <v>45505</v>
      </c>
      <c r="AI9" s="77" t="s">
        <v>1605</v>
      </c>
      <c r="AJ9" t="b">
        <v>0</v>
      </c>
      <c r="AW9" s="78" t="str">
        <f>HYPERLINK("https://pbs.twimg.com/profile_images/1855166772325793792/KmMN0Mad_normal.jpg")</f>
        <v>https://pbs.twimg.com/profile_images/1855166772325793792/KmMN0Mad_normal.jpg</v>
      </c>
      <c r="AX9" s="77" t="s">
        <v>2091</v>
      </c>
      <c r="AY9" s="77" t="s">
        <v>2091</v>
      </c>
      <c r="BA9" s="77" t="s">
        <v>2494</v>
      </c>
      <c r="BB9" s="77" t="s">
        <v>2494</v>
      </c>
      <c r="BC9" s="77" t="s">
        <v>2494</v>
      </c>
      <c r="BD9" s="77" t="s">
        <v>2091</v>
      </c>
      <c r="BE9">
        <v>1602818168</v>
      </c>
      <c r="BK9" s="112" t="str">
        <f>REPLACE(INDEX(GroupVertices[Group], MATCH("~"&amp;Edges[[#This Row],[Vertex 1]],GroupVertices[Vertex],0)),1,1,"")</f>
        <v>104</v>
      </c>
      <c r="BL9" s="112" t="str">
        <f>REPLACE(INDEX(GroupVertices[Group], MATCH("~"&amp;Edges[[#This Row],[Vertex 2]],GroupVertices[Vertex],0)),1,1,"")</f>
        <v>104</v>
      </c>
    </row>
    <row r="10" spans="1:64" x14ac:dyDescent="0.25">
      <c r="A10" s="61" t="s">
        <v>489</v>
      </c>
      <c r="B10" s="61" t="s">
        <v>694</v>
      </c>
      <c r="C10" s="62"/>
      <c r="D10" s="63"/>
      <c r="E10" s="64"/>
      <c r="F10" s="65"/>
      <c r="G10" s="62"/>
      <c r="H10" s="66"/>
      <c r="I10" s="67"/>
      <c r="J10" s="67"/>
      <c r="K10" s="31"/>
      <c r="L10" s="75">
        <v>10</v>
      </c>
      <c r="M10"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0" s="69"/>
      <c r="O10" t="s">
        <v>702</v>
      </c>
      <c r="P10" s="76">
        <v>45504.837164351855</v>
      </c>
      <c r="Q10" t="s">
        <v>1070</v>
      </c>
      <c r="R10" t="b">
        <v>1</v>
      </c>
      <c r="S10">
        <v>18</v>
      </c>
      <c r="T10">
        <v>351</v>
      </c>
      <c r="U10">
        <v>65</v>
      </c>
      <c r="V10">
        <v>6</v>
      </c>
      <c r="W10">
        <v>23184</v>
      </c>
      <c r="Y10" s="78" t="str">
        <f>HYPERLINK("https://www.youtube.com/live/rovulcMRsnY?si=mf_uu3lEKaFSEpbR")</f>
        <v>https://www.youtube.com/live/rovulcMRsnY?si=mf_uu3lEKaFSEpbR</v>
      </c>
      <c r="Z10" t="s">
        <v>1150</v>
      </c>
      <c r="AA10" t="s">
        <v>694</v>
      </c>
      <c r="AB10" t="s">
        <v>1353</v>
      </c>
      <c r="AC10" t="s">
        <v>1359</v>
      </c>
      <c r="AD10" s="77" t="s">
        <v>1366</v>
      </c>
      <c r="AE10" t="s">
        <v>1385</v>
      </c>
      <c r="AF10" s="78" t="str">
        <f>HYPERLINK("https://twitter.com/mas_que_pelotas/status/1818739791892247004")</f>
        <v>https://twitter.com/mas_que_pelotas/status/1818739791892247004</v>
      </c>
      <c r="AG10" s="76">
        <v>45504.837164351855</v>
      </c>
      <c r="AH10" s="80">
        <v>45504</v>
      </c>
      <c r="AI10" s="77" t="s">
        <v>1747</v>
      </c>
      <c r="AJ10" t="b">
        <v>0</v>
      </c>
      <c r="AR10" t="s">
        <v>1866</v>
      </c>
      <c r="AW10" s="78" t="str">
        <f>HYPERLINK("https://pbs.twimg.com/media/GT12Mt6WwAAIg1A.jpg")</f>
        <v>https://pbs.twimg.com/media/GT12Mt6WwAAIg1A.jpg</v>
      </c>
      <c r="AX10" s="77" t="s">
        <v>2236</v>
      </c>
      <c r="AY10" s="77" t="s">
        <v>2236</v>
      </c>
      <c r="BA10" s="77" t="s">
        <v>2494</v>
      </c>
      <c r="BB10" s="77" t="s">
        <v>2494</v>
      </c>
      <c r="BC10" s="77" t="s">
        <v>2494</v>
      </c>
      <c r="BD10" s="77" t="s">
        <v>2236</v>
      </c>
      <c r="BE10" s="77" t="s">
        <v>2638</v>
      </c>
      <c r="BK10" s="112" t="str">
        <f>REPLACE(INDEX(GroupVertices[Group], MATCH("~"&amp;Edges[[#This Row],[Vertex 1]],GroupVertices[Vertex],0)),1,1,"")</f>
        <v>33</v>
      </c>
      <c r="BL10" s="112" t="str">
        <f>REPLACE(INDEX(GroupVertices[Group], MATCH("~"&amp;Edges[[#This Row],[Vertex 2]],GroupVertices[Vertex],0)),1,1,"")</f>
        <v>33</v>
      </c>
    </row>
    <row r="11" spans="1:64" x14ac:dyDescent="0.25">
      <c r="A11" s="61" t="s">
        <v>403</v>
      </c>
      <c r="B11" s="61" t="s">
        <v>403</v>
      </c>
      <c r="C11" s="62"/>
      <c r="D11" s="63"/>
      <c r="E11" s="64"/>
      <c r="F11" s="65"/>
      <c r="G11" s="62"/>
      <c r="H11" s="66"/>
      <c r="I11" s="67"/>
      <c r="J11" s="67"/>
      <c r="K11" s="31"/>
      <c r="L11" s="75">
        <v>11</v>
      </c>
      <c r="M11"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1" s="69"/>
      <c r="O11" t="s">
        <v>177</v>
      </c>
      <c r="P11" s="76">
        <v>45505.699108796296</v>
      </c>
      <c r="Q11" t="s">
        <v>971</v>
      </c>
      <c r="R11" t="b">
        <v>1</v>
      </c>
      <c r="S11">
        <v>7</v>
      </c>
      <c r="T11">
        <v>37</v>
      </c>
      <c r="U11">
        <v>10</v>
      </c>
      <c r="V11">
        <v>16</v>
      </c>
      <c r="W11">
        <v>13891</v>
      </c>
      <c r="AD11" s="77" t="s">
        <v>1366</v>
      </c>
      <c r="AE11" t="s">
        <v>1385</v>
      </c>
      <c r="AF11" s="78" t="str">
        <f>HYPERLINK("https://twitter.com/scherermar/status/1819052147767480837")</f>
        <v>https://twitter.com/scherermar/status/1819052147767480837</v>
      </c>
      <c r="AG11" s="76">
        <v>45505.699108796296</v>
      </c>
      <c r="AH11" s="80">
        <v>45505</v>
      </c>
      <c r="AI11" s="77" t="s">
        <v>1651</v>
      </c>
      <c r="AW11" s="78" t="str">
        <f>HYPERLINK("https://pbs.twimg.com/profile_images/1575201555581648896/yQENBFCV_normal.jpg")</f>
        <v>https://pbs.twimg.com/profile_images/1575201555581648896/yQENBFCV_normal.jpg</v>
      </c>
      <c r="AX11" s="77" t="s">
        <v>2137</v>
      </c>
      <c r="AY11" s="77" t="s">
        <v>2137</v>
      </c>
      <c r="BA11" s="77" t="s">
        <v>2494</v>
      </c>
      <c r="BB11" s="77" t="s">
        <v>2494</v>
      </c>
      <c r="BC11" s="77" t="s">
        <v>2494</v>
      </c>
      <c r="BD11" s="77" t="s">
        <v>2137</v>
      </c>
      <c r="BE11">
        <v>144721801</v>
      </c>
      <c r="BK11" s="112" t="str">
        <f>REPLACE(INDEX(GroupVertices[Group], MATCH("~"&amp;Edges[[#This Row],[Vertex 1]],GroupVertices[Vertex],0)),1,1,"")</f>
        <v>41</v>
      </c>
      <c r="BL11" s="112" t="str">
        <f>REPLACE(INDEX(GroupVertices[Group], MATCH("~"&amp;Edges[[#This Row],[Vertex 2]],GroupVertices[Vertex],0)),1,1,"")</f>
        <v>41</v>
      </c>
    </row>
    <row r="12" spans="1:64" x14ac:dyDescent="0.25">
      <c r="A12" s="61" t="s">
        <v>506</v>
      </c>
      <c r="B12" s="61" t="s">
        <v>587</v>
      </c>
      <c r="C12" s="62"/>
      <c r="D12" s="63"/>
      <c r="E12" s="64"/>
      <c r="F12" s="65"/>
      <c r="G12" s="62"/>
      <c r="H12" s="66"/>
      <c r="I12" s="67"/>
      <c r="J12" s="67"/>
      <c r="K12" s="31"/>
      <c r="L12" s="75">
        <v>12</v>
      </c>
      <c r="M12"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2" s="69"/>
      <c r="O12" t="s">
        <v>702</v>
      </c>
      <c r="P12" s="76">
        <v>45508.065972222219</v>
      </c>
      <c r="Q12" t="s">
        <v>1088</v>
      </c>
      <c r="R12" t="b">
        <v>0</v>
      </c>
      <c r="S12">
        <v>6</v>
      </c>
      <c r="T12">
        <v>25</v>
      </c>
      <c r="U12">
        <v>1</v>
      </c>
      <c r="V12">
        <v>1</v>
      </c>
      <c r="W12">
        <v>10983</v>
      </c>
      <c r="X12" s="77" t="s">
        <v>1130</v>
      </c>
      <c r="Y12" s="78" t="str">
        <f>HYPERLINK("https://tinyurl.com/29txoctt")</f>
        <v>https://tinyurl.com/29txoctt</v>
      </c>
      <c r="Z12" t="s">
        <v>1182</v>
      </c>
      <c r="AA12" t="s">
        <v>587</v>
      </c>
      <c r="AB12" t="s">
        <v>1358</v>
      </c>
      <c r="AC12" t="s">
        <v>1359</v>
      </c>
      <c r="AD12" s="77" t="s">
        <v>1367</v>
      </c>
      <c r="AE12" t="s">
        <v>1385</v>
      </c>
      <c r="AF12" s="78" t="str">
        <f>HYPERLINK("https://twitter.com/el_universal_mx/status/1819909871640461645")</f>
        <v>https://twitter.com/el_universal_mx/status/1819909871640461645</v>
      </c>
      <c r="AG12" s="76">
        <v>45508.065972222219</v>
      </c>
      <c r="AH12" s="80">
        <v>45508</v>
      </c>
      <c r="AI12" s="77" t="s">
        <v>1764</v>
      </c>
      <c r="AJ12" t="b">
        <v>0</v>
      </c>
      <c r="AR12" t="s">
        <v>1871</v>
      </c>
      <c r="AW12" s="78" t="str">
        <f>HYPERLINK("https://pbs.twimg.com/media/GUF1N1-XgAAQ9Gz.jpg")</f>
        <v>https://pbs.twimg.com/media/GUF1N1-XgAAQ9Gz.jpg</v>
      </c>
      <c r="AX12" s="77" t="s">
        <v>2254</v>
      </c>
      <c r="AY12" s="77" t="s">
        <v>2254</v>
      </c>
      <c r="BA12" s="77" t="s">
        <v>2494</v>
      </c>
      <c r="BB12" s="77" t="s">
        <v>2494</v>
      </c>
      <c r="BC12" s="77" t="s">
        <v>2494</v>
      </c>
      <c r="BD12" s="77" t="s">
        <v>2254</v>
      </c>
      <c r="BE12">
        <v>16676396</v>
      </c>
      <c r="BK12" s="112" t="str">
        <f>REPLACE(INDEX(GroupVertices[Group], MATCH("~"&amp;Edges[[#This Row],[Vertex 1]],GroupVertices[Vertex],0)),1,1,"")</f>
        <v>4</v>
      </c>
      <c r="BL12" s="112" t="str">
        <f>REPLACE(INDEX(GroupVertices[Group], MATCH("~"&amp;Edges[[#This Row],[Vertex 2]],GroupVertices[Vertex],0)),1,1,"")</f>
        <v>4</v>
      </c>
    </row>
    <row r="13" spans="1:64" x14ac:dyDescent="0.25">
      <c r="A13" s="61" t="s">
        <v>452</v>
      </c>
      <c r="B13" s="61" t="s">
        <v>452</v>
      </c>
      <c r="C13" s="62"/>
      <c r="D13" s="63"/>
      <c r="E13" s="64"/>
      <c r="F13" s="65"/>
      <c r="G13" s="62"/>
      <c r="H13" s="66"/>
      <c r="I13" s="67"/>
      <c r="J13" s="67"/>
      <c r="K13" s="31"/>
      <c r="L13" s="75">
        <v>13</v>
      </c>
      <c r="M13"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3" s="69"/>
      <c r="O13" t="s">
        <v>177</v>
      </c>
      <c r="P13" s="76">
        <v>45505.556041666663</v>
      </c>
      <c r="Q13" t="s">
        <v>1029</v>
      </c>
      <c r="R13" t="b">
        <v>1</v>
      </c>
      <c r="S13">
        <v>18</v>
      </c>
      <c r="T13">
        <v>18</v>
      </c>
      <c r="U13">
        <v>1</v>
      </c>
      <c r="V13">
        <v>3</v>
      </c>
      <c r="W13">
        <v>7917</v>
      </c>
      <c r="X13" s="77" t="s">
        <v>1122</v>
      </c>
      <c r="Y13" s="78" t="str">
        <f>HYPERLINK("https://www.senapred.cl/informate/alerta/se-declara-alerta-roja-para-la-comuna-de-arauco-por-desborde-3")</f>
        <v>https://www.senapred.cl/informate/alerta/se-declara-alerta-roja-para-la-comuna-de-arauco-por-desborde-3</v>
      </c>
      <c r="Z13" t="s">
        <v>1197</v>
      </c>
      <c r="AB13" t="s">
        <v>1346</v>
      </c>
      <c r="AC13" t="s">
        <v>1359</v>
      </c>
      <c r="AD13" s="77" t="s">
        <v>1367</v>
      </c>
      <c r="AE13" t="s">
        <v>1385</v>
      </c>
      <c r="AF13" s="78" t="str">
        <f>HYPERLINK("https://twitter.com/senapred/status/1819000301866688700")</f>
        <v>https://twitter.com/senapred/status/1819000301866688700</v>
      </c>
      <c r="AG13" s="76">
        <v>45505.556041666663</v>
      </c>
      <c r="AH13" s="80">
        <v>45505</v>
      </c>
      <c r="AI13" s="77" t="s">
        <v>1707</v>
      </c>
      <c r="AJ13" t="b">
        <v>0</v>
      </c>
      <c r="AR13" t="s">
        <v>1859</v>
      </c>
      <c r="AW13" s="78" t="str">
        <f>HYPERLINK("https://pbs.twimg.com/media/GT5i14AWMAA3vPD.png")</f>
        <v>https://pbs.twimg.com/media/GT5i14AWMAA3vPD.png</v>
      </c>
      <c r="AX13" s="77" t="s">
        <v>2195</v>
      </c>
      <c r="AY13" s="77" t="s">
        <v>2195</v>
      </c>
      <c r="BA13" s="77" t="s">
        <v>2494</v>
      </c>
      <c r="BB13" s="77" t="s">
        <v>2494</v>
      </c>
      <c r="BC13" s="77" t="s">
        <v>2494</v>
      </c>
      <c r="BD13" s="77" t="s">
        <v>2195</v>
      </c>
      <c r="BE13">
        <v>112431151</v>
      </c>
      <c r="BK13" s="112" t="str">
        <f>REPLACE(INDEX(GroupVertices[Group], MATCH("~"&amp;Edges[[#This Row],[Vertex 1]],GroupVertices[Vertex],0)),1,1,"")</f>
        <v>99</v>
      </c>
      <c r="BL13" s="112" t="str">
        <f>REPLACE(INDEX(GroupVertices[Group], MATCH("~"&amp;Edges[[#This Row],[Vertex 2]],GroupVertices[Vertex],0)),1,1,"")</f>
        <v>99</v>
      </c>
    </row>
    <row r="14" spans="1:64" x14ac:dyDescent="0.25">
      <c r="A14" s="61" t="s">
        <v>467</v>
      </c>
      <c r="B14" s="61" t="s">
        <v>685</v>
      </c>
      <c r="C14" s="62"/>
      <c r="D14" s="63"/>
      <c r="E14" s="64"/>
      <c r="F14" s="65"/>
      <c r="G14" s="62"/>
      <c r="H14" s="66"/>
      <c r="I14" s="67"/>
      <c r="J14" s="67"/>
      <c r="K14" s="31"/>
      <c r="L14" s="75">
        <v>14</v>
      </c>
      <c r="M14"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4" s="69"/>
      <c r="O14" t="s">
        <v>701</v>
      </c>
      <c r="P14" s="76">
        <v>45509.915127314816</v>
      </c>
      <c r="Q14" t="s">
        <v>1044</v>
      </c>
      <c r="R14" t="b">
        <v>1</v>
      </c>
      <c r="S14">
        <v>9</v>
      </c>
      <c r="T14">
        <v>305</v>
      </c>
      <c r="U14">
        <v>9</v>
      </c>
      <c r="V14">
        <v>3</v>
      </c>
      <c r="W14">
        <v>6697</v>
      </c>
      <c r="AD14" s="77" t="s">
        <v>1366</v>
      </c>
      <c r="AE14" t="s">
        <v>1387</v>
      </c>
      <c r="AF14" s="78" t="str">
        <f>HYPERLINK("https://twitter.com/isidromz/status/1820579984937021575")</f>
        <v>https://twitter.com/isidromz/status/1820579984937021575</v>
      </c>
      <c r="AG14" s="76">
        <v>45509.915127314816</v>
      </c>
      <c r="AH14" s="80">
        <v>45509</v>
      </c>
      <c r="AI14" s="77" t="s">
        <v>1722</v>
      </c>
      <c r="AW14" s="78" t="str">
        <f>HYPERLINK("https://pbs.twimg.com/profile_images/1727743708869562368/I1HeESkh_normal.jpg")</f>
        <v>https://pbs.twimg.com/profile_images/1727743708869562368/I1HeESkh_normal.jpg</v>
      </c>
      <c r="AX14" s="77" t="s">
        <v>2210</v>
      </c>
      <c r="AY14" s="77" t="s">
        <v>2357</v>
      </c>
      <c r="AZ14" s="77" t="s">
        <v>2481</v>
      </c>
      <c r="BA14" s="77" t="s">
        <v>2357</v>
      </c>
      <c r="BB14" s="77" t="s">
        <v>2494</v>
      </c>
      <c r="BC14" s="77" t="s">
        <v>2494</v>
      </c>
      <c r="BD14" s="77" t="s">
        <v>2357</v>
      </c>
      <c r="BE14">
        <v>602589702</v>
      </c>
      <c r="BK14" s="112" t="str">
        <f>REPLACE(INDEX(GroupVertices[Group], MATCH("~"&amp;Edges[[#This Row],[Vertex 1]],GroupVertices[Vertex],0)),1,1,"")</f>
        <v>40</v>
      </c>
      <c r="BL14" s="112" t="str">
        <f>REPLACE(INDEX(GroupVertices[Group], MATCH("~"&amp;Edges[[#This Row],[Vertex 2]],GroupVertices[Vertex],0)),1,1,"")</f>
        <v>40</v>
      </c>
    </row>
    <row r="15" spans="1:64" x14ac:dyDescent="0.25">
      <c r="A15" s="61" t="s">
        <v>279</v>
      </c>
      <c r="B15" s="61" t="s">
        <v>279</v>
      </c>
      <c r="C15" s="62"/>
      <c r="D15" s="63"/>
      <c r="E15" s="64"/>
      <c r="F15" s="65"/>
      <c r="G15" s="62"/>
      <c r="H15" s="66"/>
      <c r="I15" s="67"/>
      <c r="J15" s="67"/>
      <c r="K15" s="31"/>
      <c r="L15" s="75">
        <v>15</v>
      </c>
      <c r="M15"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5" s="69"/>
      <c r="O15" t="s">
        <v>177</v>
      </c>
      <c r="P15" s="76">
        <v>45506.331134259257</v>
      </c>
      <c r="Q15" t="s">
        <v>781</v>
      </c>
      <c r="R15" t="b">
        <v>0</v>
      </c>
      <c r="S15">
        <v>1</v>
      </c>
      <c r="T15">
        <v>11</v>
      </c>
      <c r="U15">
        <v>1</v>
      </c>
      <c r="V15">
        <v>0</v>
      </c>
      <c r="W15">
        <v>6573</v>
      </c>
      <c r="AD15" s="77" t="s">
        <v>1365</v>
      </c>
      <c r="AE15" t="s">
        <v>1385</v>
      </c>
      <c r="AF15" s="78" t="str">
        <f>HYPERLINK("https://twitter.com/albammmedina/status/1819281186834747576")</f>
        <v>https://twitter.com/albammmedina/status/1819281186834747576</v>
      </c>
      <c r="AG15" s="76">
        <v>45506.331134259257</v>
      </c>
      <c r="AH15" s="80">
        <v>45506</v>
      </c>
      <c r="AI15" s="77" t="s">
        <v>1463</v>
      </c>
      <c r="AW15" s="78" t="str">
        <f>HYPERLINK("https://pbs.twimg.com/profile_images/1844719183910613006/Sjln39lc_normal.jpg")</f>
        <v>https://pbs.twimg.com/profile_images/1844719183910613006/Sjln39lc_normal.jpg</v>
      </c>
      <c r="AX15" s="77" t="s">
        <v>1947</v>
      </c>
      <c r="AY15" s="77" t="s">
        <v>1947</v>
      </c>
      <c r="BA15" s="77" t="s">
        <v>2494</v>
      </c>
      <c r="BB15" s="77" t="s">
        <v>2494</v>
      </c>
      <c r="BC15" s="77" t="s">
        <v>2494</v>
      </c>
      <c r="BD15" s="77" t="s">
        <v>1947</v>
      </c>
      <c r="BE15" s="77" t="s">
        <v>2404</v>
      </c>
      <c r="BK15" s="112" t="str">
        <f>REPLACE(INDEX(GroupVertices[Group], MATCH("~"&amp;Edges[[#This Row],[Vertex 1]],GroupVertices[Vertex],0)),1,1,"")</f>
        <v>102</v>
      </c>
      <c r="BL15" s="112" t="str">
        <f>REPLACE(INDEX(GroupVertices[Group], MATCH("~"&amp;Edges[[#This Row],[Vertex 2]],GroupVertices[Vertex],0)),1,1,"")</f>
        <v>102</v>
      </c>
    </row>
    <row r="16" spans="1:64" x14ac:dyDescent="0.25">
      <c r="A16" s="61" t="s">
        <v>281</v>
      </c>
      <c r="B16" s="61" t="s">
        <v>281</v>
      </c>
      <c r="C16" s="62"/>
      <c r="D16" s="63"/>
      <c r="E16" s="64"/>
      <c r="F16" s="65"/>
      <c r="G16" s="62"/>
      <c r="H16" s="66"/>
      <c r="I16" s="67"/>
      <c r="J16" s="67"/>
      <c r="K16" s="31"/>
      <c r="L16" s="75">
        <v>16</v>
      </c>
      <c r="M16"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6" s="69"/>
      <c r="O16" t="s">
        <v>177</v>
      </c>
      <c r="P16" s="76">
        <v>45506.461828703701</v>
      </c>
      <c r="Q16" t="s">
        <v>783</v>
      </c>
      <c r="R16" t="b">
        <v>0</v>
      </c>
      <c r="S16">
        <v>0</v>
      </c>
      <c r="T16">
        <v>0</v>
      </c>
      <c r="U16">
        <v>1</v>
      </c>
      <c r="V16">
        <v>0</v>
      </c>
      <c r="W16">
        <v>6535</v>
      </c>
      <c r="Y16" s="78" t="str">
        <f>HYPERLINK("https://www.meganoticias.cl/dato-util/454597-postulaciones-sae-2025-inscribir-sistema-de-admision-escolar-pdp-2-8-2024.html")</f>
        <v>https://www.meganoticias.cl/dato-util/454597-postulaciones-sae-2025-inscribir-sistema-de-admision-escolar-pdp-2-8-2024.html</v>
      </c>
      <c r="Z16" t="s">
        <v>1146</v>
      </c>
      <c r="AD16" s="77" t="s">
        <v>1369</v>
      </c>
      <c r="AE16" t="s">
        <v>1385</v>
      </c>
      <c r="AF16" s="78" t="str">
        <f>HYPERLINK("https://twitter.com/meganoticiascl/status/1819328549632819648")</f>
        <v>https://twitter.com/meganoticiascl/status/1819328549632819648</v>
      </c>
      <c r="AG16" s="76">
        <v>45506.461828703701</v>
      </c>
      <c r="AH16" s="80">
        <v>45506</v>
      </c>
      <c r="AI16" s="77" t="s">
        <v>1465</v>
      </c>
      <c r="AJ16" t="b">
        <v>0</v>
      </c>
      <c r="AW16" s="78" t="str">
        <f>HYPERLINK("https://pbs.twimg.com/profile_images/1148245378996813825/5fifZtEj_normal.png")</f>
        <v>https://pbs.twimg.com/profile_images/1148245378996813825/5fifZtEj_normal.png</v>
      </c>
      <c r="AX16" s="77" t="s">
        <v>1949</v>
      </c>
      <c r="AY16" s="77" t="s">
        <v>1949</v>
      </c>
      <c r="BA16" s="77" t="s">
        <v>2494</v>
      </c>
      <c r="BB16" s="77" t="s">
        <v>2494</v>
      </c>
      <c r="BC16" s="77" t="s">
        <v>2494</v>
      </c>
      <c r="BD16" s="77" t="s">
        <v>1949</v>
      </c>
      <c r="BE16">
        <v>58048133</v>
      </c>
      <c r="BK16" s="112" t="str">
        <f>REPLACE(INDEX(GroupVertices[Group], MATCH("~"&amp;Edges[[#This Row],[Vertex 1]],GroupVertices[Vertex],0)),1,1,"")</f>
        <v>212</v>
      </c>
      <c r="BL16" s="112" t="str">
        <f>REPLACE(INDEX(GroupVertices[Group], MATCH("~"&amp;Edges[[#This Row],[Vertex 2]],GroupVertices[Vertex],0)),1,1,"")</f>
        <v>212</v>
      </c>
    </row>
    <row r="17" spans="1:64" x14ac:dyDescent="0.25">
      <c r="A17" s="61" t="s">
        <v>476</v>
      </c>
      <c r="B17" s="61" t="s">
        <v>476</v>
      </c>
      <c r="C17" s="62"/>
      <c r="D17" s="63"/>
      <c r="E17" s="64"/>
      <c r="F17" s="65"/>
      <c r="G17" s="62"/>
      <c r="H17" s="66"/>
      <c r="I17" s="67"/>
      <c r="J17" s="67"/>
      <c r="K17" s="31"/>
      <c r="L17" s="75">
        <v>17</v>
      </c>
      <c r="M17"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7" s="69"/>
      <c r="O17" t="s">
        <v>701</v>
      </c>
      <c r="P17" s="76">
        <v>45509.933206018519</v>
      </c>
      <c r="Q17" t="s">
        <v>1055</v>
      </c>
      <c r="R17" t="b">
        <v>0</v>
      </c>
      <c r="S17">
        <v>152</v>
      </c>
      <c r="T17">
        <v>174</v>
      </c>
      <c r="U17">
        <v>12</v>
      </c>
      <c r="V17">
        <v>0</v>
      </c>
      <c r="W17">
        <v>6518</v>
      </c>
      <c r="AB17" t="s">
        <v>1352</v>
      </c>
      <c r="AC17" t="s">
        <v>1359</v>
      </c>
      <c r="AD17" s="77" t="s">
        <v>1367</v>
      </c>
      <c r="AE17" t="s">
        <v>1385</v>
      </c>
      <c r="AF17" s="78" t="str">
        <f>HYPERLINK("https://twitter.com/martinarrau/status/1820586533357019524")</f>
        <v>https://twitter.com/martinarrau/status/1820586533357019524</v>
      </c>
      <c r="AG17" s="76">
        <v>45509.933206018519</v>
      </c>
      <c r="AH17" s="80">
        <v>45509</v>
      </c>
      <c r="AI17" s="77" t="s">
        <v>1732</v>
      </c>
      <c r="AJ17" t="b">
        <v>0</v>
      </c>
      <c r="AR17" t="s">
        <v>1865</v>
      </c>
      <c r="AW17" s="78" t="str">
        <f>HYPERLINK("https://pbs.twimg.com/media/GUP__T9XUAEKOce.jpg")</f>
        <v>https://pbs.twimg.com/media/GUP__T9XUAEKOce.jpg</v>
      </c>
      <c r="AX17" s="77" t="s">
        <v>2221</v>
      </c>
      <c r="AY17" s="77" t="s">
        <v>2362</v>
      </c>
      <c r="AZ17" s="77" t="s">
        <v>2486</v>
      </c>
      <c r="BA17" s="77" t="s">
        <v>2528</v>
      </c>
      <c r="BB17" s="77" t="s">
        <v>2494</v>
      </c>
      <c r="BC17" s="77" t="s">
        <v>2494</v>
      </c>
      <c r="BD17" s="77" t="s">
        <v>2528</v>
      </c>
      <c r="BE17">
        <v>343106439</v>
      </c>
      <c r="BK17" s="112" t="str">
        <f>REPLACE(INDEX(GroupVertices[Group], MATCH("~"&amp;Edges[[#This Row],[Vertex 1]],GroupVertices[Vertex],0)),1,1,"")</f>
        <v>211</v>
      </c>
      <c r="BL17" s="112" t="str">
        <f>REPLACE(INDEX(GroupVertices[Group], MATCH("~"&amp;Edges[[#This Row],[Vertex 2]],GroupVertices[Vertex],0)),1,1,"")</f>
        <v>211</v>
      </c>
    </row>
    <row r="18" spans="1:64" x14ac:dyDescent="0.25">
      <c r="A18" s="61" t="s">
        <v>415</v>
      </c>
      <c r="B18" s="61" t="s">
        <v>415</v>
      </c>
      <c r="C18" s="62"/>
      <c r="D18" s="63"/>
      <c r="E18" s="64"/>
      <c r="F18" s="65"/>
      <c r="G18" s="62"/>
      <c r="H18" s="66"/>
      <c r="I18" s="67"/>
      <c r="J18" s="67"/>
      <c r="K18" s="31"/>
      <c r="L18" s="75">
        <v>18</v>
      </c>
      <c r="M18"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8" s="69"/>
      <c r="O18" t="s">
        <v>177</v>
      </c>
      <c r="P18" s="76">
        <v>45507.790347222224</v>
      </c>
      <c r="Q18" t="s">
        <v>983</v>
      </c>
      <c r="R18" t="b">
        <v>0</v>
      </c>
      <c r="S18">
        <v>12</v>
      </c>
      <c r="T18">
        <v>24</v>
      </c>
      <c r="U18">
        <v>11</v>
      </c>
      <c r="V18">
        <v>0</v>
      </c>
      <c r="W18">
        <v>5867</v>
      </c>
      <c r="Y18" s="78" t="str">
        <f>HYPERLINK("http://sistemadeadmisionescolar.cl")</f>
        <v>http://sistemadeadmisionescolar.cl</v>
      </c>
      <c r="Z18" t="s">
        <v>1137</v>
      </c>
      <c r="AB18" t="s">
        <v>1331</v>
      </c>
      <c r="AC18" t="s">
        <v>1359</v>
      </c>
      <c r="AD18" s="77" t="s">
        <v>1366</v>
      </c>
      <c r="AE18" t="s">
        <v>1385</v>
      </c>
      <c r="AF18" s="78" t="str">
        <f>HYPERLINK("https://twitter.com/gobiernodechile/status/1819809990275740043")</f>
        <v>https://twitter.com/gobiernodechile/status/1819809990275740043</v>
      </c>
      <c r="AG18" s="76">
        <v>45507.790347222224</v>
      </c>
      <c r="AH18" s="80">
        <v>45507</v>
      </c>
      <c r="AI18" s="77" t="s">
        <v>1663</v>
      </c>
      <c r="AJ18" t="b">
        <v>0</v>
      </c>
      <c r="AR18" t="s">
        <v>1844</v>
      </c>
      <c r="AW18" s="78" t="str">
        <f>HYPERLINK("https://pbs.twimg.com/media/GUFDiC-W4AAFfU2.jpg")</f>
        <v>https://pbs.twimg.com/media/GUFDiC-W4AAFfU2.jpg</v>
      </c>
      <c r="AX18" s="77" t="s">
        <v>2149</v>
      </c>
      <c r="AY18" s="77" t="s">
        <v>2149</v>
      </c>
      <c r="BA18" s="77" t="s">
        <v>2494</v>
      </c>
      <c r="BB18" s="77" t="s">
        <v>2494</v>
      </c>
      <c r="BC18" s="77" t="s">
        <v>2494</v>
      </c>
      <c r="BD18" s="77" t="s">
        <v>2149</v>
      </c>
      <c r="BE18">
        <v>42102939</v>
      </c>
      <c r="BK18" s="112" t="str">
        <f>REPLACE(INDEX(GroupVertices[Group], MATCH("~"&amp;Edges[[#This Row],[Vertex 1]],GroupVertices[Vertex],0)),1,1,"")</f>
        <v>210</v>
      </c>
      <c r="BL18" s="112" t="str">
        <f>REPLACE(INDEX(GroupVertices[Group], MATCH("~"&amp;Edges[[#This Row],[Vertex 2]],GroupVertices[Vertex],0)),1,1,"")</f>
        <v>210</v>
      </c>
    </row>
    <row r="19" spans="1:64" x14ac:dyDescent="0.25">
      <c r="A19" s="61" t="s">
        <v>358</v>
      </c>
      <c r="B19" s="61" t="s">
        <v>358</v>
      </c>
      <c r="C19" s="62"/>
      <c r="D19" s="63"/>
      <c r="E19" s="64"/>
      <c r="F19" s="65"/>
      <c r="G19" s="62"/>
      <c r="H19" s="66"/>
      <c r="I19" s="67"/>
      <c r="J19" s="67"/>
      <c r="K19" s="31"/>
      <c r="L19" s="75">
        <v>19</v>
      </c>
      <c r="M19"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9" s="69"/>
      <c r="O19" t="s">
        <v>177</v>
      </c>
      <c r="P19" s="76">
        <v>45505.333344907405</v>
      </c>
      <c r="Q19" t="s">
        <v>918</v>
      </c>
      <c r="R19" t="b">
        <v>0</v>
      </c>
      <c r="S19">
        <v>16</v>
      </c>
      <c r="T19">
        <v>169</v>
      </c>
      <c r="U19">
        <v>0</v>
      </c>
      <c r="V19">
        <v>6</v>
      </c>
      <c r="W19">
        <v>5485</v>
      </c>
      <c r="AB19" t="s">
        <v>1310</v>
      </c>
      <c r="AC19" t="s">
        <v>1359</v>
      </c>
      <c r="AD19" s="77" t="s">
        <v>1378</v>
      </c>
      <c r="AE19" t="s">
        <v>1385</v>
      </c>
      <c r="AF19" s="78" t="str">
        <f>HYPERLINK("https://twitter.com/ac_canela/status/1818919602144829446")</f>
        <v>https://twitter.com/ac_canela/status/1818919602144829446</v>
      </c>
      <c r="AG19" s="76">
        <v>45505.333344907405</v>
      </c>
      <c r="AH19" s="80">
        <v>45505</v>
      </c>
      <c r="AI19" s="77" t="s">
        <v>1598</v>
      </c>
      <c r="AJ19" t="b">
        <v>0</v>
      </c>
      <c r="AR19" t="s">
        <v>1823</v>
      </c>
      <c r="AW19" s="78" t="str">
        <f>HYPERLINK("https://pbs.twimg.com/media/GT1QC8DW0AAhmCy.jpg")</f>
        <v>https://pbs.twimg.com/media/GT1QC8DW0AAhmCy.jpg</v>
      </c>
      <c r="AX19" s="77" t="s">
        <v>2084</v>
      </c>
      <c r="AY19" s="77" t="s">
        <v>2084</v>
      </c>
      <c r="BA19" s="77" t="s">
        <v>2494</v>
      </c>
      <c r="BB19" s="77" t="s">
        <v>2494</v>
      </c>
      <c r="BC19" s="77" t="s">
        <v>2494</v>
      </c>
      <c r="BD19" s="77" t="s">
        <v>2084</v>
      </c>
      <c r="BE19">
        <v>1337043620</v>
      </c>
      <c r="BK19" s="112" t="str">
        <f>REPLACE(INDEX(GroupVertices[Group], MATCH("~"&amp;Edges[[#This Row],[Vertex 1]],GroupVertices[Vertex],0)),1,1,"")</f>
        <v>209</v>
      </c>
      <c r="BL19" s="112" t="str">
        <f>REPLACE(INDEX(GroupVertices[Group], MATCH("~"&amp;Edges[[#This Row],[Vertex 2]],GroupVertices[Vertex],0)),1,1,"")</f>
        <v>209</v>
      </c>
    </row>
    <row r="20" spans="1:64" x14ac:dyDescent="0.25">
      <c r="A20" s="61" t="s">
        <v>484</v>
      </c>
      <c r="B20" s="61" t="s">
        <v>484</v>
      </c>
      <c r="C20" s="62"/>
      <c r="D20" s="63"/>
      <c r="E20" s="64"/>
      <c r="F20" s="65"/>
      <c r="G20" s="62"/>
      <c r="H20" s="66"/>
      <c r="I20" s="67"/>
      <c r="J20" s="67"/>
      <c r="K20" s="31"/>
      <c r="L20" s="75">
        <v>20</v>
      </c>
      <c r="M20"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0" s="69"/>
      <c r="O20" t="s">
        <v>177</v>
      </c>
      <c r="P20" s="76">
        <v>45505.849675925929</v>
      </c>
      <c r="Q20" t="s">
        <v>1065</v>
      </c>
      <c r="R20" t="b">
        <v>0</v>
      </c>
      <c r="S20">
        <v>0</v>
      </c>
      <c r="T20">
        <v>0</v>
      </c>
      <c r="U20">
        <v>1</v>
      </c>
      <c r="V20">
        <v>0</v>
      </c>
      <c r="W20">
        <v>5416</v>
      </c>
      <c r="Y20" s="78" t="str">
        <f>HYPERLINK("https://www.cnnchile.com/servicios/sistema-de-admision-escolar-2025-como-cuando-y-donde-postular_20240801/")</f>
        <v>https://www.cnnchile.com/servicios/sistema-de-admision-escolar-2025-como-cuando-y-donde-postular_20240801/</v>
      </c>
      <c r="Z20" t="s">
        <v>1206</v>
      </c>
      <c r="AD20" s="77" t="s">
        <v>1367</v>
      </c>
      <c r="AE20" t="s">
        <v>1385</v>
      </c>
      <c r="AF20" s="78" t="str">
        <f>HYPERLINK("https://twitter.com/cnnchile/status/1819106711946301713")</f>
        <v>https://twitter.com/cnnchile/status/1819106711946301713</v>
      </c>
      <c r="AG20" s="76">
        <v>45505.849675925929</v>
      </c>
      <c r="AH20" s="80">
        <v>45505</v>
      </c>
      <c r="AI20" s="77" t="s">
        <v>1742</v>
      </c>
      <c r="AJ20" t="b">
        <v>0</v>
      </c>
      <c r="AW20" s="78" t="str">
        <f>HYPERLINK("https://pbs.twimg.com/profile_images/1795950495351099392/tCBkacRT_normal.jpg")</f>
        <v>https://pbs.twimg.com/profile_images/1795950495351099392/tCBkacRT_normal.jpg</v>
      </c>
      <c r="AX20" s="77" t="s">
        <v>2231</v>
      </c>
      <c r="AY20" s="77" t="s">
        <v>2231</v>
      </c>
      <c r="BA20" s="77" t="s">
        <v>2494</v>
      </c>
      <c r="BB20" s="77" t="s">
        <v>2494</v>
      </c>
      <c r="BC20" s="77" t="s">
        <v>2494</v>
      </c>
      <c r="BD20" s="77" t="s">
        <v>2231</v>
      </c>
      <c r="BE20">
        <v>18248645</v>
      </c>
      <c r="BK20" s="112" t="str">
        <f>REPLACE(INDEX(GroupVertices[Group], MATCH("~"&amp;Edges[[#This Row],[Vertex 1]],GroupVertices[Vertex],0)),1,1,"")</f>
        <v>76</v>
      </c>
      <c r="BL20" s="112" t="str">
        <f>REPLACE(INDEX(GroupVertices[Group], MATCH("~"&amp;Edges[[#This Row],[Vertex 2]],GroupVertices[Vertex],0)),1,1,"")</f>
        <v>76</v>
      </c>
    </row>
    <row r="21" spans="1:64" x14ac:dyDescent="0.25">
      <c r="A21" s="61" t="s">
        <v>366</v>
      </c>
      <c r="B21" s="61" t="s">
        <v>366</v>
      </c>
      <c r="C21" s="62"/>
      <c r="D21" s="63"/>
      <c r="E21" s="64"/>
      <c r="F21" s="65"/>
      <c r="G21" s="62"/>
      <c r="H21" s="66"/>
      <c r="I21" s="67"/>
      <c r="J21" s="67"/>
      <c r="K21" s="31"/>
      <c r="L21" s="75">
        <v>21</v>
      </c>
      <c r="M21"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1" s="69"/>
      <c r="O21" t="s">
        <v>177</v>
      </c>
      <c r="P21" s="76">
        <v>45507.986111111109</v>
      </c>
      <c r="Q21" t="s">
        <v>927</v>
      </c>
      <c r="R21" t="b">
        <v>0</v>
      </c>
      <c r="S21">
        <v>0</v>
      </c>
      <c r="T21">
        <v>2</v>
      </c>
      <c r="U21">
        <v>0</v>
      </c>
      <c r="V21">
        <v>0</v>
      </c>
      <c r="W21">
        <v>5013</v>
      </c>
      <c r="Y21" s="78" t="str">
        <f>HYPERLINK("https://www.chilevision.cl/noticias/nacional/sistema-admision-escolar-mitos-verdades-plataforma-postulacion-colegios")</f>
        <v>https://www.chilevision.cl/noticias/nacional/sistema-admision-escolar-mitos-verdades-plataforma-postulacion-colegios</v>
      </c>
      <c r="Z21" t="s">
        <v>1173</v>
      </c>
      <c r="AB21" t="s">
        <v>1312</v>
      </c>
      <c r="AC21" t="s">
        <v>1359</v>
      </c>
      <c r="AD21" s="77" t="s">
        <v>1379</v>
      </c>
      <c r="AE21" t="s">
        <v>1385</v>
      </c>
      <c r="AF21" s="78" t="str">
        <f>HYPERLINK("https://twitter.com/chvnoticias/status/1819880932276367826")</f>
        <v>https://twitter.com/chvnoticias/status/1819880932276367826</v>
      </c>
      <c r="AG21" s="76">
        <v>45507.986111111109</v>
      </c>
      <c r="AH21" s="80">
        <v>45507</v>
      </c>
      <c r="AI21" s="77" t="s">
        <v>1607</v>
      </c>
      <c r="AJ21" t="b">
        <v>0</v>
      </c>
      <c r="AR21" t="s">
        <v>1825</v>
      </c>
      <c r="AW21" s="78" t="str">
        <f>HYPERLINK("https://pbs.twimg.com/media/GUGEEGrWkAEZfpb.jpg")</f>
        <v>https://pbs.twimg.com/media/GUGEEGrWkAEZfpb.jpg</v>
      </c>
      <c r="AX21" s="77" t="s">
        <v>2093</v>
      </c>
      <c r="AY21" s="77" t="s">
        <v>2093</v>
      </c>
      <c r="BA21" s="77" t="s">
        <v>2494</v>
      </c>
      <c r="BB21" s="77" t="s">
        <v>2494</v>
      </c>
      <c r="BC21" s="77" t="s">
        <v>2494</v>
      </c>
      <c r="BD21" s="77" t="s">
        <v>2093</v>
      </c>
      <c r="BE21">
        <v>51326671</v>
      </c>
      <c r="BK21" s="112" t="str">
        <f>REPLACE(INDEX(GroupVertices[Group], MATCH("~"&amp;Edges[[#This Row],[Vertex 1]],GroupVertices[Vertex],0)),1,1,"")</f>
        <v>208</v>
      </c>
      <c r="BL21" s="112" t="str">
        <f>REPLACE(INDEX(GroupVertices[Group], MATCH("~"&amp;Edges[[#This Row],[Vertex 2]],GroupVertices[Vertex],0)),1,1,"")</f>
        <v>208</v>
      </c>
    </row>
    <row r="22" spans="1:64" x14ac:dyDescent="0.25">
      <c r="A22" s="61" t="s">
        <v>478</v>
      </c>
      <c r="B22" s="61" t="s">
        <v>478</v>
      </c>
      <c r="C22" s="62"/>
      <c r="D22" s="63"/>
      <c r="E22" s="64"/>
      <c r="F22" s="65"/>
      <c r="G22" s="62"/>
      <c r="H22" s="66"/>
      <c r="I22" s="67"/>
      <c r="J22" s="67"/>
      <c r="K22" s="31"/>
      <c r="L22" s="75">
        <v>22</v>
      </c>
      <c r="M22"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2" s="69"/>
      <c r="O22" t="s">
        <v>177</v>
      </c>
      <c r="P22" s="76">
        <v>45510.761805555558</v>
      </c>
      <c r="Q22" t="s">
        <v>1058</v>
      </c>
      <c r="R22" t="b">
        <v>0</v>
      </c>
      <c r="S22">
        <v>0</v>
      </c>
      <c r="T22">
        <v>0</v>
      </c>
      <c r="U22">
        <v>0</v>
      </c>
      <c r="V22">
        <v>0</v>
      </c>
      <c r="W22">
        <v>4544</v>
      </c>
      <c r="Y22" s="78" t="str">
        <f>HYPERLINK("https://www.adnradio.cl/2024/08/06/sistema-de-admision-escolar-2025-asi-funciona-la-plataforma-que-determina-el-colegio-que-le-corresponde-a-cada-estudiante-en-chile/")</f>
        <v>https://www.adnradio.cl/2024/08/06/sistema-de-admision-escolar-2025-asi-funciona-la-plataforma-que-determina-el-colegio-que-le-corresponde-a-cada-estudiante-en-chile/</v>
      </c>
      <c r="Z22" t="s">
        <v>1134</v>
      </c>
      <c r="AD22" s="77" t="s">
        <v>1371</v>
      </c>
      <c r="AE22" t="s">
        <v>1385</v>
      </c>
      <c r="AF22" s="78" t="str">
        <f>HYPERLINK("https://twitter.com/adnradiochile/status/1820886808932315563")</f>
        <v>https://twitter.com/adnradiochile/status/1820886808932315563</v>
      </c>
      <c r="AG22" s="76">
        <v>45510.761805555558</v>
      </c>
      <c r="AH22" s="80">
        <v>45510</v>
      </c>
      <c r="AI22" s="77" t="s">
        <v>1735</v>
      </c>
      <c r="AJ22" t="b">
        <v>0</v>
      </c>
      <c r="AW22" s="78" t="str">
        <f>HYPERLINK("https://pbs.twimg.com/profile_images/1924922438195765248/r4qbDJ3S_normal.jpg")</f>
        <v>https://pbs.twimg.com/profile_images/1924922438195765248/r4qbDJ3S_normal.jpg</v>
      </c>
      <c r="AX22" s="77" t="s">
        <v>2224</v>
      </c>
      <c r="AY22" s="77" t="s">
        <v>2224</v>
      </c>
      <c r="BA22" s="77" t="s">
        <v>2494</v>
      </c>
      <c r="BB22" s="77" t="s">
        <v>2494</v>
      </c>
      <c r="BC22" s="77" t="s">
        <v>2494</v>
      </c>
      <c r="BD22" s="77" t="s">
        <v>2224</v>
      </c>
      <c r="BE22">
        <v>201493641</v>
      </c>
      <c r="BK22" s="112" t="str">
        <f>REPLACE(INDEX(GroupVertices[Group], MATCH("~"&amp;Edges[[#This Row],[Vertex 1]],GroupVertices[Vertex],0)),1,1,"")</f>
        <v>85</v>
      </c>
      <c r="BL22" s="112" t="str">
        <f>REPLACE(INDEX(GroupVertices[Group], MATCH("~"&amp;Edges[[#This Row],[Vertex 2]],GroupVertices[Vertex],0)),1,1,"")</f>
        <v>85</v>
      </c>
    </row>
    <row r="23" spans="1:64" x14ac:dyDescent="0.25">
      <c r="A23" s="61" t="s">
        <v>266</v>
      </c>
      <c r="B23" s="61" t="s">
        <v>266</v>
      </c>
      <c r="C23" s="62"/>
      <c r="D23" s="63"/>
      <c r="E23" s="64"/>
      <c r="F23" s="65"/>
      <c r="G23" s="62"/>
      <c r="H23" s="66"/>
      <c r="I23" s="67"/>
      <c r="J23" s="67"/>
      <c r="K23" s="31"/>
      <c r="L23" s="75">
        <v>23</v>
      </c>
      <c r="M23"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3" s="69"/>
      <c r="O23" t="s">
        <v>177</v>
      </c>
      <c r="P23" s="76">
        <v>45506.167361111111</v>
      </c>
      <c r="Q23" t="s">
        <v>845</v>
      </c>
      <c r="R23" t="b">
        <v>0</v>
      </c>
      <c r="S23">
        <v>7</v>
      </c>
      <c r="T23">
        <v>14</v>
      </c>
      <c r="U23">
        <v>38</v>
      </c>
      <c r="V23">
        <v>2</v>
      </c>
      <c r="W23">
        <v>4312</v>
      </c>
      <c r="X23" s="77" t="s">
        <v>1102</v>
      </c>
      <c r="Y23" s="78" t="str">
        <f>HYPERLINK("http://sistemadeadmisionescolar.cl")</f>
        <v>http://sistemadeadmisionescolar.cl</v>
      </c>
      <c r="Z23" t="s">
        <v>1137</v>
      </c>
      <c r="AB23" t="s">
        <v>1286</v>
      </c>
      <c r="AC23" t="s">
        <v>1359</v>
      </c>
      <c r="AD23" s="77" t="s">
        <v>1367</v>
      </c>
      <c r="AE23" t="s">
        <v>1385</v>
      </c>
      <c r="AF23" s="78" t="str">
        <f>HYPERLINK("https://twitter.com/admisionescolar/status/1819221837567451366")</f>
        <v>https://twitter.com/admisionescolar/status/1819221837567451366</v>
      </c>
      <c r="AG23" s="76">
        <v>45506.167361111111</v>
      </c>
      <c r="AH23" s="80">
        <v>45506</v>
      </c>
      <c r="AI23" s="77" t="s">
        <v>1521</v>
      </c>
      <c r="AJ23" t="b">
        <v>0</v>
      </c>
      <c r="AR23" t="s">
        <v>1799</v>
      </c>
      <c r="AW23" s="78" t="str">
        <f>HYPERLINK("https://pbs.twimg.com/media/GT71HkHWUAA_ZOW.jpg")</f>
        <v>https://pbs.twimg.com/media/GT71HkHWUAA_ZOW.jpg</v>
      </c>
      <c r="AX23" s="77" t="s">
        <v>2011</v>
      </c>
      <c r="AY23" s="77" t="s">
        <v>2011</v>
      </c>
      <c r="BA23" s="77" t="s">
        <v>2494</v>
      </c>
      <c r="BB23" s="77" t="s">
        <v>2494</v>
      </c>
      <c r="BC23" s="77" t="s">
        <v>2494</v>
      </c>
      <c r="BD23" s="77" t="s">
        <v>2011</v>
      </c>
      <c r="BE23" s="77" t="s">
        <v>2553</v>
      </c>
      <c r="BK23" s="112" t="str">
        <f>REPLACE(INDEX(GroupVertices[Group], MATCH("~"&amp;Edges[[#This Row],[Vertex 1]],GroupVertices[Vertex],0)),1,1,"")</f>
        <v>5</v>
      </c>
      <c r="BL23" s="112" t="str">
        <f>REPLACE(INDEX(GroupVertices[Group], MATCH("~"&amp;Edges[[#This Row],[Vertex 2]],GroupVertices[Vertex],0)),1,1,"")</f>
        <v>5</v>
      </c>
    </row>
    <row r="24" spans="1:64" x14ac:dyDescent="0.25">
      <c r="A24" s="61" t="s">
        <v>303</v>
      </c>
      <c r="B24" s="61" t="s">
        <v>303</v>
      </c>
      <c r="C24" s="62"/>
      <c r="D24" s="63"/>
      <c r="E24" s="64"/>
      <c r="F24" s="65"/>
      <c r="G24" s="62"/>
      <c r="H24" s="66"/>
      <c r="I24" s="67"/>
      <c r="J24" s="67"/>
      <c r="K24" s="31"/>
      <c r="L24" s="75">
        <v>24</v>
      </c>
      <c r="M24"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4" s="69"/>
      <c r="O24" t="s">
        <v>177</v>
      </c>
      <c r="P24" s="76">
        <v>45509.749849537038</v>
      </c>
      <c r="Q24" t="s">
        <v>853</v>
      </c>
      <c r="R24" t="b">
        <v>0</v>
      </c>
      <c r="S24">
        <v>0</v>
      </c>
      <c r="T24">
        <v>1</v>
      </c>
      <c r="U24">
        <v>0</v>
      </c>
      <c r="V24">
        <v>0</v>
      </c>
      <c r="W24">
        <v>3764</v>
      </c>
      <c r="X24" s="77" t="s">
        <v>1104</v>
      </c>
      <c r="Y24" s="78" t="str">
        <f>HYPERLINK("https://www.24horas.cl/te-sirve/sistema-admision-escolar-sae-hasta-cuando-se-puede-postular")</f>
        <v>https://www.24horas.cl/te-sirve/sistema-admision-escolar-sae-hasta-cuando-se-puede-postular</v>
      </c>
      <c r="Z24" t="s">
        <v>1155</v>
      </c>
      <c r="AD24" s="77" t="s">
        <v>1371</v>
      </c>
      <c r="AE24" t="s">
        <v>1385</v>
      </c>
      <c r="AF24" s="78" t="str">
        <f>HYPERLINK("https://twitter.com/24horastvn/status/1820520090678575229")</f>
        <v>https://twitter.com/24horastvn/status/1820520090678575229</v>
      </c>
      <c r="AG24" s="76">
        <v>45509.749849537038</v>
      </c>
      <c r="AH24" s="80">
        <v>45509</v>
      </c>
      <c r="AI24" s="77" t="s">
        <v>1534</v>
      </c>
      <c r="AJ24" t="b">
        <v>0</v>
      </c>
      <c r="AW24" s="78" t="str">
        <f>HYPERLINK("https://pbs.twimg.com/profile_images/1785818970974486528/8OIPddjy_normal.jpg")</f>
        <v>https://pbs.twimg.com/profile_images/1785818970974486528/8OIPddjy_normal.jpg</v>
      </c>
      <c r="AX24" s="77" t="s">
        <v>2019</v>
      </c>
      <c r="AY24" s="77" t="s">
        <v>2019</v>
      </c>
      <c r="BA24" s="77" t="s">
        <v>2494</v>
      </c>
      <c r="BB24" s="77" t="s">
        <v>2494</v>
      </c>
      <c r="BC24" s="77" t="s">
        <v>2494</v>
      </c>
      <c r="BD24" s="77" t="s">
        <v>2019</v>
      </c>
      <c r="BE24">
        <v>90227660</v>
      </c>
      <c r="BK24" s="112" t="str">
        <f>REPLACE(INDEX(GroupVertices[Group], MATCH("~"&amp;Edges[[#This Row],[Vertex 1]],GroupVertices[Vertex],0)),1,1,"")</f>
        <v>207</v>
      </c>
      <c r="BL24" s="112" t="str">
        <f>REPLACE(INDEX(GroupVertices[Group], MATCH("~"&amp;Edges[[#This Row],[Vertex 2]],GroupVertices[Vertex],0)),1,1,"")</f>
        <v>207</v>
      </c>
    </row>
    <row r="25" spans="1:64" x14ac:dyDescent="0.25">
      <c r="A25" s="61" t="s">
        <v>277</v>
      </c>
      <c r="B25" s="61" t="s">
        <v>277</v>
      </c>
      <c r="C25" s="62"/>
      <c r="D25" s="63"/>
      <c r="E25" s="64"/>
      <c r="F25" s="65"/>
      <c r="G25" s="62"/>
      <c r="H25" s="66"/>
      <c r="I25" s="67"/>
      <c r="J25" s="67"/>
      <c r="K25" s="31"/>
      <c r="L25" s="75">
        <v>25</v>
      </c>
      <c r="M25"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5" s="69"/>
      <c r="O25" t="s">
        <v>177</v>
      </c>
      <c r="P25" s="76">
        <v>45506.777777777781</v>
      </c>
      <c r="Q25" t="s">
        <v>779</v>
      </c>
      <c r="R25" t="b">
        <v>0</v>
      </c>
      <c r="S25">
        <v>0</v>
      </c>
      <c r="T25">
        <v>0</v>
      </c>
      <c r="U25">
        <v>0</v>
      </c>
      <c r="V25">
        <v>0</v>
      </c>
      <c r="W25">
        <v>3690</v>
      </c>
      <c r="Y25" s="78" t="str">
        <f>HYPERLINK("https://www.latercera.com/servicios/noticia/sistema-de-admision-escolar-2025-revisa-como-postular-y-cuales-son-los-plazos/HENIWILQ4BDUNAYRQSK3LM6S5Y")</f>
        <v>https://www.latercera.com/servicios/noticia/sistema-de-admision-escolar-2025-revisa-como-postular-y-cuales-son-los-plazos/HENIWILQ4BDUNAYRQSK3LM6S5Y</v>
      </c>
      <c r="Z25" t="s">
        <v>1145</v>
      </c>
      <c r="AD25" s="77" t="s">
        <v>1367</v>
      </c>
      <c r="AE25" t="s">
        <v>1385</v>
      </c>
      <c r="AF25" s="78" t="str">
        <f>HYPERLINK("https://twitter.com/latercera/status/1819443045240393731")</f>
        <v>https://twitter.com/latercera/status/1819443045240393731</v>
      </c>
      <c r="AG25" s="76">
        <v>45506.777777777781</v>
      </c>
      <c r="AH25" s="80">
        <v>45506</v>
      </c>
      <c r="AI25" s="77" t="s">
        <v>1461</v>
      </c>
      <c r="AJ25" t="b">
        <v>0</v>
      </c>
      <c r="AW25" s="78" t="str">
        <f>HYPERLINK("https://pbs.twimg.com/profile_images/1850971815763394561/WNAOVJHf_normal.jpg")</f>
        <v>https://pbs.twimg.com/profile_images/1850971815763394561/WNAOVJHf_normal.jpg</v>
      </c>
      <c r="AX25" s="77" t="s">
        <v>1945</v>
      </c>
      <c r="AY25" s="77" t="s">
        <v>1945</v>
      </c>
      <c r="BA25" s="77" t="s">
        <v>2494</v>
      </c>
      <c r="BB25" s="77" t="s">
        <v>2494</v>
      </c>
      <c r="BC25" s="77" t="s">
        <v>2494</v>
      </c>
      <c r="BD25" s="77" t="s">
        <v>1945</v>
      </c>
      <c r="BE25">
        <v>3222731</v>
      </c>
      <c r="BK25" s="112" t="str">
        <f>REPLACE(INDEX(GroupVertices[Group], MATCH("~"&amp;Edges[[#This Row],[Vertex 1]],GroupVertices[Vertex],0)),1,1,"")</f>
        <v>206</v>
      </c>
      <c r="BL25" s="112" t="str">
        <f>REPLACE(INDEX(GroupVertices[Group], MATCH("~"&amp;Edges[[#This Row],[Vertex 2]],GroupVertices[Vertex],0)),1,1,"")</f>
        <v>206</v>
      </c>
    </row>
    <row r="26" spans="1:64" x14ac:dyDescent="0.25">
      <c r="A26" s="61" t="s">
        <v>300</v>
      </c>
      <c r="B26" s="61" t="s">
        <v>300</v>
      </c>
      <c r="C26" s="62"/>
      <c r="D26" s="63"/>
      <c r="E26" s="64"/>
      <c r="F26" s="65"/>
      <c r="G26" s="62"/>
      <c r="H26" s="66"/>
      <c r="I26" s="67"/>
      <c r="J26" s="67"/>
      <c r="K26" s="31"/>
      <c r="L26" s="75">
        <v>26</v>
      </c>
      <c r="M26"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6" s="69"/>
      <c r="O26" t="s">
        <v>177</v>
      </c>
      <c r="P26" s="76">
        <v>45507.655497685184</v>
      </c>
      <c r="Q26" t="s">
        <v>850</v>
      </c>
      <c r="R26" t="b">
        <v>0</v>
      </c>
      <c r="S26">
        <v>1</v>
      </c>
      <c r="T26">
        <v>3</v>
      </c>
      <c r="U26">
        <v>0</v>
      </c>
      <c r="V26">
        <v>4</v>
      </c>
      <c r="W26">
        <v>3087</v>
      </c>
      <c r="Y26" s="78" t="str">
        <f>HYPERLINK("https://elpueblodeceuta.es/art/96610/un-hombre-siembra-el-caos-en-la-feria-con-un-cuchillo-de-la-tombola")</f>
        <v>https://elpueblodeceuta.es/art/96610/un-hombre-siembra-el-caos-en-la-feria-con-un-cuchillo-de-la-tombola</v>
      </c>
      <c r="Z26" t="s">
        <v>1154</v>
      </c>
      <c r="AB26" t="s">
        <v>1288</v>
      </c>
      <c r="AC26" t="s">
        <v>1359</v>
      </c>
      <c r="AD26" s="77" t="s">
        <v>1367</v>
      </c>
      <c r="AE26" t="s">
        <v>1385</v>
      </c>
      <c r="AF26" s="78" t="str">
        <f>HYPERLINK("https://twitter.com/elpueblodeceuta/status/1819761122175488038")</f>
        <v>https://twitter.com/elpueblodeceuta/status/1819761122175488038</v>
      </c>
      <c r="AG26" s="76">
        <v>45507.655497685184</v>
      </c>
      <c r="AH26" s="80">
        <v>45507</v>
      </c>
      <c r="AI26" s="77" t="s">
        <v>1531</v>
      </c>
      <c r="AJ26" t="b">
        <v>0</v>
      </c>
      <c r="AR26" t="s">
        <v>1801</v>
      </c>
      <c r="AW26" s="78" t="str">
        <f>HYPERLINK("https://pbs.twimg.com/media/GUEXFwcXQAAK3iB.jpg")</f>
        <v>https://pbs.twimg.com/media/GUEXFwcXQAAK3iB.jpg</v>
      </c>
      <c r="AX26" s="77" t="s">
        <v>2016</v>
      </c>
      <c r="AY26" s="77" t="s">
        <v>2016</v>
      </c>
      <c r="BA26" s="77" t="s">
        <v>2494</v>
      </c>
      <c r="BB26" s="77" t="s">
        <v>2494</v>
      </c>
      <c r="BC26" s="77" t="s">
        <v>2494</v>
      </c>
      <c r="BD26" s="77" t="s">
        <v>2016</v>
      </c>
      <c r="BE26">
        <v>308537634</v>
      </c>
      <c r="BK26" s="112" t="str">
        <f>REPLACE(INDEX(GroupVertices[Group], MATCH("~"&amp;Edges[[#This Row],[Vertex 1]],GroupVertices[Vertex],0)),1,1,"")</f>
        <v>205</v>
      </c>
      <c r="BL26" s="112" t="str">
        <f>REPLACE(INDEX(GroupVertices[Group], MATCH("~"&amp;Edges[[#This Row],[Vertex 2]],GroupVertices[Vertex],0)),1,1,"")</f>
        <v>205</v>
      </c>
    </row>
    <row r="27" spans="1:64" x14ac:dyDescent="0.25">
      <c r="A27" s="61" t="s">
        <v>491</v>
      </c>
      <c r="B27" s="61" t="s">
        <v>492</v>
      </c>
      <c r="C27" s="62"/>
      <c r="D27" s="63"/>
      <c r="E27" s="64"/>
      <c r="F27" s="65"/>
      <c r="G27" s="62"/>
      <c r="H27" s="66"/>
      <c r="I27" s="67"/>
      <c r="J27" s="67"/>
      <c r="K27" s="31"/>
      <c r="L27" s="75">
        <v>27</v>
      </c>
      <c r="M27"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7" s="69"/>
      <c r="O27" t="s">
        <v>701</v>
      </c>
      <c r="P27" s="76">
        <v>45510.096828703703</v>
      </c>
      <c r="Q27" t="s">
        <v>1072</v>
      </c>
      <c r="R27" t="b">
        <v>0</v>
      </c>
      <c r="S27">
        <v>0</v>
      </c>
      <c r="T27">
        <v>18</v>
      </c>
      <c r="U27">
        <v>1</v>
      </c>
      <c r="V27">
        <v>0</v>
      </c>
      <c r="W27">
        <v>2933</v>
      </c>
      <c r="AA27" t="s">
        <v>492</v>
      </c>
      <c r="AD27" s="77" t="s">
        <v>1365</v>
      </c>
      <c r="AE27" t="s">
        <v>1385</v>
      </c>
      <c r="AF27" s="78" t="str">
        <f>HYPERLINK("https://twitter.com/ellioctop/status/1820645828035252699")</f>
        <v>https://twitter.com/ellioctop/status/1820645828035252699</v>
      </c>
      <c r="AG27" s="76">
        <v>45510.096828703703</v>
      </c>
      <c r="AH27" s="80">
        <v>45510</v>
      </c>
      <c r="AI27" s="77" t="s">
        <v>1749</v>
      </c>
      <c r="AW27" s="78" t="str">
        <f>HYPERLINK("https://pbs.twimg.com/profile_images/1462988078855770112/5PY2-yjT_normal.jpg")</f>
        <v>https://pbs.twimg.com/profile_images/1462988078855770112/5PY2-yjT_normal.jpg</v>
      </c>
      <c r="AX27" s="77" t="s">
        <v>2238</v>
      </c>
      <c r="AY27" s="77" t="s">
        <v>2363</v>
      </c>
      <c r="AZ27" s="77" t="s">
        <v>2487</v>
      </c>
      <c r="BA27" s="77" t="s">
        <v>2363</v>
      </c>
      <c r="BB27" s="77" t="s">
        <v>2494</v>
      </c>
      <c r="BC27" s="77" t="s">
        <v>2494</v>
      </c>
      <c r="BD27" s="77" t="s">
        <v>2363</v>
      </c>
      <c r="BE27" s="77" t="s">
        <v>2488</v>
      </c>
      <c r="BK27" s="112" t="str">
        <f>REPLACE(INDEX(GroupVertices[Group], MATCH("~"&amp;Edges[[#This Row],[Vertex 1]],GroupVertices[Vertex],0)),1,1,"")</f>
        <v>113</v>
      </c>
      <c r="BL27" s="112" t="str">
        <f>REPLACE(INDEX(GroupVertices[Group], MATCH("~"&amp;Edges[[#This Row],[Vertex 2]],GroupVertices[Vertex],0)),1,1,"")</f>
        <v>113</v>
      </c>
    </row>
    <row r="28" spans="1:64" x14ac:dyDescent="0.25">
      <c r="A28" s="61" t="s">
        <v>492</v>
      </c>
      <c r="B28" s="61" t="s">
        <v>491</v>
      </c>
      <c r="C28" s="62"/>
      <c r="D28" s="63"/>
      <c r="E28" s="64"/>
      <c r="F28" s="65"/>
      <c r="G28" s="62"/>
      <c r="H28" s="66"/>
      <c r="I28" s="67"/>
      <c r="J28" s="67"/>
      <c r="K28" s="31"/>
      <c r="L28" s="75">
        <v>28</v>
      </c>
      <c r="M28"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8" s="69"/>
      <c r="O28" t="s">
        <v>701</v>
      </c>
      <c r="P28" s="76">
        <v>45510.099548611113</v>
      </c>
      <c r="Q28" t="s">
        <v>1073</v>
      </c>
      <c r="R28" t="b">
        <v>0</v>
      </c>
      <c r="S28">
        <v>0</v>
      </c>
      <c r="T28">
        <v>46</v>
      </c>
      <c r="U28">
        <v>2</v>
      </c>
      <c r="V28">
        <v>0</v>
      </c>
      <c r="W28">
        <v>2700</v>
      </c>
      <c r="AA28" t="s">
        <v>491</v>
      </c>
      <c r="AD28" s="77" t="s">
        <v>1367</v>
      </c>
      <c r="AE28" t="s">
        <v>1385</v>
      </c>
      <c r="AF28" s="78" t="str">
        <f>HYPERLINK("https://twitter.com/mictia00/status/1820646815248592989")</f>
        <v>https://twitter.com/mictia00/status/1820646815248592989</v>
      </c>
      <c r="AG28" s="76">
        <v>45510.099548611113</v>
      </c>
      <c r="AH28" s="80">
        <v>45510</v>
      </c>
      <c r="AI28" s="77" t="s">
        <v>1750</v>
      </c>
      <c r="AW28" s="78" t="str">
        <f>HYPERLINK("https://pbs.twimg.com/profile_images/1554930496634867712/Eq6nPPH1_normal.jpg")</f>
        <v>https://pbs.twimg.com/profile_images/1554930496634867712/Eq6nPPH1_normal.jpg</v>
      </c>
      <c r="AX28" s="77" t="s">
        <v>2239</v>
      </c>
      <c r="AY28" s="77" t="s">
        <v>2363</v>
      </c>
      <c r="AZ28" s="77" t="s">
        <v>2488</v>
      </c>
      <c r="BA28" s="77" t="s">
        <v>2238</v>
      </c>
      <c r="BB28" s="77" t="s">
        <v>2494</v>
      </c>
      <c r="BC28" s="77" t="s">
        <v>2494</v>
      </c>
      <c r="BD28" s="77" t="s">
        <v>2238</v>
      </c>
      <c r="BE28" s="77" t="s">
        <v>2487</v>
      </c>
      <c r="BK28" s="112" t="str">
        <f>REPLACE(INDEX(GroupVertices[Group], MATCH("~"&amp;Edges[[#This Row],[Vertex 1]],GroupVertices[Vertex],0)),1,1,"")</f>
        <v>113</v>
      </c>
      <c r="BL28" s="112" t="str">
        <f>REPLACE(INDEX(GroupVertices[Group], MATCH("~"&amp;Edges[[#This Row],[Vertex 2]],GroupVertices[Vertex],0)),1,1,"")</f>
        <v>113</v>
      </c>
    </row>
    <row r="29" spans="1:64" x14ac:dyDescent="0.25">
      <c r="A29" s="61" t="s">
        <v>274</v>
      </c>
      <c r="B29" s="61" t="s">
        <v>514</v>
      </c>
      <c r="C29" s="62"/>
      <c r="D29" s="63"/>
      <c r="E29" s="64"/>
      <c r="F29" s="65"/>
      <c r="G29" s="62"/>
      <c r="H29" s="66"/>
      <c r="I29" s="67"/>
      <c r="J29" s="67"/>
      <c r="K29" s="31"/>
      <c r="L29" s="75">
        <v>29</v>
      </c>
      <c r="M29"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9" s="69"/>
      <c r="O29" t="s">
        <v>701</v>
      </c>
      <c r="P29" s="76">
        <v>45505.613194444442</v>
      </c>
      <c r="Q29" t="s">
        <v>776</v>
      </c>
      <c r="R29" t="b">
        <v>0</v>
      </c>
      <c r="S29">
        <v>1</v>
      </c>
      <c r="T29">
        <v>3</v>
      </c>
      <c r="U29">
        <v>1</v>
      </c>
      <c r="V29">
        <v>0</v>
      </c>
      <c r="W29">
        <v>2577</v>
      </c>
      <c r="AA29" t="s">
        <v>514</v>
      </c>
      <c r="AD29" s="77" t="s">
        <v>1365</v>
      </c>
      <c r="AE29" t="s">
        <v>1385</v>
      </c>
      <c r="AF29" s="78" t="str">
        <f>HYPERLINK("https://twitter.com/shoffy_vf/status/1819021015839617109")</f>
        <v>https://twitter.com/shoffy_vf/status/1819021015839617109</v>
      </c>
      <c r="AG29" s="76">
        <v>45505.613194444442</v>
      </c>
      <c r="AH29" s="80">
        <v>45505</v>
      </c>
      <c r="AI29" s="77" t="s">
        <v>1458</v>
      </c>
      <c r="AW29" s="78" t="str">
        <f>HYPERLINK("https://pbs.twimg.com/profile_images/1649978134597345284/VIYJ7vcm_normal.jpg")</f>
        <v>https://pbs.twimg.com/profile_images/1649978134597345284/VIYJ7vcm_normal.jpg</v>
      </c>
      <c r="AX29" s="77" t="s">
        <v>1942</v>
      </c>
      <c r="AY29" s="77" t="s">
        <v>2259</v>
      </c>
      <c r="AZ29" s="77" t="s">
        <v>2373</v>
      </c>
      <c r="BA29" s="77" t="s">
        <v>2259</v>
      </c>
      <c r="BB29" s="77" t="s">
        <v>2494</v>
      </c>
      <c r="BC29" s="77" t="s">
        <v>2494</v>
      </c>
      <c r="BD29" s="77" t="s">
        <v>2259</v>
      </c>
      <c r="BE29">
        <v>475071898</v>
      </c>
      <c r="BK29" s="112" t="str">
        <f>REPLACE(INDEX(GroupVertices[Group], MATCH("~"&amp;Edges[[#This Row],[Vertex 1]],GroupVertices[Vertex],0)),1,1,"")</f>
        <v>7</v>
      </c>
      <c r="BL29" s="112" t="str">
        <f>REPLACE(INDEX(GroupVertices[Group], MATCH("~"&amp;Edges[[#This Row],[Vertex 2]],GroupVertices[Vertex],0)),1,1,"")</f>
        <v>7</v>
      </c>
    </row>
    <row r="30" spans="1:64" x14ac:dyDescent="0.25">
      <c r="A30" s="61" t="s">
        <v>438</v>
      </c>
      <c r="B30" s="61" t="s">
        <v>443</v>
      </c>
      <c r="C30" s="62"/>
      <c r="D30" s="63"/>
      <c r="E30" s="64"/>
      <c r="F30" s="65"/>
      <c r="G30" s="62"/>
      <c r="H30" s="66"/>
      <c r="I30" s="67"/>
      <c r="J30" s="67"/>
      <c r="K30" s="31"/>
      <c r="L30" s="75">
        <v>30</v>
      </c>
      <c r="M30"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0" s="69"/>
      <c r="O30" t="s">
        <v>704</v>
      </c>
      <c r="P30" s="76">
        <v>45507.926631944443</v>
      </c>
      <c r="Q30" t="s">
        <v>1013</v>
      </c>
      <c r="R30" t="b">
        <v>0</v>
      </c>
      <c r="S30">
        <v>0</v>
      </c>
      <c r="T30">
        <v>4</v>
      </c>
      <c r="U30">
        <v>0</v>
      </c>
      <c r="V30">
        <v>0</v>
      </c>
      <c r="W30">
        <v>2401</v>
      </c>
      <c r="AD30" s="77" t="s">
        <v>1365</v>
      </c>
      <c r="AE30" t="s">
        <v>1385</v>
      </c>
      <c r="AF30" s="78" t="str">
        <f>HYPERLINK("https://twitter.com/zurdaburguesa/status/1819859377957777627")</f>
        <v>https://twitter.com/zurdaburguesa/status/1819859377957777627</v>
      </c>
      <c r="AG30" s="76">
        <v>45507.926631944443</v>
      </c>
      <c r="AH30" s="80">
        <v>45507</v>
      </c>
      <c r="AI30" s="77" t="s">
        <v>1691</v>
      </c>
      <c r="AW30" s="78" t="str">
        <f>HYPERLINK("https://pbs.twimg.com/profile_images/1918706212738093056/xXAZADLH_normal.jpg")</f>
        <v>https://pbs.twimg.com/profile_images/1918706212738093056/xXAZADLH_normal.jpg</v>
      </c>
      <c r="AX30" s="77" t="s">
        <v>2179</v>
      </c>
      <c r="AY30" s="77" t="s">
        <v>2179</v>
      </c>
      <c r="BA30" s="77" t="s">
        <v>2494</v>
      </c>
      <c r="BB30" s="77" t="s">
        <v>2184</v>
      </c>
      <c r="BC30" s="77" t="s">
        <v>2494</v>
      </c>
      <c r="BD30" s="77" t="s">
        <v>2184</v>
      </c>
      <c r="BE30" s="77" t="s">
        <v>2618</v>
      </c>
      <c r="BK30" s="112" t="str">
        <f>REPLACE(INDEX(GroupVertices[Group], MATCH("~"&amp;Edges[[#This Row],[Vertex 1]],GroupVertices[Vertex],0)),1,1,"")</f>
        <v>112</v>
      </c>
      <c r="BL30" s="112" t="str">
        <f>REPLACE(INDEX(GroupVertices[Group], MATCH("~"&amp;Edges[[#This Row],[Vertex 2]],GroupVertices[Vertex],0)),1,1,"")</f>
        <v>112</v>
      </c>
    </row>
    <row r="31" spans="1:64" x14ac:dyDescent="0.25">
      <c r="A31" s="61" t="s">
        <v>312</v>
      </c>
      <c r="B31" s="61" t="s">
        <v>312</v>
      </c>
      <c r="C31" s="62"/>
      <c r="D31" s="63"/>
      <c r="E31" s="64"/>
      <c r="F31" s="65"/>
      <c r="G31" s="62"/>
      <c r="H31" s="66"/>
      <c r="I31" s="67"/>
      <c r="J31" s="67"/>
      <c r="K31" s="31"/>
      <c r="L31" s="75">
        <v>31</v>
      </c>
      <c r="M31"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1" s="69"/>
      <c r="O31" t="s">
        <v>177</v>
      </c>
      <c r="P31" s="76">
        <v>45506.491076388891</v>
      </c>
      <c r="Q31" t="s">
        <v>862</v>
      </c>
      <c r="R31" t="b">
        <v>0</v>
      </c>
      <c r="S31">
        <v>2</v>
      </c>
      <c r="T31">
        <v>2</v>
      </c>
      <c r="U31">
        <v>1</v>
      </c>
      <c r="V31">
        <v>0</v>
      </c>
      <c r="W31">
        <v>2299</v>
      </c>
      <c r="Y31" s="78" t="str">
        <f>HYPERLINK("https://eldesconcierto.cl/2024/08/02/video-tutorial-paso-a-paso-para-postular-a-su-estudiante-al-sistema-de-admision-escolar-sae?utm_term=Autofeed&amp;utm_medium=Social&amp;utm_source=Twitter#Echobox=1722597262")</f>
        <v>https://eldesconcierto.cl/2024/08/02/video-tutorial-paso-a-paso-para-postular-a-su-estudiante-al-sistema-de-admision-escolar-sae?utm_term=Autofeed&amp;utm_medium=Social&amp;utm_source=Twitter#Echobox=1722597262</v>
      </c>
      <c r="Z31" t="s">
        <v>1159</v>
      </c>
      <c r="AD31" s="77" t="s">
        <v>1373</v>
      </c>
      <c r="AE31" t="s">
        <v>1385</v>
      </c>
      <c r="AF31" s="78" t="str">
        <f>HYPERLINK("https://twitter.com/eldesconcierto/status/1819339147116491112")</f>
        <v>https://twitter.com/eldesconcierto/status/1819339147116491112</v>
      </c>
      <c r="AG31" s="76">
        <v>45506.491076388891</v>
      </c>
      <c r="AH31" s="80">
        <v>45506</v>
      </c>
      <c r="AI31" s="77" t="s">
        <v>1543</v>
      </c>
      <c r="AJ31" t="b">
        <v>0</v>
      </c>
      <c r="AW31" s="78" t="str">
        <f>HYPERLINK("https://pbs.twimg.com/profile_images/880103951999401984/nS7bBVZz_normal.jpg")</f>
        <v>https://pbs.twimg.com/profile_images/880103951999401984/nS7bBVZz_normal.jpg</v>
      </c>
      <c r="AX31" s="77" t="s">
        <v>2028</v>
      </c>
      <c r="AY31" s="77" t="s">
        <v>2028</v>
      </c>
      <c r="BA31" s="77" t="s">
        <v>2494</v>
      </c>
      <c r="BB31" s="77" t="s">
        <v>2494</v>
      </c>
      <c r="BC31" s="77" t="s">
        <v>2494</v>
      </c>
      <c r="BD31" s="77" t="s">
        <v>2028</v>
      </c>
      <c r="BE31">
        <v>613740623</v>
      </c>
      <c r="BK31" s="112" t="str">
        <f>REPLACE(INDEX(GroupVertices[Group], MATCH("~"&amp;Edges[[#This Row],[Vertex 1]],GroupVertices[Vertex],0)),1,1,"")</f>
        <v>204</v>
      </c>
      <c r="BL31" s="112" t="str">
        <f>REPLACE(INDEX(GroupVertices[Group], MATCH("~"&amp;Edges[[#This Row],[Vertex 2]],GroupVertices[Vertex],0)),1,1,"")</f>
        <v>204</v>
      </c>
    </row>
    <row r="32" spans="1:64" x14ac:dyDescent="0.25">
      <c r="A32" s="61" t="s">
        <v>355</v>
      </c>
      <c r="B32" s="61" t="s">
        <v>355</v>
      </c>
      <c r="C32" s="62"/>
      <c r="D32" s="63"/>
      <c r="E32" s="64"/>
      <c r="F32" s="65"/>
      <c r="G32" s="62"/>
      <c r="H32" s="66"/>
      <c r="I32" s="67"/>
      <c r="J32" s="67"/>
      <c r="K32" s="31"/>
      <c r="L32" s="75">
        <v>32</v>
      </c>
      <c r="M32"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2" s="69"/>
      <c r="O32" t="s">
        <v>177</v>
      </c>
      <c r="P32" s="76">
        <v>45510.837835648148</v>
      </c>
      <c r="Q32" t="s">
        <v>915</v>
      </c>
      <c r="R32" t="b">
        <v>0</v>
      </c>
      <c r="S32">
        <v>1</v>
      </c>
      <c r="T32">
        <v>3</v>
      </c>
      <c r="U32">
        <v>1</v>
      </c>
      <c r="V32">
        <v>1</v>
      </c>
      <c r="W32">
        <v>2074</v>
      </c>
      <c r="AD32" s="77" t="s">
        <v>1366</v>
      </c>
      <c r="AE32" t="s">
        <v>1385</v>
      </c>
      <c r="AF32" s="78" t="str">
        <f>HYPERLINK("https://twitter.com/elojoeneldedo/status/1820914361499619449")</f>
        <v>https://twitter.com/elojoeneldedo/status/1820914361499619449</v>
      </c>
      <c r="AG32" s="76">
        <v>45510.837835648148</v>
      </c>
      <c r="AH32" s="80">
        <v>45510</v>
      </c>
      <c r="AI32" s="77" t="s">
        <v>1595</v>
      </c>
      <c r="AW32" s="78" t="str">
        <f>HYPERLINK("https://pbs.twimg.com/profile_images/1672916979802423296/7PxhUeVI_normal.jpg")</f>
        <v>https://pbs.twimg.com/profile_images/1672916979802423296/7PxhUeVI_normal.jpg</v>
      </c>
      <c r="AX32" s="77" t="s">
        <v>2081</v>
      </c>
      <c r="AY32" s="77" t="s">
        <v>2081</v>
      </c>
      <c r="BA32" s="77" t="s">
        <v>2494</v>
      </c>
      <c r="BB32" s="77" t="s">
        <v>2494</v>
      </c>
      <c r="BC32" s="77" t="s">
        <v>2494</v>
      </c>
      <c r="BD32" s="77" t="s">
        <v>2081</v>
      </c>
      <c r="BE32">
        <v>1723004564</v>
      </c>
      <c r="BK32" s="112" t="str">
        <f>REPLACE(INDEX(GroupVertices[Group], MATCH("~"&amp;Edges[[#This Row],[Vertex 1]],GroupVertices[Vertex],0)),1,1,"")</f>
        <v>203</v>
      </c>
      <c r="BL32" s="112" t="str">
        <f>REPLACE(INDEX(GroupVertices[Group], MATCH("~"&amp;Edges[[#This Row],[Vertex 2]],GroupVertices[Vertex],0)),1,1,"")</f>
        <v>203</v>
      </c>
    </row>
    <row r="33" spans="1:64" x14ac:dyDescent="0.25">
      <c r="A33" s="61" t="s">
        <v>459</v>
      </c>
      <c r="B33" s="61" t="s">
        <v>681</v>
      </c>
      <c r="C33" s="62"/>
      <c r="D33" s="63"/>
      <c r="E33" s="64"/>
      <c r="F33" s="65"/>
      <c r="G33" s="62"/>
      <c r="H33" s="66"/>
      <c r="I33" s="67"/>
      <c r="J33" s="67"/>
      <c r="K33" s="31"/>
      <c r="L33" s="75">
        <v>33</v>
      </c>
      <c r="M33"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3" s="69"/>
      <c r="O33" t="s">
        <v>702</v>
      </c>
      <c r="P33" s="76">
        <v>45506.615381944444</v>
      </c>
      <c r="Q33" t="s">
        <v>1036</v>
      </c>
      <c r="R33" t="b">
        <v>0</v>
      </c>
      <c r="S33">
        <v>8</v>
      </c>
      <c r="T33">
        <v>17</v>
      </c>
      <c r="U33">
        <v>9</v>
      </c>
      <c r="V33">
        <v>2</v>
      </c>
      <c r="W33">
        <v>2040</v>
      </c>
      <c r="AA33" t="s">
        <v>1259</v>
      </c>
      <c r="AB33" t="s">
        <v>1347</v>
      </c>
      <c r="AC33" t="s">
        <v>1359</v>
      </c>
      <c r="AD33" s="77" t="s">
        <v>1365</v>
      </c>
      <c r="AE33" t="s">
        <v>1385</v>
      </c>
      <c r="AF33" s="78" t="str">
        <f>HYPERLINK("https://twitter.com/nico_cataldo/status/1819384197548761480")</f>
        <v>https://twitter.com/nico_cataldo/status/1819384197548761480</v>
      </c>
      <c r="AG33" s="76">
        <v>45506.615381944444</v>
      </c>
      <c r="AH33" s="80">
        <v>45506</v>
      </c>
      <c r="AI33" s="77" t="s">
        <v>1714</v>
      </c>
      <c r="AJ33" t="b">
        <v>0</v>
      </c>
      <c r="AR33" t="s">
        <v>1860</v>
      </c>
      <c r="AW33" s="78" t="str">
        <f>HYPERLINK("https://pbs.twimg.com/media/GT_ARvOWwAAfrS2.jpg")</f>
        <v>https://pbs.twimg.com/media/GT_ARvOWwAAfrS2.jpg</v>
      </c>
      <c r="AX33" s="77" t="s">
        <v>2202</v>
      </c>
      <c r="AY33" s="77" t="s">
        <v>2202</v>
      </c>
      <c r="BA33" s="77" t="s">
        <v>2494</v>
      </c>
      <c r="BB33" s="77" t="s">
        <v>2494</v>
      </c>
      <c r="BC33" s="77" t="s">
        <v>2494</v>
      </c>
      <c r="BD33" s="77" t="s">
        <v>2202</v>
      </c>
      <c r="BE33">
        <v>143547941</v>
      </c>
      <c r="BK33" s="112" t="str">
        <f>REPLACE(INDEX(GroupVertices[Group], MATCH("~"&amp;Edges[[#This Row],[Vertex 1]],GroupVertices[Vertex],0)),1,1,"")</f>
        <v>1</v>
      </c>
      <c r="BL33" s="112" t="str">
        <f>REPLACE(INDEX(GroupVertices[Group], MATCH("~"&amp;Edges[[#This Row],[Vertex 2]],GroupVertices[Vertex],0)),1,1,"")</f>
        <v>1</v>
      </c>
    </row>
    <row r="34" spans="1:64" x14ac:dyDescent="0.25">
      <c r="A34" s="61" t="s">
        <v>459</v>
      </c>
      <c r="B34" s="61" t="s">
        <v>461</v>
      </c>
      <c r="C34" s="62"/>
      <c r="D34" s="63"/>
      <c r="E34" s="64"/>
      <c r="F34" s="65"/>
      <c r="G34" s="62"/>
      <c r="H34" s="66"/>
      <c r="I34" s="67"/>
      <c r="J34" s="67"/>
      <c r="K34" s="31"/>
      <c r="L34" s="75">
        <v>34</v>
      </c>
      <c r="M34"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4" s="69"/>
      <c r="O34" t="s">
        <v>702</v>
      </c>
      <c r="P34" s="76">
        <v>45506.615381944444</v>
      </c>
      <c r="Q34" t="s">
        <v>1036</v>
      </c>
      <c r="R34" t="b">
        <v>0</v>
      </c>
      <c r="S34">
        <v>8</v>
      </c>
      <c r="T34">
        <v>17</v>
      </c>
      <c r="U34">
        <v>9</v>
      </c>
      <c r="V34">
        <v>2</v>
      </c>
      <c r="W34">
        <v>2040</v>
      </c>
      <c r="AA34" t="s">
        <v>1259</v>
      </c>
      <c r="AB34" t="s">
        <v>1347</v>
      </c>
      <c r="AC34" t="s">
        <v>1359</v>
      </c>
      <c r="AD34" s="77" t="s">
        <v>1365</v>
      </c>
      <c r="AE34" t="s">
        <v>1385</v>
      </c>
      <c r="AF34" s="78" t="str">
        <f>HYPERLINK("https://twitter.com/nico_cataldo/status/1819384197548761480")</f>
        <v>https://twitter.com/nico_cataldo/status/1819384197548761480</v>
      </c>
      <c r="AG34" s="76">
        <v>45506.615381944444</v>
      </c>
      <c r="AH34" s="80">
        <v>45506</v>
      </c>
      <c r="AI34" s="77" t="s">
        <v>1714</v>
      </c>
      <c r="AJ34" t="b">
        <v>0</v>
      </c>
      <c r="AR34" t="s">
        <v>1860</v>
      </c>
      <c r="AW34" s="78" t="str">
        <f>HYPERLINK("https://pbs.twimg.com/media/GT_ARvOWwAAfrS2.jpg")</f>
        <v>https://pbs.twimg.com/media/GT_ARvOWwAAfrS2.jpg</v>
      </c>
      <c r="AX34" s="77" t="s">
        <v>2202</v>
      </c>
      <c r="AY34" s="77" t="s">
        <v>2202</v>
      </c>
      <c r="BA34" s="77" t="s">
        <v>2494</v>
      </c>
      <c r="BB34" s="77" t="s">
        <v>2494</v>
      </c>
      <c r="BC34" s="77" t="s">
        <v>2494</v>
      </c>
      <c r="BD34" s="77" t="s">
        <v>2202</v>
      </c>
      <c r="BE34">
        <v>143547941</v>
      </c>
      <c r="BK34" s="112" t="str">
        <f>REPLACE(INDEX(GroupVertices[Group], MATCH("~"&amp;Edges[[#This Row],[Vertex 1]],GroupVertices[Vertex],0)),1,1,"")</f>
        <v>1</v>
      </c>
      <c r="BL34" s="112" t="str">
        <f>REPLACE(INDEX(GroupVertices[Group], MATCH("~"&amp;Edges[[#This Row],[Vertex 2]],GroupVertices[Vertex],0)),1,1,"")</f>
        <v>1</v>
      </c>
    </row>
    <row r="35" spans="1:64" x14ac:dyDescent="0.25">
      <c r="A35" s="61" t="s">
        <v>288</v>
      </c>
      <c r="B35" s="61" t="s">
        <v>560</v>
      </c>
      <c r="C35" s="62"/>
      <c r="D35" s="63"/>
      <c r="E35" s="64"/>
      <c r="F35" s="65"/>
      <c r="G35" s="62"/>
      <c r="H35" s="66"/>
      <c r="I35" s="67"/>
      <c r="J35" s="67"/>
      <c r="K35" s="31"/>
      <c r="L35" s="75">
        <v>35</v>
      </c>
      <c r="M35"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5" s="69"/>
      <c r="O35" t="s">
        <v>701</v>
      </c>
      <c r="P35" s="76">
        <v>45505.518993055557</v>
      </c>
      <c r="Q35" t="s">
        <v>791</v>
      </c>
      <c r="R35" t="b">
        <v>0</v>
      </c>
      <c r="S35">
        <v>0</v>
      </c>
      <c r="T35">
        <v>1</v>
      </c>
      <c r="U35">
        <v>0</v>
      </c>
      <c r="V35">
        <v>0</v>
      </c>
      <c r="W35">
        <v>1797</v>
      </c>
      <c r="AA35" t="s">
        <v>1224</v>
      </c>
      <c r="AD35" s="77" t="s">
        <v>1365</v>
      </c>
      <c r="AE35" t="s">
        <v>1385</v>
      </c>
      <c r="AF35" s="78" t="str">
        <f>HYPERLINK("https://twitter.com/alex_alic/status/1818986878206681391")</f>
        <v>https://twitter.com/alex_alic/status/1818986878206681391</v>
      </c>
      <c r="AG35" s="76">
        <v>45505.518993055557</v>
      </c>
      <c r="AH35" s="80">
        <v>45505</v>
      </c>
      <c r="AI35" s="77" t="s">
        <v>1473</v>
      </c>
      <c r="AW35" s="78" t="str">
        <f>HYPERLINK("https://pbs.twimg.com/profile_images/1787466031830585344/rmOMQzGH_normal.jpg")</f>
        <v>https://pbs.twimg.com/profile_images/1787466031830585344/rmOMQzGH_normal.jpg</v>
      </c>
      <c r="AX35" s="77" t="s">
        <v>1957</v>
      </c>
      <c r="AY35" s="77" t="s">
        <v>2289</v>
      </c>
      <c r="AZ35" s="77" t="s">
        <v>2408</v>
      </c>
      <c r="BA35" s="77" t="s">
        <v>2289</v>
      </c>
      <c r="BB35" s="77" t="s">
        <v>2494</v>
      </c>
      <c r="BC35" s="77" t="s">
        <v>2494</v>
      </c>
      <c r="BD35" s="77" t="s">
        <v>2289</v>
      </c>
      <c r="BE35">
        <v>282930614</v>
      </c>
      <c r="BK35" s="112" t="str">
        <f>REPLACE(INDEX(GroupVertices[Group], MATCH("~"&amp;Edges[[#This Row],[Vertex 1]],GroupVertices[Vertex],0)),1,1,"")</f>
        <v>8</v>
      </c>
      <c r="BL35" s="112" t="str">
        <f>REPLACE(INDEX(GroupVertices[Group], MATCH("~"&amp;Edges[[#This Row],[Vertex 2]],GroupVertices[Vertex],0)),1,1,"")</f>
        <v>8</v>
      </c>
    </row>
    <row r="36" spans="1:64" x14ac:dyDescent="0.25">
      <c r="A36" s="61" t="s">
        <v>288</v>
      </c>
      <c r="B36" s="61" t="s">
        <v>565</v>
      </c>
      <c r="C36" s="62"/>
      <c r="D36" s="63"/>
      <c r="E36" s="64"/>
      <c r="F36" s="65"/>
      <c r="G36" s="62"/>
      <c r="H36" s="66"/>
      <c r="I36" s="67"/>
      <c r="J36" s="67"/>
      <c r="K36" s="31"/>
      <c r="L36" s="75">
        <v>36</v>
      </c>
      <c r="M36"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6" s="69"/>
      <c r="O36" t="s">
        <v>703</v>
      </c>
      <c r="P36" s="76">
        <v>45505.518993055557</v>
      </c>
      <c r="Q36" t="s">
        <v>791</v>
      </c>
      <c r="R36" t="b">
        <v>0</v>
      </c>
      <c r="S36">
        <v>0</v>
      </c>
      <c r="T36">
        <v>1</v>
      </c>
      <c r="U36">
        <v>0</v>
      </c>
      <c r="V36">
        <v>0</v>
      </c>
      <c r="W36">
        <v>1797</v>
      </c>
      <c r="AA36" t="s">
        <v>1224</v>
      </c>
      <c r="AD36" s="77" t="s">
        <v>1365</v>
      </c>
      <c r="AE36" t="s">
        <v>1385</v>
      </c>
      <c r="AF36" s="78" t="str">
        <f>HYPERLINK("https://twitter.com/alex_alic/status/1818986878206681391")</f>
        <v>https://twitter.com/alex_alic/status/1818986878206681391</v>
      </c>
      <c r="AG36" s="76">
        <v>45505.518993055557</v>
      </c>
      <c r="AH36" s="80">
        <v>45505</v>
      </c>
      <c r="AI36" s="77" t="s">
        <v>1473</v>
      </c>
      <c r="AW36" s="78" t="str">
        <f>HYPERLINK("https://pbs.twimg.com/profile_images/1787466031830585344/rmOMQzGH_normal.jpg")</f>
        <v>https://pbs.twimg.com/profile_images/1787466031830585344/rmOMQzGH_normal.jpg</v>
      </c>
      <c r="AX36" s="77" t="s">
        <v>1957</v>
      </c>
      <c r="AY36" s="77" t="s">
        <v>2289</v>
      </c>
      <c r="AZ36" s="77" t="s">
        <v>2408</v>
      </c>
      <c r="BA36" s="77" t="s">
        <v>2289</v>
      </c>
      <c r="BB36" s="77" t="s">
        <v>2494</v>
      </c>
      <c r="BC36" s="77" t="s">
        <v>2494</v>
      </c>
      <c r="BD36" s="77" t="s">
        <v>2289</v>
      </c>
      <c r="BE36">
        <v>282930614</v>
      </c>
      <c r="BK36" s="112" t="str">
        <f>REPLACE(INDEX(GroupVertices[Group], MATCH("~"&amp;Edges[[#This Row],[Vertex 1]],GroupVertices[Vertex],0)),1,1,"")</f>
        <v>8</v>
      </c>
      <c r="BL36" s="112" t="str">
        <f>REPLACE(INDEX(GroupVertices[Group], MATCH("~"&amp;Edges[[#This Row],[Vertex 2]],GroupVertices[Vertex],0)),1,1,"")</f>
        <v>8</v>
      </c>
    </row>
    <row r="37" spans="1:64" x14ac:dyDescent="0.25">
      <c r="A37" s="61" t="s">
        <v>342</v>
      </c>
      <c r="B37" s="61" t="s">
        <v>342</v>
      </c>
      <c r="C37" s="62"/>
      <c r="D37" s="63"/>
      <c r="E37" s="64"/>
      <c r="F37" s="65"/>
      <c r="G37" s="62"/>
      <c r="H37" s="66"/>
      <c r="I37" s="67"/>
      <c r="J37" s="67"/>
      <c r="K37" s="31"/>
      <c r="L37" s="75">
        <v>37</v>
      </c>
      <c r="M37"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7" s="69"/>
      <c r="O37" t="s">
        <v>177</v>
      </c>
      <c r="P37" s="76">
        <v>45507.640081018515</v>
      </c>
      <c r="Q37" t="s">
        <v>901</v>
      </c>
      <c r="R37" t="b">
        <v>0</v>
      </c>
      <c r="S37">
        <v>1</v>
      </c>
      <c r="T37">
        <v>0</v>
      </c>
      <c r="U37">
        <v>1</v>
      </c>
      <c r="V37">
        <v>0</v>
      </c>
      <c r="W37">
        <v>1785</v>
      </c>
      <c r="Y37" s="78" t="str">
        <f>HYPERLINK("https://www.eitb.eus/es/noticias/sociedad/videos/detalle/9554891/video-cientos-de-premios-de-tombola-de-sanfermines-buscan-dueno-o-duena/")</f>
        <v>https://www.eitb.eus/es/noticias/sociedad/videos/detalle/9554891/video-cientos-de-premios-de-tombola-de-sanfermines-buscan-dueno-o-duena/</v>
      </c>
      <c r="Z37" t="s">
        <v>1167</v>
      </c>
      <c r="AD37" s="77" t="s">
        <v>1377</v>
      </c>
      <c r="AE37" t="s">
        <v>1385</v>
      </c>
      <c r="AF37" s="78" t="str">
        <f>HYPERLINK("https://twitter.com/eitbnoticias/status/1819755536356700247")</f>
        <v>https://twitter.com/eitbnoticias/status/1819755536356700247</v>
      </c>
      <c r="AG37" s="76">
        <v>45507.640081018515</v>
      </c>
      <c r="AH37" s="80">
        <v>45507</v>
      </c>
      <c r="AI37" s="77" t="s">
        <v>1581</v>
      </c>
      <c r="AJ37" t="b">
        <v>0</v>
      </c>
      <c r="AW37" s="78" t="str">
        <f>HYPERLINK("https://pbs.twimg.com/profile_images/1562080573803446275/vs2jntMr_normal.jpg")</f>
        <v>https://pbs.twimg.com/profile_images/1562080573803446275/vs2jntMr_normal.jpg</v>
      </c>
      <c r="AX37" s="77" t="s">
        <v>2067</v>
      </c>
      <c r="AY37" s="77" t="s">
        <v>2067</v>
      </c>
      <c r="BA37" s="77" t="s">
        <v>2494</v>
      </c>
      <c r="BB37" s="77" t="s">
        <v>2494</v>
      </c>
      <c r="BC37" s="77" t="s">
        <v>2494</v>
      </c>
      <c r="BD37" s="77" t="s">
        <v>2067</v>
      </c>
      <c r="BE37">
        <v>26728695</v>
      </c>
      <c r="BK37" s="112" t="str">
        <f>REPLACE(INDEX(GroupVertices[Group], MATCH("~"&amp;Edges[[#This Row],[Vertex 1]],GroupVertices[Vertex],0)),1,1,"")</f>
        <v>202</v>
      </c>
      <c r="BL37" s="112" t="str">
        <f>REPLACE(INDEX(GroupVertices[Group], MATCH("~"&amp;Edges[[#This Row],[Vertex 2]],GroupVertices[Vertex],0)),1,1,"")</f>
        <v>202</v>
      </c>
    </row>
    <row r="38" spans="1:64" x14ac:dyDescent="0.25">
      <c r="A38" s="61" t="s">
        <v>508</v>
      </c>
      <c r="B38" s="61" t="s">
        <v>514</v>
      </c>
      <c r="C38" s="62"/>
      <c r="D38" s="63"/>
      <c r="E38" s="64"/>
      <c r="F38" s="65"/>
      <c r="G38" s="62"/>
      <c r="H38" s="66"/>
      <c r="I38" s="67"/>
      <c r="J38" s="67"/>
      <c r="K38" s="31"/>
      <c r="L38" s="68">
        <v>38</v>
      </c>
      <c r="M38" s="68"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8" s="69"/>
      <c r="O38" t="s">
        <v>701</v>
      </c>
      <c r="P38" s="76">
        <v>45506.888356481482</v>
      </c>
      <c r="Q38" t="s">
        <v>1090</v>
      </c>
      <c r="R38" t="b">
        <v>0</v>
      </c>
      <c r="S38">
        <v>3</v>
      </c>
      <c r="T38">
        <v>13</v>
      </c>
      <c r="U38">
        <v>1</v>
      </c>
      <c r="V38">
        <v>0</v>
      </c>
      <c r="W38">
        <v>1769</v>
      </c>
      <c r="AA38" t="s">
        <v>514</v>
      </c>
      <c r="AD38" s="77" t="s">
        <v>1366</v>
      </c>
      <c r="AE38" t="s">
        <v>1385</v>
      </c>
      <c r="AF38" s="79" t="str">
        <f>HYPERLINK("https://twitter.com/alfaro_rob/status/1819483116714467359")</f>
        <v>https://twitter.com/alfaro_rob/status/1819483116714467359</v>
      </c>
      <c r="AG38" s="76">
        <v>45506.888356481482</v>
      </c>
      <c r="AH38" s="80">
        <v>45506</v>
      </c>
      <c r="AI38" s="77" t="s">
        <v>1766</v>
      </c>
      <c r="AW38" s="79" t="str">
        <f>HYPERLINK("https://pbs.twimg.com/profile_images/1661557266032541697/VW_HuQ7__normal.jpg")</f>
        <v>https://pbs.twimg.com/profile_images/1661557266032541697/VW_HuQ7__normal.jpg</v>
      </c>
      <c r="AX38" s="77" t="s">
        <v>2256</v>
      </c>
      <c r="AY38" s="77" t="s">
        <v>2370</v>
      </c>
      <c r="AZ38" s="77" t="s">
        <v>2373</v>
      </c>
      <c r="BA38" s="77" t="s">
        <v>2370</v>
      </c>
      <c r="BB38" s="77" t="s">
        <v>2494</v>
      </c>
      <c r="BC38" s="77" t="s">
        <v>2494</v>
      </c>
      <c r="BD38" s="77" t="s">
        <v>2370</v>
      </c>
      <c r="BE38" s="77" t="s">
        <v>2645</v>
      </c>
      <c r="BK38" s="112" t="str">
        <f>REPLACE(INDEX(GroupVertices[Group], MATCH("~"&amp;Edges[[#This Row],[Vertex 1]],GroupVertices[Vertex],0)),1,1,"")</f>
        <v>7</v>
      </c>
      <c r="BL38" s="112" t="str">
        <f>REPLACE(INDEX(GroupVertices[Group], MATCH("~"&amp;Edges[[#This Row],[Vertex 2]],GroupVertices[Vertex],0)),1,1,"")</f>
        <v>7</v>
      </c>
    </row>
    <row r="39" spans="1:64" x14ac:dyDescent="0.25">
      <c r="A39" s="61" t="s">
        <v>327</v>
      </c>
      <c r="B39" s="61" t="s">
        <v>327</v>
      </c>
      <c r="C39" s="62"/>
      <c r="D39" s="63"/>
      <c r="E39" s="64"/>
      <c r="F39" s="65"/>
      <c r="G39" s="62"/>
      <c r="H39" s="66"/>
      <c r="I39" s="67"/>
      <c r="J39" s="67"/>
      <c r="K39" s="31"/>
      <c r="L39" s="75">
        <v>39</v>
      </c>
      <c r="M39"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9" s="69"/>
      <c r="O39" t="s">
        <v>177</v>
      </c>
      <c r="P39" s="76">
        <v>45510.942002314812</v>
      </c>
      <c r="Q39" t="s">
        <v>879</v>
      </c>
      <c r="R39" t="b">
        <v>0</v>
      </c>
      <c r="S39">
        <v>1</v>
      </c>
      <c r="T39">
        <v>1</v>
      </c>
      <c r="U39">
        <v>1</v>
      </c>
      <c r="V39">
        <v>0</v>
      </c>
      <c r="W39">
        <v>1745</v>
      </c>
      <c r="AB39" t="s">
        <v>1294</v>
      </c>
      <c r="AC39" t="s">
        <v>1361</v>
      </c>
      <c r="AD39" s="77" t="s">
        <v>1375</v>
      </c>
      <c r="AE39" t="s">
        <v>1385</v>
      </c>
      <c r="AF39" s="78" t="str">
        <f>HYPERLINK("https://twitter.com/codereco/status/1820952108763369826")</f>
        <v>https://twitter.com/codereco/status/1820952108763369826</v>
      </c>
      <c r="AG39" s="76">
        <v>45510.942002314812</v>
      </c>
      <c r="AH39" s="80">
        <v>45510</v>
      </c>
      <c r="AI39" s="77" t="s">
        <v>1560</v>
      </c>
      <c r="AJ39" t="b">
        <v>0</v>
      </c>
      <c r="AR39" t="s">
        <v>1807</v>
      </c>
      <c r="AW39" s="78" t="str">
        <f>HYPERLINK("https://pbs.twimg.com/media/GUVSQd-X0AA1NM6.jpg")</f>
        <v>https://pbs.twimg.com/media/GUVSQd-X0AA1NM6.jpg</v>
      </c>
      <c r="AX39" s="77" t="s">
        <v>2045</v>
      </c>
      <c r="AY39" s="77" t="s">
        <v>2045</v>
      </c>
      <c r="BA39" s="77" t="s">
        <v>2494</v>
      </c>
      <c r="BB39" s="77" t="s">
        <v>2494</v>
      </c>
      <c r="BC39" s="77" t="s">
        <v>2494</v>
      </c>
      <c r="BD39" s="77" t="s">
        <v>2045</v>
      </c>
      <c r="BE39" s="77" t="s">
        <v>2577</v>
      </c>
      <c r="BK39" s="112" t="str">
        <f>REPLACE(INDEX(GroupVertices[Group], MATCH("~"&amp;Edges[[#This Row],[Vertex 1]],GroupVertices[Vertex],0)),1,1,"")</f>
        <v>201</v>
      </c>
      <c r="BL39" s="112" t="str">
        <f>REPLACE(INDEX(GroupVertices[Group], MATCH("~"&amp;Edges[[#This Row],[Vertex 2]],GroupVertices[Vertex],0)),1,1,"")</f>
        <v>201</v>
      </c>
    </row>
    <row r="40" spans="1:64" x14ac:dyDescent="0.25">
      <c r="A40" s="61" t="s">
        <v>427</v>
      </c>
      <c r="B40" s="61" t="s">
        <v>427</v>
      </c>
      <c r="C40" s="62"/>
      <c r="D40" s="63"/>
      <c r="E40" s="64"/>
      <c r="F40" s="65"/>
      <c r="G40" s="62"/>
      <c r="H40" s="66"/>
      <c r="I40" s="67"/>
      <c r="J40" s="67"/>
      <c r="K40" s="31"/>
      <c r="L40" s="75">
        <v>40</v>
      </c>
      <c r="M40"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0" s="69"/>
      <c r="O40" t="s">
        <v>177</v>
      </c>
      <c r="P40" s="76">
        <v>45506.468946759262</v>
      </c>
      <c r="Q40" t="s">
        <v>1002</v>
      </c>
      <c r="R40" t="b">
        <v>0</v>
      </c>
      <c r="S40">
        <v>0</v>
      </c>
      <c r="T40">
        <v>1</v>
      </c>
      <c r="U40">
        <v>0</v>
      </c>
      <c r="V40">
        <v>0</v>
      </c>
      <c r="W40">
        <v>1606</v>
      </c>
      <c r="Y40" s="78" t="str">
        <f>HYPERLINK("https://www.elpais.com.uy/informacion/servicios/conoce-los-resultados-de-la-quiniela-y-la-tombola-vespertina-y-nocturna-del-jueves-1-de-agosto-de-2024?utm_medium=social&amp;utm_campaign=elpaisuytw&amp;utm_source=Twitter")</f>
        <v>https://www.elpais.com.uy/informacion/servicios/conoce-los-resultados-de-la-quiniela-y-la-tombola-vespertina-y-nocturna-del-jueves-1-de-agosto-de-2024?utm_medium=social&amp;utm_campaign=elpaisuytw&amp;utm_source=Twitter</v>
      </c>
      <c r="Z40" t="s">
        <v>1188</v>
      </c>
      <c r="AD40" s="77" t="s">
        <v>1383</v>
      </c>
      <c r="AE40" t="s">
        <v>1385</v>
      </c>
      <c r="AF40" s="78" t="str">
        <f>HYPERLINK("https://twitter.com/elpaisuy/status/1819331129503019444")</f>
        <v>https://twitter.com/elpaisuy/status/1819331129503019444</v>
      </c>
      <c r="AG40" s="76">
        <v>45506.468946759262</v>
      </c>
      <c r="AH40" s="80">
        <v>45506</v>
      </c>
      <c r="AI40" s="77" t="s">
        <v>1680</v>
      </c>
      <c r="AJ40" t="b">
        <v>0</v>
      </c>
      <c r="AW40" s="78" t="str">
        <f>HYPERLINK("https://pbs.twimg.com/profile_images/1605567760821633024/HvUwbCnX_normal.jpg")</f>
        <v>https://pbs.twimg.com/profile_images/1605567760821633024/HvUwbCnX_normal.jpg</v>
      </c>
      <c r="AX40" s="77" t="s">
        <v>2168</v>
      </c>
      <c r="AY40" s="77" t="s">
        <v>2168</v>
      </c>
      <c r="BA40" s="77" t="s">
        <v>2494</v>
      </c>
      <c r="BB40" s="77" t="s">
        <v>2494</v>
      </c>
      <c r="BC40" s="77" t="s">
        <v>2494</v>
      </c>
      <c r="BD40" s="77" t="s">
        <v>2168</v>
      </c>
      <c r="BE40">
        <v>31459537</v>
      </c>
      <c r="BK40" s="112" t="str">
        <f>REPLACE(INDEX(GroupVertices[Group], MATCH("~"&amp;Edges[[#This Row],[Vertex 1]],GroupVertices[Vertex],0)),1,1,"")</f>
        <v>200</v>
      </c>
      <c r="BL40" s="112" t="str">
        <f>REPLACE(INDEX(GroupVertices[Group], MATCH("~"&amp;Edges[[#This Row],[Vertex 2]],GroupVertices[Vertex],0)),1,1,"")</f>
        <v>200</v>
      </c>
    </row>
    <row r="41" spans="1:64" x14ac:dyDescent="0.25">
      <c r="A41" s="61" t="s">
        <v>232</v>
      </c>
      <c r="B41" s="61" t="s">
        <v>232</v>
      </c>
      <c r="C41" s="62"/>
      <c r="D41" s="63"/>
      <c r="E41" s="64"/>
      <c r="F41" s="65"/>
      <c r="G41" s="62"/>
      <c r="H41" s="66"/>
      <c r="I41" s="67"/>
      <c r="J41" s="67"/>
      <c r="K41" s="31"/>
      <c r="L41" s="75">
        <v>41</v>
      </c>
      <c r="M41"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1" s="69"/>
      <c r="O41" t="s">
        <v>177</v>
      </c>
      <c r="P41" s="76">
        <v>45509.985439814816</v>
      </c>
      <c r="Q41" t="s">
        <v>715</v>
      </c>
      <c r="R41" t="b">
        <v>0</v>
      </c>
      <c r="S41">
        <v>24</v>
      </c>
      <c r="T41">
        <v>79</v>
      </c>
      <c r="U41">
        <v>1</v>
      </c>
      <c r="V41">
        <v>1</v>
      </c>
      <c r="W41">
        <v>1573</v>
      </c>
      <c r="X41" s="77" t="s">
        <v>1091</v>
      </c>
      <c r="Y41" s="78" t="str">
        <f>HYPERLINK("https://www.radioagricultura.cl/politica/2024/08/05/diputada-natalia-romero-urge-a-poner-fin-a-la-tombola-en-el-sistema-de-admision-escolar/")</f>
        <v>https://www.radioagricultura.cl/politica/2024/08/05/diputada-natalia-romero-urge-a-poner-fin-a-la-tombola-en-el-sistema-de-admision-escolar/</v>
      </c>
      <c r="Z41" t="s">
        <v>1135</v>
      </c>
      <c r="AD41" s="77" t="s">
        <v>1367</v>
      </c>
      <c r="AE41" t="s">
        <v>1385</v>
      </c>
      <c r="AF41" s="78" t="str">
        <f>HYPERLINK("https://twitter.com/agriculturafm/status/1820605465723605316")</f>
        <v>https://twitter.com/agriculturafm/status/1820605465723605316</v>
      </c>
      <c r="AG41" s="76">
        <v>45509.985439814816</v>
      </c>
      <c r="AH41" s="80">
        <v>45509</v>
      </c>
      <c r="AI41" s="77" t="s">
        <v>1397</v>
      </c>
      <c r="AJ41" t="b">
        <v>0</v>
      </c>
      <c r="AW41" s="78" t="str">
        <f>HYPERLINK("https://pbs.twimg.com/profile_images/1313203318299201544/Iq1fikES_normal.jpg")</f>
        <v>https://pbs.twimg.com/profile_images/1313203318299201544/Iq1fikES_normal.jpg</v>
      </c>
      <c r="AX41" s="77" t="s">
        <v>1881</v>
      </c>
      <c r="AY41" s="77" t="s">
        <v>1881</v>
      </c>
      <c r="BA41" s="77" t="s">
        <v>2494</v>
      </c>
      <c r="BB41" s="77" t="s">
        <v>2494</v>
      </c>
      <c r="BC41" s="77" t="s">
        <v>2494</v>
      </c>
      <c r="BD41" s="77" t="s">
        <v>1881</v>
      </c>
      <c r="BE41">
        <v>36409216</v>
      </c>
      <c r="BK41" s="112" t="str">
        <f>REPLACE(INDEX(GroupVertices[Group], MATCH("~"&amp;Edges[[#This Row],[Vertex 1]],GroupVertices[Vertex],0)),1,1,"")</f>
        <v>199</v>
      </c>
      <c r="BL41" s="112" t="str">
        <f>REPLACE(INDEX(GroupVertices[Group], MATCH("~"&amp;Edges[[#This Row],[Vertex 2]],GroupVertices[Vertex],0)),1,1,"")</f>
        <v>199</v>
      </c>
    </row>
    <row r="42" spans="1:64" x14ac:dyDescent="0.25">
      <c r="A42" s="61" t="s">
        <v>446</v>
      </c>
      <c r="B42" s="61" t="s">
        <v>447</v>
      </c>
      <c r="C42" s="62"/>
      <c r="D42" s="63"/>
      <c r="E42" s="64"/>
      <c r="F42" s="65"/>
      <c r="G42" s="62"/>
      <c r="H42" s="66"/>
      <c r="I42" s="67"/>
      <c r="J42" s="67"/>
      <c r="K42" s="31"/>
      <c r="L42" s="75">
        <v>42</v>
      </c>
      <c r="M42"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2" s="69"/>
      <c r="O42" t="s">
        <v>702</v>
      </c>
      <c r="P42" s="76">
        <v>45510.000706018516</v>
      </c>
      <c r="Q42" t="s">
        <v>1021</v>
      </c>
      <c r="R42" t="b">
        <v>0</v>
      </c>
      <c r="S42">
        <v>0</v>
      </c>
      <c r="T42">
        <v>5</v>
      </c>
      <c r="U42">
        <v>1</v>
      </c>
      <c r="V42">
        <v>0</v>
      </c>
      <c r="W42">
        <v>1563</v>
      </c>
      <c r="AA42" t="s">
        <v>447</v>
      </c>
      <c r="AB42" t="s">
        <v>1343</v>
      </c>
      <c r="AC42" t="s">
        <v>1360</v>
      </c>
      <c r="AD42" s="77" t="s">
        <v>1365</v>
      </c>
      <c r="AE42" t="s">
        <v>1385</v>
      </c>
      <c r="AF42" s="78" t="str">
        <f>HYPERLINK("https://twitter.com/manu14_jb/status/1820610995087122527")</f>
        <v>https://twitter.com/manu14_jb/status/1820610995087122527</v>
      </c>
      <c r="AG42" s="76">
        <v>45510.000706018516</v>
      </c>
      <c r="AH42" s="80">
        <v>45510</v>
      </c>
      <c r="AI42" s="77" t="s">
        <v>1699</v>
      </c>
      <c r="AJ42" t="b">
        <v>0</v>
      </c>
      <c r="AR42" t="s">
        <v>1856</v>
      </c>
      <c r="AS42">
        <v>26538</v>
      </c>
      <c r="AW42" s="78" t="str">
        <f>HYPERLINK("https://pbs.twimg.com/ext_tw_video_thumb/1820610955216125952/pu/img/ta9IL6Atkx20ceia.jpg")</f>
        <v>https://pbs.twimg.com/ext_tw_video_thumb/1820610955216125952/pu/img/ta9IL6Atkx20ceia.jpg</v>
      </c>
      <c r="AX42" s="77" t="s">
        <v>2187</v>
      </c>
      <c r="AY42" s="77" t="s">
        <v>2187</v>
      </c>
      <c r="BA42" s="77" t="s">
        <v>2494</v>
      </c>
      <c r="BB42" s="77" t="s">
        <v>2494</v>
      </c>
      <c r="BC42" s="77" t="s">
        <v>2494</v>
      </c>
      <c r="BD42" s="77" t="s">
        <v>2187</v>
      </c>
      <c r="BE42">
        <v>169239292</v>
      </c>
      <c r="BK42" s="112" t="str">
        <f>REPLACE(INDEX(GroupVertices[Group], MATCH("~"&amp;Edges[[#This Row],[Vertex 1]],GroupVertices[Vertex],0)),1,1,"")</f>
        <v>111</v>
      </c>
      <c r="BL42" s="112" t="str">
        <f>REPLACE(INDEX(GroupVertices[Group], MATCH("~"&amp;Edges[[#This Row],[Vertex 2]],GroupVertices[Vertex],0)),1,1,"")</f>
        <v>111</v>
      </c>
    </row>
    <row r="43" spans="1:64" x14ac:dyDescent="0.25">
      <c r="A43" s="61" t="s">
        <v>427</v>
      </c>
      <c r="B43" s="61" t="s">
        <v>427</v>
      </c>
      <c r="C43" s="62"/>
      <c r="D43" s="63"/>
      <c r="E43" s="64"/>
      <c r="F43" s="65"/>
      <c r="G43" s="62"/>
      <c r="H43" s="66"/>
      <c r="I43" s="67"/>
      <c r="J43" s="67"/>
      <c r="K43" s="31"/>
      <c r="L43" s="75">
        <v>43</v>
      </c>
      <c r="M43"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3" s="69"/>
      <c r="O43" t="s">
        <v>177</v>
      </c>
      <c r="P43" s="76">
        <v>45510.468993055554</v>
      </c>
      <c r="Q43" t="s">
        <v>1001</v>
      </c>
      <c r="R43" t="b">
        <v>0</v>
      </c>
      <c r="S43">
        <v>0</v>
      </c>
      <c r="T43">
        <v>0</v>
      </c>
      <c r="U43">
        <v>0</v>
      </c>
      <c r="V43">
        <v>0</v>
      </c>
      <c r="W43">
        <v>1552</v>
      </c>
      <c r="Y43" s="78" t="str">
        <f>HYPERLINK("https://www.elpais.com.uy/informacion/servicios/conoce-los-resultados-de-la-quiniela-y-la-tombola-vespertina-y-nocturna-del-lunes-5-de-agosto-de-2024?utm_medium=social&amp;utm_campaign=elpaisuytw&amp;utm_source=Twitter")</f>
        <v>https://www.elpais.com.uy/informacion/servicios/conoce-los-resultados-de-la-quiniela-y-la-tombola-vespertina-y-nocturna-del-lunes-5-de-agosto-de-2024?utm_medium=social&amp;utm_campaign=elpaisuytw&amp;utm_source=Twitter</v>
      </c>
      <c r="Z43" t="s">
        <v>1188</v>
      </c>
      <c r="AD43" s="77" t="s">
        <v>1383</v>
      </c>
      <c r="AE43" t="s">
        <v>1385</v>
      </c>
      <c r="AF43" s="78" t="str">
        <f>HYPERLINK("https://twitter.com/elpaisuy/status/1820780698212393469")</f>
        <v>https://twitter.com/elpaisuy/status/1820780698212393469</v>
      </c>
      <c r="AG43" s="76">
        <v>45510.468993055554</v>
      </c>
      <c r="AH43" s="80">
        <v>45510</v>
      </c>
      <c r="AI43" s="77" t="s">
        <v>1679</v>
      </c>
      <c r="AJ43" t="b">
        <v>0</v>
      </c>
      <c r="AW43" s="78" t="str">
        <f>HYPERLINK("https://pbs.twimg.com/profile_images/1605567760821633024/HvUwbCnX_normal.jpg")</f>
        <v>https://pbs.twimg.com/profile_images/1605567760821633024/HvUwbCnX_normal.jpg</v>
      </c>
      <c r="AX43" s="77" t="s">
        <v>2167</v>
      </c>
      <c r="AY43" s="77" t="s">
        <v>2167</v>
      </c>
      <c r="BA43" s="77" t="s">
        <v>2494</v>
      </c>
      <c r="BB43" s="77" t="s">
        <v>2494</v>
      </c>
      <c r="BC43" s="77" t="s">
        <v>2494</v>
      </c>
      <c r="BD43" s="77" t="s">
        <v>2167</v>
      </c>
      <c r="BE43">
        <v>31459537</v>
      </c>
      <c r="BK43" s="112" t="str">
        <f>REPLACE(INDEX(GroupVertices[Group], MATCH("~"&amp;Edges[[#This Row],[Vertex 1]],GroupVertices[Vertex],0)),1,1,"")</f>
        <v>200</v>
      </c>
      <c r="BL43" s="112" t="str">
        <f>REPLACE(INDEX(GroupVertices[Group], MATCH("~"&amp;Edges[[#This Row],[Vertex 2]],GroupVertices[Vertex],0)),1,1,"")</f>
        <v>200</v>
      </c>
    </row>
    <row r="44" spans="1:64" x14ac:dyDescent="0.25">
      <c r="A44" s="61" t="s">
        <v>427</v>
      </c>
      <c r="B44" s="61" t="s">
        <v>427</v>
      </c>
      <c r="C44" s="62"/>
      <c r="D44" s="63"/>
      <c r="E44" s="64"/>
      <c r="F44" s="65"/>
      <c r="G44" s="62"/>
      <c r="H44" s="66"/>
      <c r="I44" s="67"/>
      <c r="J44" s="67"/>
      <c r="K44" s="31"/>
      <c r="L44" s="75">
        <v>44</v>
      </c>
      <c r="M44"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4" s="69"/>
      <c r="O44" t="s">
        <v>177</v>
      </c>
      <c r="P44" s="76">
        <v>45505.469039351854</v>
      </c>
      <c r="Q44" t="s">
        <v>1000</v>
      </c>
      <c r="R44" t="b">
        <v>0</v>
      </c>
      <c r="S44">
        <v>0</v>
      </c>
      <c r="T44">
        <v>0</v>
      </c>
      <c r="U44">
        <v>0</v>
      </c>
      <c r="V44">
        <v>0</v>
      </c>
      <c r="W44">
        <v>1477</v>
      </c>
      <c r="Y44" s="78" t="str">
        <f>HYPERLINK("https://www.elpais.com.uy/informacion/servicios/conoce-los-resultados-de-la-quiniela-y-la-tombola-vespertina-y-nocturna-del-miercoles-31-de-julio-de-2024?utm_medium=social&amp;utm_campaign=elpaisuytw&amp;utm_source=Twitter")</f>
        <v>https://www.elpais.com.uy/informacion/servicios/conoce-los-resultados-de-la-quiniela-y-la-tombola-vespertina-y-nocturna-del-miercoles-31-de-julio-de-2024?utm_medium=social&amp;utm_campaign=elpaisuytw&amp;utm_source=Twitter</v>
      </c>
      <c r="Z44" t="s">
        <v>1188</v>
      </c>
      <c r="AD44" s="77" t="s">
        <v>1383</v>
      </c>
      <c r="AE44" t="s">
        <v>1385</v>
      </c>
      <c r="AF44" s="78" t="str">
        <f>HYPERLINK("https://twitter.com/elpaisuy/status/1818968773572829586")</f>
        <v>https://twitter.com/elpaisuy/status/1818968773572829586</v>
      </c>
      <c r="AG44" s="76">
        <v>45505.469039351854</v>
      </c>
      <c r="AH44" s="80">
        <v>45505</v>
      </c>
      <c r="AI44" s="77" t="s">
        <v>1678</v>
      </c>
      <c r="AJ44" t="b">
        <v>0</v>
      </c>
      <c r="AW44" s="78" t="str">
        <f>HYPERLINK("https://pbs.twimg.com/profile_images/1605567760821633024/HvUwbCnX_normal.jpg")</f>
        <v>https://pbs.twimg.com/profile_images/1605567760821633024/HvUwbCnX_normal.jpg</v>
      </c>
      <c r="AX44" s="77" t="s">
        <v>2166</v>
      </c>
      <c r="AY44" s="77" t="s">
        <v>2166</v>
      </c>
      <c r="BA44" s="77" t="s">
        <v>2494</v>
      </c>
      <c r="BB44" s="77" t="s">
        <v>2494</v>
      </c>
      <c r="BC44" s="77" t="s">
        <v>2494</v>
      </c>
      <c r="BD44" s="77" t="s">
        <v>2166</v>
      </c>
      <c r="BE44">
        <v>31459537</v>
      </c>
      <c r="BK44" s="112" t="str">
        <f>REPLACE(INDEX(GroupVertices[Group], MATCH("~"&amp;Edges[[#This Row],[Vertex 1]],GroupVertices[Vertex],0)),1,1,"")</f>
        <v>200</v>
      </c>
      <c r="BL44" s="112" t="str">
        <f>REPLACE(INDEX(GroupVertices[Group], MATCH("~"&amp;Edges[[#This Row],[Vertex 2]],GroupVertices[Vertex],0)),1,1,"")</f>
        <v>200</v>
      </c>
    </row>
    <row r="45" spans="1:64" x14ac:dyDescent="0.25">
      <c r="A45" s="61" t="s">
        <v>362</v>
      </c>
      <c r="B45" s="61" t="s">
        <v>552</v>
      </c>
      <c r="C45" s="62"/>
      <c r="D45" s="63"/>
      <c r="E45" s="64"/>
      <c r="F45" s="65"/>
      <c r="G45" s="62"/>
      <c r="H45" s="66"/>
      <c r="I45" s="67"/>
      <c r="J45" s="67"/>
      <c r="K45" s="31"/>
      <c r="L45" s="75">
        <v>45</v>
      </c>
      <c r="M45"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5" s="69"/>
      <c r="O45" t="s">
        <v>701</v>
      </c>
      <c r="P45" s="76">
        <v>45510.291539351849</v>
      </c>
      <c r="Q45" t="s">
        <v>987</v>
      </c>
      <c r="R45" t="b">
        <v>0</v>
      </c>
      <c r="S45">
        <v>1</v>
      </c>
      <c r="T45">
        <v>16</v>
      </c>
      <c r="U45">
        <v>6</v>
      </c>
      <c r="V45">
        <v>0</v>
      </c>
      <c r="W45">
        <v>1407</v>
      </c>
      <c r="AA45" t="s">
        <v>552</v>
      </c>
      <c r="AD45" s="77" t="s">
        <v>1365</v>
      </c>
      <c r="AE45" t="s">
        <v>1385</v>
      </c>
      <c r="AF45" s="78" t="str">
        <f>HYPERLINK("https://twitter.com/butaca131/status/1820716390862459364")</f>
        <v>https://twitter.com/butaca131/status/1820716390862459364</v>
      </c>
      <c r="AG45" s="76">
        <v>45510.291539351849</v>
      </c>
      <c r="AH45" s="80">
        <v>45510</v>
      </c>
      <c r="AI45" s="77" t="s">
        <v>1667</v>
      </c>
      <c r="AW45" s="78" t="str">
        <f>HYPERLINK("https://pbs.twimg.com/profile_images/1551196062169399297/iCZF-ruv_normal.jpg")</f>
        <v>https://pbs.twimg.com/profile_images/1551196062169399297/iCZF-ruv_normal.jpg</v>
      </c>
      <c r="AX45" s="77" t="s">
        <v>2153</v>
      </c>
      <c r="AY45" s="77" t="s">
        <v>2282</v>
      </c>
      <c r="AZ45" s="77" t="s">
        <v>2465</v>
      </c>
      <c r="BA45" s="77" t="s">
        <v>2282</v>
      </c>
      <c r="BB45" s="77" t="s">
        <v>2494</v>
      </c>
      <c r="BC45" s="77" t="s">
        <v>2494</v>
      </c>
      <c r="BD45" s="77" t="s">
        <v>2282</v>
      </c>
      <c r="BE45" s="77" t="s">
        <v>2466</v>
      </c>
      <c r="BK45" s="112" t="str">
        <f>REPLACE(INDEX(GroupVertices[Group], MATCH("~"&amp;Edges[[#This Row],[Vertex 1]],GroupVertices[Vertex],0)),1,1,"")</f>
        <v>16</v>
      </c>
      <c r="BL45" s="112" t="str">
        <f>REPLACE(INDEX(GroupVertices[Group], MATCH("~"&amp;Edges[[#This Row],[Vertex 2]],GroupVertices[Vertex],0)),1,1,"")</f>
        <v>16</v>
      </c>
    </row>
    <row r="46" spans="1:64" x14ac:dyDescent="0.25">
      <c r="A46" s="61" t="s">
        <v>340</v>
      </c>
      <c r="B46" s="61" t="s">
        <v>615</v>
      </c>
      <c r="C46" s="62"/>
      <c r="D46" s="63"/>
      <c r="E46" s="64"/>
      <c r="F46" s="65"/>
      <c r="G46" s="62"/>
      <c r="H46" s="66"/>
      <c r="I46" s="67"/>
      <c r="J46" s="67"/>
      <c r="K46" s="31"/>
      <c r="L46" s="75">
        <v>46</v>
      </c>
      <c r="M46"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6" s="69"/>
      <c r="O46" t="s">
        <v>701</v>
      </c>
      <c r="P46" s="76">
        <v>45505.779039351852</v>
      </c>
      <c r="Q46" t="s">
        <v>899</v>
      </c>
      <c r="R46" t="b">
        <v>0</v>
      </c>
      <c r="S46">
        <v>0</v>
      </c>
      <c r="T46">
        <v>5</v>
      </c>
      <c r="U46">
        <v>4</v>
      </c>
      <c r="V46">
        <v>0</v>
      </c>
      <c r="W46">
        <v>1317</v>
      </c>
      <c r="AA46" t="s">
        <v>615</v>
      </c>
      <c r="AD46" s="77" t="s">
        <v>1366</v>
      </c>
      <c r="AE46" t="s">
        <v>1385</v>
      </c>
      <c r="AF46" s="78" t="str">
        <f>HYPERLINK("https://twitter.com/taseenb/status/1819081116420358543")</f>
        <v>https://twitter.com/taseenb/status/1819081116420358543</v>
      </c>
      <c r="AG46" s="76">
        <v>45505.779039351852</v>
      </c>
      <c r="AH46" s="80">
        <v>45505</v>
      </c>
      <c r="AI46" s="77" t="s">
        <v>1579</v>
      </c>
      <c r="AW46" s="78" t="str">
        <f>HYPERLINK("https://pbs.twimg.com/profile_images/1722695828744110080/FA5G_qhE_normal.jpg")</f>
        <v>https://pbs.twimg.com/profile_images/1722695828744110080/FA5G_qhE_normal.jpg</v>
      </c>
      <c r="AX46" s="77" t="s">
        <v>2065</v>
      </c>
      <c r="AY46" s="77" t="s">
        <v>2315</v>
      </c>
      <c r="AZ46" s="77" t="s">
        <v>2434</v>
      </c>
      <c r="BA46" s="77" t="s">
        <v>2315</v>
      </c>
      <c r="BB46" s="77" t="s">
        <v>2494</v>
      </c>
      <c r="BC46" s="77" t="s">
        <v>2494</v>
      </c>
      <c r="BD46" s="77" t="s">
        <v>2315</v>
      </c>
      <c r="BE46">
        <v>855125486</v>
      </c>
      <c r="BK46" s="112" t="str">
        <f>REPLACE(INDEX(GroupVertices[Group], MATCH("~"&amp;Edges[[#This Row],[Vertex 1]],GroupVertices[Vertex],0)),1,1,"")</f>
        <v>110</v>
      </c>
      <c r="BL46" s="112" t="str">
        <f>REPLACE(INDEX(GroupVertices[Group], MATCH("~"&amp;Edges[[#This Row],[Vertex 2]],GroupVertices[Vertex],0)),1,1,"")</f>
        <v>110</v>
      </c>
    </row>
    <row r="47" spans="1:64" x14ac:dyDescent="0.25">
      <c r="A47" s="61" t="s">
        <v>326</v>
      </c>
      <c r="B47" s="61" t="s">
        <v>326</v>
      </c>
      <c r="C47" s="62"/>
      <c r="D47" s="63"/>
      <c r="E47" s="64"/>
      <c r="F47" s="65"/>
      <c r="G47" s="62"/>
      <c r="H47" s="66"/>
      <c r="I47" s="67"/>
      <c r="J47" s="67"/>
      <c r="K47" s="31"/>
      <c r="L47" s="75">
        <v>47</v>
      </c>
      <c r="M47"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7" s="69"/>
      <c r="O47" t="s">
        <v>177</v>
      </c>
      <c r="P47" s="76">
        <v>45505.546064814815</v>
      </c>
      <c r="Q47" t="s">
        <v>878</v>
      </c>
      <c r="R47" t="b">
        <v>0</v>
      </c>
      <c r="S47">
        <v>0</v>
      </c>
      <c r="T47">
        <v>0</v>
      </c>
      <c r="U47">
        <v>0</v>
      </c>
      <c r="V47">
        <v>0</v>
      </c>
      <c r="W47">
        <v>1115</v>
      </c>
      <c r="Y47" s="78" t="str">
        <f>HYPERLINK("https://www.lacuarta.com/servicios/noticia/sistema-de-admision-escolar-2025-todo-lo-que-debes-saber-antes-de-postular/KIADQD5STVDBRDYTGKPKMIIB5Y/")</f>
        <v>https://www.lacuarta.com/servicios/noticia/sistema-de-admision-escolar-2025-todo-lo-que-debes-saber-antes-de-postular/KIADQD5STVDBRDYTGKPKMIIB5Y/</v>
      </c>
      <c r="Z47" t="s">
        <v>1163</v>
      </c>
      <c r="AD47" s="77" t="s">
        <v>1367</v>
      </c>
      <c r="AE47" t="s">
        <v>1385</v>
      </c>
      <c r="AF47" s="78" t="str">
        <f>HYPERLINK("https://twitter.com/lacuarta/status/1818996688637333652")</f>
        <v>https://twitter.com/lacuarta/status/1818996688637333652</v>
      </c>
      <c r="AG47" s="76">
        <v>45505.546064814815</v>
      </c>
      <c r="AH47" s="80">
        <v>45505</v>
      </c>
      <c r="AI47" s="77" t="s">
        <v>1559</v>
      </c>
      <c r="AJ47" t="b">
        <v>0</v>
      </c>
      <c r="AW47" s="78" t="str">
        <f>HYPERLINK("https://pbs.twimg.com/profile_images/1561914853874343939/_GHijKSx_normal.jpg")</f>
        <v>https://pbs.twimg.com/profile_images/1561914853874343939/_GHijKSx_normal.jpg</v>
      </c>
      <c r="AX47" s="77" t="s">
        <v>2044</v>
      </c>
      <c r="AY47" s="77" t="s">
        <v>2044</v>
      </c>
      <c r="BA47" s="77" t="s">
        <v>2494</v>
      </c>
      <c r="BB47" s="77" t="s">
        <v>2494</v>
      </c>
      <c r="BC47" s="77" t="s">
        <v>2494</v>
      </c>
      <c r="BD47" s="77" t="s">
        <v>2044</v>
      </c>
      <c r="BE47">
        <v>3223771</v>
      </c>
      <c r="BK47" s="112" t="str">
        <f>REPLACE(INDEX(GroupVertices[Group], MATCH("~"&amp;Edges[[#This Row],[Vertex 1]],GroupVertices[Vertex],0)),1,1,"")</f>
        <v>198</v>
      </c>
      <c r="BL47" s="112" t="str">
        <f>REPLACE(INDEX(GroupVertices[Group], MATCH("~"&amp;Edges[[#This Row],[Vertex 2]],GroupVertices[Vertex],0)),1,1,"")</f>
        <v>198</v>
      </c>
    </row>
    <row r="48" spans="1:64" x14ac:dyDescent="0.25">
      <c r="A48" s="61" t="s">
        <v>423</v>
      </c>
      <c r="B48" s="61" t="s">
        <v>423</v>
      </c>
      <c r="C48" s="62"/>
      <c r="D48" s="63"/>
      <c r="E48" s="64"/>
      <c r="F48" s="65"/>
      <c r="G48" s="62"/>
      <c r="H48" s="66"/>
      <c r="I48" s="67"/>
      <c r="J48" s="67"/>
      <c r="K48" s="31"/>
      <c r="L48" s="75">
        <v>48</v>
      </c>
      <c r="M48"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8" s="69"/>
      <c r="O48" t="s">
        <v>177</v>
      </c>
      <c r="P48" s="76">
        <v>45509.291666666664</v>
      </c>
      <c r="Q48" t="s">
        <v>993</v>
      </c>
      <c r="R48" t="b">
        <v>0</v>
      </c>
      <c r="S48">
        <v>2</v>
      </c>
      <c r="T48">
        <v>2</v>
      </c>
      <c r="U48">
        <v>1</v>
      </c>
      <c r="V48">
        <v>0</v>
      </c>
      <c r="W48">
        <v>1050</v>
      </c>
      <c r="X48" s="77" t="s">
        <v>1119</v>
      </c>
      <c r="AB48" t="s">
        <v>1333</v>
      </c>
      <c r="AC48" t="s">
        <v>1360</v>
      </c>
      <c r="AD48" s="77" t="s">
        <v>1382</v>
      </c>
      <c r="AE48" t="s">
        <v>1385</v>
      </c>
      <c r="AF48" s="78" t="str">
        <f>HYPERLINK("https://twitter.com/saempleo/status/1820354049100632317")</f>
        <v>https://twitter.com/saempleo/status/1820354049100632317</v>
      </c>
      <c r="AG48" s="76">
        <v>45509.291666666664</v>
      </c>
      <c r="AH48" s="80">
        <v>45509</v>
      </c>
      <c r="AI48" s="77" t="s">
        <v>1603</v>
      </c>
      <c r="AJ48" t="b">
        <v>0</v>
      </c>
      <c r="AR48" t="s">
        <v>1846</v>
      </c>
      <c r="AS48">
        <v>55979</v>
      </c>
      <c r="AW48" s="78" t="str">
        <f>HYPERLINK("https://pbs.twimg.com/ext_tw_video_thumb/1820353174110134272/pu/img/ZwwQQY54J7U3GVp9.jpg")</f>
        <v>https://pbs.twimg.com/ext_tw_video_thumb/1820353174110134272/pu/img/ZwwQQY54J7U3GVp9.jpg</v>
      </c>
      <c r="AX48" s="77" t="s">
        <v>2159</v>
      </c>
      <c r="AY48" s="77" t="s">
        <v>2159</v>
      </c>
      <c r="BA48" s="77" t="s">
        <v>2494</v>
      </c>
      <c r="BB48" s="77" t="s">
        <v>2494</v>
      </c>
      <c r="BC48" s="77" t="s">
        <v>2494</v>
      </c>
      <c r="BD48" s="77" t="s">
        <v>2159</v>
      </c>
      <c r="BE48">
        <v>185290338</v>
      </c>
      <c r="BK48" s="112" t="str">
        <f>REPLACE(INDEX(GroupVertices[Group], MATCH("~"&amp;Edges[[#This Row],[Vertex 1]],GroupVertices[Vertex],0)),1,1,"")</f>
        <v>14</v>
      </c>
      <c r="BL48" s="112" t="str">
        <f>REPLACE(INDEX(GroupVertices[Group], MATCH("~"&amp;Edges[[#This Row],[Vertex 2]],GroupVertices[Vertex],0)),1,1,"")</f>
        <v>14</v>
      </c>
    </row>
    <row r="49" spans="1:64" x14ac:dyDescent="0.25">
      <c r="A49" s="61" t="s">
        <v>382</v>
      </c>
      <c r="B49" s="61" t="s">
        <v>382</v>
      </c>
      <c r="C49" s="62"/>
      <c r="D49" s="63"/>
      <c r="E49" s="64"/>
      <c r="F49" s="65"/>
      <c r="G49" s="62"/>
      <c r="H49" s="66"/>
      <c r="I49" s="67"/>
      <c r="J49" s="67"/>
      <c r="K49" s="31"/>
      <c r="L49" s="75">
        <v>49</v>
      </c>
      <c r="M49"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9" s="69"/>
      <c r="O49" t="s">
        <v>177</v>
      </c>
      <c r="P49" s="76">
        <v>45506.86010416667</v>
      </c>
      <c r="Q49" t="s">
        <v>946</v>
      </c>
      <c r="R49" t="b">
        <v>0</v>
      </c>
      <c r="S49">
        <v>1</v>
      </c>
      <c r="T49">
        <v>1</v>
      </c>
      <c r="U49">
        <v>0</v>
      </c>
      <c r="V49">
        <v>0</v>
      </c>
      <c r="W49">
        <v>1015</v>
      </c>
      <c r="X49" s="77" t="s">
        <v>1116</v>
      </c>
      <c r="Y49" s="78" t="str">
        <f>HYPERLINK("http://www.sistemadeadmisionescolar.cl")</f>
        <v>http://www.sistemadeadmisionescolar.cl</v>
      </c>
      <c r="Z49" t="s">
        <v>1137</v>
      </c>
      <c r="AB49" t="s">
        <v>1320</v>
      </c>
      <c r="AC49" t="s">
        <v>1360</v>
      </c>
      <c r="AD49" s="77" t="s">
        <v>1365</v>
      </c>
      <c r="AE49" t="s">
        <v>1385</v>
      </c>
      <c r="AF49" s="78" t="str">
        <f>HYPERLINK("https://twitter.com/seremieducrios/status/1819472880541093906")</f>
        <v>https://twitter.com/seremieducrios/status/1819472880541093906</v>
      </c>
      <c r="AG49" s="76">
        <v>45506.86010416667</v>
      </c>
      <c r="AH49" s="80">
        <v>45506</v>
      </c>
      <c r="AI49" s="77" t="s">
        <v>1626</v>
      </c>
      <c r="AJ49" t="b">
        <v>0</v>
      </c>
      <c r="AR49" t="s">
        <v>1833</v>
      </c>
      <c r="AS49">
        <v>22933</v>
      </c>
      <c r="AW49" s="78" t="str">
        <f>HYPERLINK("https://pbs.twimg.com/ext_tw_video_thumb/1819472677515448320/pu/img/tiuD_OIbSN7thcGQ.jpg")</f>
        <v>https://pbs.twimg.com/ext_tw_video_thumb/1819472677515448320/pu/img/tiuD_OIbSN7thcGQ.jpg</v>
      </c>
      <c r="AX49" s="77" t="s">
        <v>2112</v>
      </c>
      <c r="AY49" s="77" t="s">
        <v>2112</v>
      </c>
      <c r="BA49" s="77" t="s">
        <v>2494</v>
      </c>
      <c r="BB49" s="77" t="s">
        <v>2494</v>
      </c>
      <c r="BC49" s="77" t="s">
        <v>2494</v>
      </c>
      <c r="BD49" s="77" t="s">
        <v>2112</v>
      </c>
      <c r="BE49">
        <v>2667356420</v>
      </c>
      <c r="BK49" s="112" t="str">
        <f>REPLACE(INDEX(GroupVertices[Group], MATCH("~"&amp;Edges[[#This Row],[Vertex 1]],GroupVertices[Vertex],0)),1,1,"")</f>
        <v>197</v>
      </c>
      <c r="BL49" s="112" t="str">
        <f>REPLACE(INDEX(GroupVertices[Group], MATCH("~"&amp;Edges[[#This Row],[Vertex 2]],GroupVertices[Vertex],0)),1,1,"")</f>
        <v>197</v>
      </c>
    </row>
    <row r="50" spans="1:64" x14ac:dyDescent="0.25">
      <c r="A50" s="61" t="s">
        <v>490</v>
      </c>
      <c r="B50" s="61" t="s">
        <v>555</v>
      </c>
      <c r="C50" s="62"/>
      <c r="D50" s="63"/>
      <c r="E50" s="64"/>
      <c r="F50" s="65"/>
      <c r="G50" s="62"/>
      <c r="H50" s="66"/>
      <c r="I50" s="67"/>
      <c r="J50" s="67"/>
      <c r="K50" s="31"/>
      <c r="L50" s="75">
        <v>50</v>
      </c>
      <c r="M50"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50" s="69"/>
      <c r="O50" t="s">
        <v>703</v>
      </c>
      <c r="P50" s="76">
        <v>45505.953645833331</v>
      </c>
      <c r="Q50" t="s">
        <v>1071</v>
      </c>
      <c r="R50" t="b">
        <v>0</v>
      </c>
      <c r="S50">
        <v>1</v>
      </c>
      <c r="T50">
        <v>7</v>
      </c>
      <c r="U50">
        <v>0</v>
      </c>
      <c r="V50">
        <v>0</v>
      </c>
      <c r="W50">
        <v>989</v>
      </c>
      <c r="AA50" t="s">
        <v>1222</v>
      </c>
      <c r="AD50" s="77" t="s">
        <v>1367</v>
      </c>
      <c r="AE50" t="s">
        <v>1385</v>
      </c>
      <c r="AF50" s="78" t="str">
        <f>HYPERLINK("https://twitter.com/tdgalvez/status/1819144391455658221")</f>
        <v>https://twitter.com/tdgalvez/status/1819144391455658221</v>
      </c>
      <c r="AG50" s="76">
        <v>45505.953645833331</v>
      </c>
      <c r="AH50" s="80">
        <v>45505</v>
      </c>
      <c r="AI50" s="77" t="s">
        <v>1748</v>
      </c>
      <c r="AW50" s="78" t="str">
        <f>HYPERLINK("https://pbs.twimg.com/profile_images/621319101370265600/LLQLeSPi_normal.jpg")</f>
        <v>https://pbs.twimg.com/profile_images/621319101370265600/LLQLeSPi_normal.jpg</v>
      </c>
      <c r="AX50" s="77" t="s">
        <v>2237</v>
      </c>
      <c r="AY50" s="77" t="s">
        <v>2345</v>
      </c>
      <c r="AZ50" s="77" t="s">
        <v>2403</v>
      </c>
      <c r="BA50" s="77" t="s">
        <v>2345</v>
      </c>
      <c r="BB50" s="77" t="s">
        <v>2494</v>
      </c>
      <c r="BC50" s="77" t="s">
        <v>2494</v>
      </c>
      <c r="BD50" s="77" t="s">
        <v>2345</v>
      </c>
      <c r="BE50">
        <v>183893569</v>
      </c>
      <c r="BK50" s="112" t="str">
        <f>REPLACE(INDEX(GroupVertices[Group], MATCH("~"&amp;Edges[[#This Row],[Vertex 1]],GroupVertices[Vertex],0)),1,1,"")</f>
        <v>9</v>
      </c>
      <c r="BL50" s="112" t="str">
        <f>REPLACE(INDEX(GroupVertices[Group], MATCH("~"&amp;Edges[[#This Row],[Vertex 2]],GroupVertices[Vertex],0)),1,1,"")</f>
        <v>9</v>
      </c>
    </row>
    <row r="51" spans="1:64" x14ac:dyDescent="0.25">
      <c r="A51" s="61" t="s">
        <v>490</v>
      </c>
      <c r="B51" s="61" t="s">
        <v>556</v>
      </c>
      <c r="C51" s="62"/>
      <c r="D51" s="63"/>
      <c r="E51" s="64"/>
      <c r="F51" s="65"/>
      <c r="G51" s="62"/>
      <c r="H51" s="66"/>
      <c r="I51" s="67"/>
      <c r="J51" s="67"/>
      <c r="K51" s="31"/>
      <c r="L51" s="75">
        <v>51</v>
      </c>
      <c r="M51"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51" s="69"/>
      <c r="O51" t="s">
        <v>701</v>
      </c>
      <c r="P51" s="76">
        <v>45505.953645833331</v>
      </c>
      <c r="Q51" t="s">
        <v>1071</v>
      </c>
      <c r="R51" t="b">
        <v>0</v>
      </c>
      <c r="S51">
        <v>1</v>
      </c>
      <c r="T51">
        <v>7</v>
      </c>
      <c r="U51">
        <v>0</v>
      </c>
      <c r="V51">
        <v>0</v>
      </c>
      <c r="W51">
        <v>989</v>
      </c>
      <c r="AA51" t="s">
        <v>1222</v>
      </c>
      <c r="AD51" s="77" t="s">
        <v>1367</v>
      </c>
      <c r="AE51" t="s">
        <v>1385</v>
      </c>
      <c r="AF51" s="78" t="str">
        <f>HYPERLINK("https://twitter.com/tdgalvez/status/1819144391455658221")</f>
        <v>https://twitter.com/tdgalvez/status/1819144391455658221</v>
      </c>
      <c r="AG51" s="76">
        <v>45505.953645833331</v>
      </c>
      <c r="AH51" s="80">
        <v>45505</v>
      </c>
      <c r="AI51" s="77" t="s">
        <v>1748</v>
      </c>
      <c r="AW51" s="78" t="str">
        <f>HYPERLINK("https://pbs.twimg.com/profile_images/621319101370265600/LLQLeSPi_normal.jpg")</f>
        <v>https://pbs.twimg.com/profile_images/621319101370265600/LLQLeSPi_normal.jpg</v>
      </c>
      <c r="AX51" s="77" t="s">
        <v>2237</v>
      </c>
      <c r="AY51" s="77" t="s">
        <v>2345</v>
      </c>
      <c r="AZ51" s="77" t="s">
        <v>2403</v>
      </c>
      <c r="BA51" s="77" t="s">
        <v>2345</v>
      </c>
      <c r="BB51" s="77" t="s">
        <v>2494</v>
      </c>
      <c r="BC51" s="77" t="s">
        <v>2494</v>
      </c>
      <c r="BD51" s="77" t="s">
        <v>2345</v>
      </c>
      <c r="BE51">
        <v>183893569</v>
      </c>
      <c r="BK51" s="112" t="str">
        <f>REPLACE(INDEX(GroupVertices[Group], MATCH("~"&amp;Edges[[#This Row],[Vertex 1]],GroupVertices[Vertex],0)),1,1,"")</f>
        <v>9</v>
      </c>
      <c r="BL51" s="112" t="str">
        <f>REPLACE(INDEX(GroupVertices[Group], MATCH("~"&amp;Edges[[#This Row],[Vertex 2]],GroupVertices[Vertex],0)),1,1,"")</f>
        <v>9</v>
      </c>
    </row>
    <row r="52" spans="1:64" x14ac:dyDescent="0.25">
      <c r="A52" s="61" t="s">
        <v>399</v>
      </c>
      <c r="B52" s="61" t="s">
        <v>399</v>
      </c>
      <c r="C52" s="62"/>
      <c r="D52" s="63"/>
      <c r="E52" s="64"/>
      <c r="F52" s="65"/>
      <c r="G52" s="62"/>
      <c r="H52" s="66"/>
      <c r="I52" s="67"/>
      <c r="J52" s="67"/>
      <c r="K52" s="31"/>
      <c r="L52" s="75">
        <v>52</v>
      </c>
      <c r="M52"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52" s="69"/>
      <c r="O52" t="s">
        <v>177</v>
      </c>
      <c r="P52" s="76">
        <v>45509.663599537038</v>
      </c>
      <c r="Q52" t="s">
        <v>967</v>
      </c>
      <c r="R52" t="b">
        <v>1</v>
      </c>
      <c r="S52">
        <v>4</v>
      </c>
      <c r="T52">
        <v>13</v>
      </c>
      <c r="U52">
        <v>3</v>
      </c>
      <c r="V52">
        <v>1</v>
      </c>
      <c r="W52">
        <v>938</v>
      </c>
      <c r="X52" s="77" t="s">
        <v>1117</v>
      </c>
      <c r="Y52" s="78" t="str">
        <f>HYPERLINK("https://tinyurl.com/bd2wxe3w")</f>
        <v>https://tinyurl.com/bd2wxe3w</v>
      </c>
      <c r="Z52" t="s">
        <v>1182</v>
      </c>
      <c r="AB52" t="s">
        <v>1328</v>
      </c>
      <c r="AC52" t="s">
        <v>1359</v>
      </c>
      <c r="AD52" s="77" t="s">
        <v>1367</v>
      </c>
      <c r="AE52" t="s">
        <v>1385</v>
      </c>
      <c r="AF52" s="78" t="str">
        <f>HYPERLINK("https://twitter.com/fac_educacionuc/status/1820488833068310986")</f>
        <v>https://twitter.com/fac_educacionuc/status/1820488833068310986</v>
      </c>
      <c r="AG52" s="76">
        <v>45509.663599537038</v>
      </c>
      <c r="AH52" s="80">
        <v>45509</v>
      </c>
      <c r="AI52" s="77" t="s">
        <v>1647</v>
      </c>
      <c r="AJ52" t="b">
        <v>0</v>
      </c>
      <c r="AR52" t="s">
        <v>1841</v>
      </c>
      <c r="AW52" s="78" t="str">
        <f>HYPERLINK("https://pbs.twimg.com/media/GUOszgAWQAAcWOB.jpg")</f>
        <v>https://pbs.twimg.com/media/GUOszgAWQAAcWOB.jpg</v>
      </c>
      <c r="AX52" s="77" t="s">
        <v>2133</v>
      </c>
      <c r="AY52" s="77" t="s">
        <v>2133</v>
      </c>
      <c r="BA52" s="77" t="s">
        <v>2494</v>
      </c>
      <c r="BB52" s="77" t="s">
        <v>2494</v>
      </c>
      <c r="BC52" s="77" t="s">
        <v>2494</v>
      </c>
      <c r="BD52" s="77" t="s">
        <v>2133</v>
      </c>
      <c r="BE52">
        <v>278043436</v>
      </c>
      <c r="BK52" s="112" t="str">
        <f>REPLACE(INDEX(GroupVertices[Group], MATCH("~"&amp;Edges[[#This Row],[Vertex 1]],GroupVertices[Vertex],0)),1,1,"")</f>
        <v>89</v>
      </c>
      <c r="BL52" s="112" t="str">
        <f>REPLACE(INDEX(GroupVertices[Group], MATCH("~"&amp;Edges[[#This Row],[Vertex 2]],GroupVertices[Vertex],0)),1,1,"")</f>
        <v>89</v>
      </c>
    </row>
    <row r="53" spans="1:64" x14ac:dyDescent="0.25">
      <c r="A53" s="61" t="s">
        <v>266</v>
      </c>
      <c r="B53" s="61" t="s">
        <v>266</v>
      </c>
      <c r="C53" s="62"/>
      <c r="D53" s="63"/>
      <c r="E53" s="64"/>
      <c r="F53" s="65"/>
      <c r="G53" s="62"/>
      <c r="H53" s="66"/>
      <c r="I53" s="67"/>
      <c r="J53" s="67"/>
      <c r="K53" s="31"/>
      <c r="L53" s="75">
        <v>53</v>
      </c>
      <c r="M53"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53" s="69"/>
      <c r="O53" t="s">
        <v>177</v>
      </c>
      <c r="P53" s="76">
        <v>45505.805960648147</v>
      </c>
      <c r="Q53" t="s">
        <v>841</v>
      </c>
      <c r="R53" t="b">
        <v>0</v>
      </c>
      <c r="S53">
        <v>1</v>
      </c>
      <c r="T53">
        <v>1</v>
      </c>
      <c r="U53">
        <v>0</v>
      </c>
      <c r="V53">
        <v>0</v>
      </c>
      <c r="W53">
        <v>890</v>
      </c>
      <c r="X53" s="77" t="s">
        <v>1102</v>
      </c>
      <c r="Y53" s="78" t="str">
        <f>HYPERLINK("http://www.sistemadeadmisionescolar.cl")</f>
        <v>http://www.sistemadeadmisionescolar.cl</v>
      </c>
      <c r="Z53" t="s">
        <v>1137</v>
      </c>
      <c r="AB53" t="s">
        <v>1282</v>
      </c>
      <c r="AC53" t="s">
        <v>1359</v>
      </c>
      <c r="AD53" s="77" t="s">
        <v>1365</v>
      </c>
      <c r="AE53" t="s">
        <v>1385</v>
      </c>
      <c r="AF53" s="78" t="str">
        <f>HYPERLINK("https://twitter.com/admisionescolar/status/1819090870031008225")</f>
        <v>https://twitter.com/admisionescolar/status/1819090870031008225</v>
      </c>
      <c r="AG53" s="76">
        <v>45505.805960648147</v>
      </c>
      <c r="AH53" s="80">
        <v>45505</v>
      </c>
      <c r="AI53" s="77" t="s">
        <v>1523</v>
      </c>
      <c r="AJ53" t="b">
        <v>0</v>
      </c>
      <c r="AR53" t="s">
        <v>1795</v>
      </c>
      <c r="AW53" s="78" t="str">
        <f>HYPERLINK("https://pbs.twimg.com/media/GT61gXvWQAIhnvt.jpg")</f>
        <v>https://pbs.twimg.com/media/GT61gXvWQAIhnvt.jpg</v>
      </c>
      <c r="AX53" s="77" t="s">
        <v>2007</v>
      </c>
      <c r="AY53" s="77" t="s">
        <v>2007</v>
      </c>
      <c r="BA53" s="77" t="s">
        <v>2494</v>
      </c>
      <c r="BB53" s="77" t="s">
        <v>2494</v>
      </c>
      <c r="BC53" s="77" t="s">
        <v>2494</v>
      </c>
      <c r="BD53" s="77" t="s">
        <v>2007</v>
      </c>
      <c r="BE53" s="77" t="s">
        <v>2553</v>
      </c>
      <c r="BK53" s="112" t="str">
        <f>REPLACE(INDEX(GroupVertices[Group], MATCH("~"&amp;Edges[[#This Row],[Vertex 1]],GroupVertices[Vertex],0)),1,1,"")</f>
        <v>5</v>
      </c>
      <c r="BL53" s="112" t="str">
        <f>REPLACE(INDEX(GroupVertices[Group], MATCH("~"&amp;Edges[[#This Row],[Vertex 2]],GroupVertices[Vertex],0)),1,1,"")</f>
        <v>5</v>
      </c>
    </row>
    <row r="54" spans="1:64" x14ac:dyDescent="0.25">
      <c r="A54" s="61" t="s">
        <v>311</v>
      </c>
      <c r="B54" s="61" t="s">
        <v>514</v>
      </c>
      <c r="C54" s="62"/>
      <c r="D54" s="63"/>
      <c r="E54" s="64"/>
      <c r="F54" s="65"/>
      <c r="G54" s="62"/>
      <c r="H54" s="66"/>
      <c r="I54" s="67"/>
      <c r="J54" s="67"/>
      <c r="K54" s="31"/>
      <c r="L54" s="75">
        <v>54</v>
      </c>
      <c r="M54"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54" s="69"/>
      <c r="O54" t="s">
        <v>701</v>
      </c>
      <c r="P54" s="76">
        <v>45505.563564814816</v>
      </c>
      <c r="Q54" t="s">
        <v>861</v>
      </c>
      <c r="R54" t="b">
        <v>0</v>
      </c>
      <c r="S54">
        <v>0</v>
      </c>
      <c r="T54">
        <v>2</v>
      </c>
      <c r="U54">
        <v>1</v>
      </c>
      <c r="V54">
        <v>0</v>
      </c>
      <c r="W54">
        <v>860</v>
      </c>
      <c r="AA54" t="s">
        <v>514</v>
      </c>
      <c r="AD54" s="77" t="s">
        <v>1365</v>
      </c>
      <c r="AE54" t="s">
        <v>1385</v>
      </c>
      <c r="AF54" s="78" t="str">
        <f>HYPERLINK("https://twitter.com/bb_xtina/status/1819003031964279222")</f>
        <v>https://twitter.com/bb_xtina/status/1819003031964279222</v>
      </c>
      <c r="AG54" s="76">
        <v>45505.563564814816</v>
      </c>
      <c r="AH54" s="80">
        <v>45505</v>
      </c>
      <c r="AI54" s="77" t="s">
        <v>1542</v>
      </c>
      <c r="AW54" s="78" t="str">
        <f>HYPERLINK("https://abs.twimg.com/sticky/default_profile_images/default_profile_normal.png")</f>
        <v>https://abs.twimg.com/sticky/default_profile_images/default_profile_normal.png</v>
      </c>
      <c r="AX54" s="77" t="s">
        <v>2027</v>
      </c>
      <c r="AY54" s="77" t="s">
        <v>2259</v>
      </c>
      <c r="AZ54" s="77" t="s">
        <v>2373</v>
      </c>
      <c r="BA54" s="77" t="s">
        <v>2259</v>
      </c>
      <c r="BB54" s="77" t="s">
        <v>2494</v>
      </c>
      <c r="BC54" s="77" t="s">
        <v>2494</v>
      </c>
      <c r="BD54" s="77" t="s">
        <v>2259</v>
      </c>
      <c r="BE54" s="77" t="s">
        <v>2571</v>
      </c>
      <c r="BK54" s="112" t="str">
        <f>REPLACE(INDEX(GroupVertices[Group], MATCH("~"&amp;Edges[[#This Row],[Vertex 1]],GroupVertices[Vertex],0)),1,1,"")</f>
        <v>7</v>
      </c>
      <c r="BL54" s="112" t="str">
        <f>REPLACE(INDEX(GroupVertices[Group], MATCH("~"&amp;Edges[[#This Row],[Vertex 2]],GroupVertices[Vertex],0)),1,1,"")</f>
        <v>7</v>
      </c>
    </row>
    <row r="55" spans="1:64" x14ac:dyDescent="0.25">
      <c r="A55" s="61" t="s">
        <v>266</v>
      </c>
      <c r="B55" s="61" t="s">
        <v>266</v>
      </c>
      <c r="C55" s="62"/>
      <c r="D55" s="63"/>
      <c r="E55" s="64"/>
      <c r="F55" s="65"/>
      <c r="G55" s="62"/>
      <c r="H55" s="66"/>
      <c r="I55" s="67"/>
      <c r="J55" s="67"/>
      <c r="K55" s="31"/>
      <c r="L55" s="75">
        <v>55</v>
      </c>
      <c r="M55"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55" s="69"/>
      <c r="O55" t="s">
        <v>177</v>
      </c>
      <c r="P55" s="76">
        <v>45508.541678240741</v>
      </c>
      <c r="Q55" t="s">
        <v>843</v>
      </c>
      <c r="R55" t="b">
        <v>0</v>
      </c>
      <c r="S55">
        <v>2</v>
      </c>
      <c r="T55">
        <v>2</v>
      </c>
      <c r="U55">
        <v>0</v>
      </c>
      <c r="V55">
        <v>0</v>
      </c>
      <c r="W55">
        <v>838</v>
      </c>
      <c r="X55" s="77" t="s">
        <v>1102</v>
      </c>
      <c r="Y55" s="78" t="str">
        <f>HYPERLINK("http://www.sistemadeadmisionescolar.cl")</f>
        <v>http://www.sistemadeadmisionescolar.cl</v>
      </c>
      <c r="Z55" t="s">
        <v>1137</v>
      </c>
      <c r="AB55" t="s">
        <v>1284</v>
      </c>
      <c r="AC55" t="s">
        <v>1359</v>
      </c>
      <c r="AD55" s="77" t="s">
        <v>1367</v>
      </c>
      <c r="AE55" t="s">
        <v>1385</v>
      </c>
      <c r="AF55" s="78" t="str">
        <f>HYPERLINK("https://twitter.com/admisionescolar/status/1820082260822950082")</f>
        <v>https://twitter.com/admisionescolar/status/1820082260822950082</v>
      </c>
      <c r="AG55" s="76">
        <v>45508.541678240741</v>
      </c>
      <c r="AH55" s="80">
        <v>45508</v>
      </c>
      <c r="AI55" s="77" t="s">
        <v>1525</v>
      </c>
      <c r="AJ55" t="b">
        <v>0</v>
      </c>
      <c r="AR55" t="s">
        <v>1797</v>
      </c>
      <c r="AW55" s="78" t="str">
        <f>HYPERLINK("https://pbs.twimg.com/media/GUEdOwAX0AEHtBB.jpg")</f>
        <v>https://pbs.twimg.com/media/GUEdOwAX0AEHtBB.jpg</v>
      </c>
      <c r="AX55" s="77" t="s">
        <v>2009</v>
      </c>
      <c r="AY55" s="77" t="s">
        <v>2009</v>
      </c>
      <c r="BA55" s="77" t="s">
        <v>2494</v>
      </c>
      <c r="BB55" s="77" t="s">
        <v>2494</v>
      </c>
      <c r="BC55" s="77" t="s">
        <v>2494</v>
      </c>
      <c r="BD55" s="77" t="s">
        <v>2009</v>
      </c>
      <c r="BE55" s="77" t="s">
        <v>2553</v>
      </c>
      <c r="BK55" s="112" t="str">
        <f>REPLACE(INDEX(GroupVertices[Group], MATCH("~"&amp;Edges[[#This Row],[Vertex 1]],GroupVertices[Vertex],0)),1,1,"")</f>
        <v>5</v>
      </c>
      <c r="BL55" s="112" t="str">
        <f>REPLACE(INDEX(GroupVertices[Group], MATCH("~"&amp;Edges[[#This Row],[Vertex 2]],GroupVertices[Vertex],0)),1,1,"")</f>
        <v>5</v>
      </c>
    </row>
    <row r="56" spans="1:64" x14ac:dyDescent="0.25">
      <c r="A56" s="61" t="s">
        <v>402</v>
      </c>
      <c r="B56" s="61" t="s">
        <v>402</v>
      </c>
      <c r="C56" s="62"/>
      <c r="D56" s="63"/>
      <c r="E56" s="64"/>
      <c r="F56" s="65"/>
      <c r="G56" s="62"/>
      <c r="H56" s="66"/>
      <c r="I56" s="67"/>
      <c r="J56" s="67"/>
      <c r="K56" s="31"/>
      <c r="L56" s="75">
        <v>56</v>
      </c>
      <c r="M56"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56" s="69"/>
      <c r="O56" t="s">
        <v>177</v>
      </c>
      <c r="P56" s="76">
        <v>45509.649421296293</v>
      </c>
      <c r="Q56" t="s">
        <v>970</v>
      </c>
      <c r="R56" t="b">
        <v>0</v>
      </c>
      <c r="S56">
        <v>8</v>
      </c>
      <c r="T56">
        <v>25</v>
      </c>
      <c r="U56">
        <v>1</v>
      </c>
      <c r="V56">
        <v>0</v>
      </c>
      <c r="W56">
        <v>837</v>
      </c>
      <c r="AB56" t="s">
        <v>1330</v>
      </c>
      <c r="AC56" t="s">
        <v>1363</v>
      </c>
      <c r="AD56" s="77" t="s">
        <v>1366</v>
      </c>
      <c r="AE56" t="s">
        <v>1385</v>
      </c>
      <c r="AF56" s="78" t="str">
        <f>HYPERLINK("https://twitter.com/ajulianalvarez/status/1820483696249729216")</f>
        <v>https://twitter.com/ajulianalvarez/status/1820483696249729216</v>
      </c>
      <c r="AG56" s="76">
        <v>45509.649421296293</v>
      </c>
      <c r="AH56" s="80">
        <v>45509</v>
      </c>
      <c r="AI56" s="77" t="s">
        <v>1650</v>
      </c>
      <c r="AJ56" t="b">
        <v>0</v>
      </c>
      <c r="AR56" t="s">
        <v>1843</v>
      </c>
      <c r="AW56" s="78" t="str">
        <f>HYPERLINK("https://pbs.twimg.com/media/GUOoQp6XYAACGVg.jpg")</f>
        <v>https://pbs.twimg.com/media/GUOoQp6XYAACGVg.jpg</v>
      </c>
      <c r="AX56" s="77" t="s">
        <v>2136</v>
      </c>
      <c r="AY56" s="77" t="s">
        <v>2136</v>
      </c>
      <c r="BA56" s="77" t="s">
        <v>2494</v>
      </c>
      <c r="BB56" s="77" t="s">
        <v>2494</v>
      </c>
      <c r="BC56" s="77" t="s">
        <v>2494</v>
      </c>
      <c r="BD56" s="77" t="s">
        <v>2136</v>
      </c>
      <c r="BE56">
        <v>1446488246</v>
      </c>
      <c r="BK56" s="112" t="str">
        <f>REPLACE(INDEX(GroupVertices[Group], MATCH("~"&amp;Edges[[#This Row],[Vertex 1]],GroupVertices[Vertex],0)),1,1,"")</f>
        <v>196</v>
      </c>
      <c r="BL56" s="112" t="str">
        <f>REPLACE(INDEX(GroupVertices[Group], MATCH("~"&amp;Edges[[#This Row],[Vertex 2]],GroupVertices[Vertex],0)),1,1,"")</f>
        <v>196</v>
      </c>
    </row>
    <row r="57" spans="1:64" x14ac:dyDescent="0.25">
      <c r="A57" s="61" t="s">
        <v>328</v>
      </c>
      <c r="B57" s="61" t="s">
        <v>328</v>
      </c>
      <c r="C57" s="62"/>
      <c r="D57" s="63"/>
      <c r="E57" s="64"/>
      <c r="F57" s="65"/>
      <c r="G57" s="62"/>
      <c r="H57" s="66"/>
      <c r="I57" s="67"/>
      <c r="J57" s="67"/>
      <c r="K57" s="31"/>
      <c r="L57" s="75">
        <v>57</v>
      </c>
      <c r="M57"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57" s="69"/>
      <c r="O57" t="s">
        <v>177</v>
      </c>
      <c r="P57" s="76">
        <v>45505.740682870368</v>
      </c>
      <c r="Q57" t="s">
        <v>880</v>
      </c>
      <c r="R57" t="b">
        <v>1</v>
      </c>
      <c r="S57">
        <v>2</v>
      </c>
      <c r="T57">
        <v>2</v>
      </c>
      <c r="U57">
        <v>0</v>
      </c>
      <c r="V57">
        <v>1</v>
      </c>
      <c r="W57">
        <v>768</v>
      </c>
      <c r="Y57" s="78" t="str">
        <f>HYPERLINK("https://www.vinetur.com/2024080181070/el-ministerio-impulsa-la-calidad-del-vino-riojano.html?utm_source=dlvr.it&amp;utm_medium=twitter")</f>
        <v>https://www.vinetur.com/2024080181070/el-ministerio-impulsa-la-calidad-del-vino-riojano.html?utm_source=dlvr.it&amp;utm_medium=twitter</v>
      </c>
      <c r="Z57" t="s">
        <v>1164</v>
      </c>
      <c r="AB57" t="s">
        <v>1295</v>
      </c>
      <c r="AC57" t="s">
        <v>1359</v>
      </c>
      <c r="AD57" s="77" t="s">
        <v>1376</v>
      </c>
      <c r="AE57" t="s">
        <v>1385</v>
      </c>
      <c r="AF57" s="78" t="str">
        <f>HYPERLINK("https://twitter.com/vinetur/status/1819067217373548949")</f>
        <v>https://twitter.com/vinetur/status/1819067217373548949</v>
      </c>
      <c r="AG57" s="76">
        <v>45505.740682870368</v>
      </c>
      <c r="AH57" s="80">
        <v>45505</v>
      </c>
      <c r="AI57" s="77" t="s">
        <v>1561</v>
      </c>
      <c r="AJ57" t="b">
        <v>0</v>
      </c>
      <c r="AR57" t="s">
        <v>1808</v>
      </c>
      <c r="AW57" s="78" t="str">
        <f>HYPERLINK("https://pbs.twimg.com/media/GT6f_qkbEAAvnfy.jpg")</f>
        <v>https://pbs.twimg.com/media/GT6f_qkbEAAvnfy.jpg</v>
      </c>
      <c r="AX57" s="77" t="s">
        <v>2046</v>
      </c>
      <c r="AY57" s="77" t="s">
        <v>2046</v>
      </c>
      <c r="BA57" s="77" t="s">
        <v>2494</v>
      </c>
      <c r="BB57" s="77" t="s">
        <v>2494</v>
      </c>
      <c r="BC57" s="77" t="s">
        <v>2494</v>
      </c>
      <c r="BD57" s="77" t="s">
        <v>2046</v>
      </c>
      <c r="BE57">
        <v>32935674</v>
      </c>
      <c r="BK57" s="112" t="str">
        <f>REPLACE(INDEX(GroupVertices[Group], MATCH("~"&amp;Edges[[#This Row],[Vertex 1]],GroupVertices[Vertex],0)),1,1,"")</f>
        <v>96</v>
      </c>
      <c r="BL57" s="112" t="str">
        <f>REPLACE(INDEX(GroupVertices[Group], MATCH("~"&amp;Edges[[#This Row],[Vertex 2]],GroupVertices[Vertex],0)),1,1,"")</f>
        <v>96</v>
      </c>
    </row>
    <row r="58" spans="1:64" x14ac:dyDescent="0.25">
      <c r="A58" s="61" t="s">
        <v>276</v>
      </c>
      <c r="B58" s="61" t="s">
        <v>555</v>
      </c>
      <c r="C58" s="62"/>
      <c r="D58" s="63"/>
      <c r="E58" s="64"/>
      <c r="F58" s="65"/>
      <c r="G58" s="62"/>
      <c r="H58" s="66"/>
      <c r="I58" s="67"/>
      <c r="J58" s="67"/>
      <c r="K58" s="31"/>
      <c r="L58" s="75">
        <v>58</v>
      </c>
      <c r="M58"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58" s="69"/>
      <c r="O58" t="s">
        <v>703</v>
      </c>
      <c r="P58" s="76">
        <v>45505.777962962966</v>
      </c>
      <c r="Q58" t="s">
        <v>778</v>
      </c>
      <c r="R58" t="b">
        <v>0</v>
      </c>
      <c r="S58">
        <v>1</v>
      </c>
      <c r="T58">
        <v>11</v>
      </c>
      <c r="U58">
        <v>0</v>
      </c>
      <c r="V58">
        <v>0</v>
      </c>
      <c r="W58">
        <v>736</v>
      </c>
      <c r="AA58" t="s">
        <v>1222</v>
      </c>
      <c r="AD58" s="77" t="s">
        <v>1367</v>
      </c>
      <c r="AE58" t="s">
        <v>1385</v>
      </c>
      <c r="AF58" s="78" t="str">
        <f>HYPERLINK("https://twitter.com/pedrolo25778676/status/1819080724211028008")</f>
        <v>https://twitter.com/pedrolo25778676/status/1819080724211028008</v>
      </c>
      <c r="AG58" s="76">
        <v>45505.777962962966</v>
      </c>
      <c r="AH58" s="80">
        <v>45505</v>
      </c>
      <c r="AI58" s="77" t="s">
        <v>1460</v>
      </c>
      <c r="AW58" s="78" t="str">
        <f>HYPERLINK("https://pbs.twimg.com/profile_images/1492166058484146181/DcdGvZeU_normal.jpg")</f>
        <v>https://pbs.twimg.com/profile_images/1492166058484146181/DcdGvZeU_normal.jpg</v>
      </c>
      <c r="AX58" s="77" t="s">
        <v>1944</v>
      </c>
      <c r="AY58" s="77" t="s">
        <v>2284</v>
      </c>
      <c r="AZ58" s="77" t="s">
        <v>2403</v>
      </c>
      <c r="BA58" s="77" t="s">
        <v>2284</v>
      </c>
      <c r="BB58" s="77" t="s">
        <v>2494</v>
      </c>
      <c r="BC58" s="77" t="s">
        <v>2494</v>
      </c>
      <c r="BD58" s="77" t="s">
        <v>2284</v>
      </c>
      <c r="BE58" s="77" t="s">
        <v>2559</v>
      </c>
      <c r="BK58" s="112" t="str">
        <f>REPLACE(INDEX(GroupVertices[Group], MATCH("~"&amp;Edges[[#This Row],[Vertex 1]],GroupVertices[Vertex],0)),1,1,"")</f>
        <v>9</v>
      </c>
      <c r="BL58" s="112" t="str">
        <f>REPLACE(INDEX(GroupVertices[Group], MATCH("~"&amp;Edges[[#This Row],[Vertex 2]],GroupVertices[Vertex],0)),1,1,"")</f>
        <v>9</v>
      </c>
    </row>
    <row r="59" spans="1:64" x14ac:dyDescent="0.25">
      <c r="A59" s="61" t="s">
        <v>276</v>
      </c>
      <c r="B59" s="61" t="s">
        <v>556</v>
      </c>
      <c r="C59" s="62"/>
      <c r="D59" s="63"/>
      <c r="E59" s="64"/>
      <c r="F59" s="65"/>
      <c r="G59" s="62"/>
      <c r="H59" s="66"/>
      <c r="I59" s="67"/>
      <c r="J59" s="67"/>
      <c r="K59" s="31"/>
      <c r="L59" s="75">
        <v>59</v>
      </c>
      <c r="M59"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59" s="69"/>
      <c r="O59" t="s">
        <v>701</v>
      </c>
      <c r="P59" s="76">
        <v>45505.777962962966</v>
      </c>
      <c r="Q59" t="s">
        <v>778</v>
      </c>
      <c r="R59" t="b">
        <v>0</v>
      </c>
      <c r="S59">
        <v>1</v>
      </c>
      <c r="T59">
        <v>11</v>
      </c>
      <c r="U59">
        <v>0</v>
      </c>
      <c r="V59">
        <v>0</v>
      </c>
      <c r="W59">
        <v>736</v>
      </c>
      <c r="AA59" t="s">
        <v>1222</v>
      </c>
      <c r="AD59" s="77" t="s">
        <v>1367</v>
      </c>
      <c r="AE59" t="s">
        <v>1385</v>
      </c>
      <c r="AF59" s="78" t="str">
        <f>HYPERLINK("https://twitter.com/pedrolo25778676/status/1819080724211028008")</f>
        <v>https://twitter.com/pedrolo25778676/status/1819080724211028008</v>
      </c>
      <c r="AG59" s="76">
        <v>45505.777962962966</v>
      </c>
      <c r="AH59" s="80">
        <v>45505</v>
      </c>
      <c r="AI59" s="77" t="s">
        <v>1460</v>
      </c>
      <c r="AW59" s="78" t="str">
        <f>HYPERLINK("https://pbs.twimg.com/profile_images/1492166058484146181/DcdGvZeU_normal.jpg")</f>
        <v>https://pbs.twimg.com/profile_images/1492166058484146181/DcdGvZeU_normal.jpg</v>
      </c>
      <c r="AX59" s="77" t="s">
        <v>1944</v>
      </c>
      <c r="AY59" s="77" t="s">
        <v>2284</v>
      </c>
      <c r="AZ59" s="77" t="s">
        <v>2403</v>
      </c>
      <c r="BA59" s="77" t="s">
        <v>2284</v>
      </c>
      <c r="BB59" s="77" t="s">
        <v>2494</v>
      </c>
      <c r="BC59" s="77" t="s">
        <v>2494</v>
      </c>
      <c r="BD59" s="77" t="s">
        <v>2284</v>
      </c>
      <c r="BE59" s="77" t="s">
        <v>2559</v>
      </c>
      <c r="BK59" s="112" t="str">
        <f>REPLACE(INDEX(GroupVertices[Group], MATCH("~"&amp;Edges[[#This Row],[Vertex 1]],GroupVertices[Vertex],0)),1,1,"")</f>
        <v>9</v>
      </c>
      <c r="BL59" s="112" t="str">
        <f>REPLACE(INDEX(GroupVertices[Group], MATCH("~"&amp;Edges[[#This Row],[Vertex 2]],GroupVertices[Vertex],0)),1,1,"")</f>
        <v>9</v>
      </c>
    </row>
    <row r="60" spans="1:64" x14ac:dyDescent="0.25">
      <c r="A60" s="61" t="s">
        <v>423</v>
      </c>
      <c r="B60" s="61" t="s">
        <v>423</v>
      </c>
      <c r="C60" s="62"/>
      <c r="D60" s="63"/>
      <c r="E60" s="64"/>
      <c r="F60" s="65"/>
      <c r="G60" s="62"/>
      <c r="H60" s="66"/>
      <c r="I60" s="67"/>
      <c r="J60" s="67"/>
      <c r="K60" s="31"/>
      <c r="L60" s="75">
        <v>60</v>
      </c>
      <c r="M60"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60" s="69"/>
      <c r="O60" t="s">
        <v>177</v>
      </c>
      <c r="P60" s="76">
        <v>45506.458333333336</v>
      </c>
      <c r="Q60" t="s">
        <v>994</v>
      </c>
      <c r="R60" t="b">
        <v>0</v>
      </c>
      <c r="S60">
        <v>1</v>
      </c>
      <c r="T60">
        <v>1</v>
      </c>
      <c r="U60">
        <v>0</v>
      </c>
      <c r="V60">
        <v>0</v>
      </c>
      <c r="W60">
        <v>735</v>
      </c>
      <c r="X60" s="77" t="s">
        <v>1120</v>
      </c>
      <c r="AB60" t="s">
        <v>1334</v>
      </c>
      <c r="AC60" t="s">
        <v>1360</v>
      </c>
      <c r="AD60" s="77" t="s">
        <v>1382</v>
      </c>
      <c r="AE60" t="s">
        <v>1385</v>
      </c>
      <c r="AF60" s="78" t="str">
        <f>HYPERLINK("https://twitter.com/saempleo/status/1819327285335343587")</f>
        <v>https://twitter.com/saempleo/status/1819327285335343587</v>
      </c>
      <c r="AG60" s="76">
        <v>45506.458333333336</v>
      </c>
      <c r="AH60" s="80">
        <v>45506</v>
      </c>
      <c r="AI60" s="77" t="s">
        <v>1673</v>
      </c>
      <c r="AJ60" t="b">
        <v>0</v>
      </c>
      <c r="AR60" t="s">
        <v>1847</v>
      </c>
      <c r="AS60">
        <v>59698</v>
      </c>
      <c r="AW60" s="78" t="str">
        <f>HYPERLINK("https://pbs.twimg.com/ext_tw_video_thumb/1819326427918954496/pu/img/CQ21PkCVZRIxWPs1.jpg")</f>
        <v>https://pbs.twimg.com/ext_tw_video_thumb/1819326427918954496/pu/img/CQ21PkCVZRIxWPs1.jpg</v>
      </c>
      <c r="AX60" s="77" t="s">
        <v>2160</v>
      </c>
      <c r="AY60" s="77" t="s">
        <v>2160</v>
      </c>
      <c r="BA60" s="77" t="s">
        <v>2494</v>
      </c>
      <c r="BB60" s="77" t="s">
        <v>2494</v>
      </c>
      <c r="BC60" s="77" t="s">
        <v>2494</v>
      </c>
      <c r="BD60" s="77" t="s">
        <v>2160</v>
      </c>
      <c r="BE60">
        <v>185290338</v>
      </c>
      <c r="BK60" s="112" t="str">
        <f>REPLACE(INDEX(GroupVertices[Group], MATCH("~"&amp;Edges[[#This Row],[Vertex 1]],GroupVertices[Vertex],0)),1,1,"")</f>
        <v>14</v>
      </c>
      <c r="BL60" s="112" t="str">
        <f>REPLACE(INDEX(GroupVertices[Group], MATCH("~"&amp;Edges[[#This Row],[Vertex 2]],GroupVertices[Vertex],0)),1,1,"")</f>
        <v>14</v>
      </c>
    </row>
    <row r="61" spans="1:64" x14ac:dyDescent="0.25">
      <c r="A61" s="61" t="s">
        <v>493</v>
      </c>
      <c r="B61" s="61" t="s">
        <v>467</v>
      </c>
      <c r="C61" s="62"/>
      <c r="D61" s="63"/>
      <c r="E61" s="64"/>
      <c r="F61" s="65"/>
      <c r="G61" s="62"/>
      <c r="H61" s="66"/>
      <c r="I61" s="67"/>
      <c r="J61" s="67"/>
      <c r="K61" s="31"/>
      <c r="L61" s="75">
        <v>61</v>
      </c>
      <c r="M61"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61" s="69"/>
      <c r="O61" t="s">
        <v>704</v>
      </c>
      <c r="P61" s="76">
        <v>45510.714872685188</v>
      </c>
      <c r="Q61" t="s">
        <v>1074</v>
      </c>
      <c r="R61" t="b">
        <v>0</v>
      </c>
      <c r="S61">
        <v>2</v>
      </c>
      <c r="T61">
        <v>9</v>
      </c>
      <c r="U61">
        <v>0</v>
      </c>
      <c r="V61">
        <v>0</v>
      </c>
      <c r="W61">
        <v>677</v>
      </c>
      <c r="AD61" s="77" t="s">
        <v>1366</v>
      </c>
      <c r="AE61" t="s">
        <v>1385</v>
      </c>
      <c r="AF61" s="78" t="str">
        <f>HYPERLINK("https://twitter.com/donmrmonster/status/1820869800207511598")</f>
        <v>https://twitter.com/donmrmonster/status/1820869800207511598</v>
      </c>
      <c r="AG61" s="76">
        <v>45510.714872685188</v>
      </c>
      <c r="AH61" s="80">
        <v>45510</v>
      </c>
      <c r="AI61" s="77" t="s">
        <v>1751</v>
      </c>
      <c r="AW61" s="78" t="str">
        <f>HYPERLINK("https://pbs.twimg.com/profile_images/1869202800447471616/-ZVJ_rtM_normal.jpg")</f>
        <v>https://pbs.twimg.com/profile_images/1869202800447471616/-ZVJ_rtM_normal.jpg</v>
      </c>
      <c r="AX61" s="77" t="s">
        <v>2240</v>
      </c>
      <c r="AY61" s="77" t="s">
        <v>2240</v>
      </c>
      <c r="BA61" s="77" t="s">
        <v>2494</v>
      </c>
      <c r="BB61" s="77" t="s">
        <v>2210</v>
      </c>
      <c r="BC61" s="77" t="s">
        <v>2494</v>
      </c>
      <c r="BD61" s="77" t="s">
        <v>2210</v>
      </c>
      <c r="BE61">
        <v>297001852</v>
      </c>
      <c r="BK61" s="112" t="str">
        <f>REPLACE(INDEX(GroupVertices[Group], MATCH("~"&amp;Edges[[#This Row],[Vertex 1]],GroupVertices[Vertex],0)),1,1,"")</f>
        <v>40</v>
      </c>
      <c r="BL61" s="112" t="str">
        <f>REPLACE(INDEX(GroupVertices[Group], MATCH("~"&amp;Edges[[#This Row],[Vertex 2]],GroupVertices[Vertex],0)),1,1,"")</f>
        <v>40</v>
      </c>
    </row>
    <row r="62" spans="1:64" x14ac:dyDescent="0.25">
      <c r="A62" s="61" t="s">
        <v>330</v>
      </c>
      <c r="B62" s="61" t="s">
        <v>371</v>
      </c>
      <c r="C62" s="62"/>
      <c r="D62" s="63"/>
      <c r="E62" s="64"/>
      <c r="F62" s="65"/>
      <c r="G62" s="62"/>
      <c r="H62" s="66"/>
      <c r="I62" s="67"/>
      <c r="J62" s="67"/>
      <c r="K62" s="31"/>
      <c r="L62" s="75">
        <v>62</v>
      </c>
      <c r="M62"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62" s="69"/>
      <c r="O62" t="s">
        <v>704</v>
      </c>
      <c r="P62" s="76">
        <v>45505.555671296293</v>
      </c>
      <c r="Q62" t="s">
        <v>882</v>
      </c>
      <c r="R62" t="b">
        <v>0</v>
      </c>
      <c r="S62">
        <v>1</v>
      </c>
      <c r="T62">
        <v>10</v>
      </c>
      <c r="U62">
        <v>1</v>
      </c>
      <c r="V62">
        <v>0</v>
      </c>
      <c r="W62">
        <v>672</v>
      </c>
      <c r="AD62" s="77" t="s">
        <v>1365</v>
      </c>
      <c r="AE62" t="s">
        <v>1385</v>
      </c>
      <c r="AF62" s="78" t="str">
        <f>HYPERLINK("https://twitter.com/marina_agbb/status/1819000168345149646")</f>
        <v>https://twitter.com/marina_agbb/status/1819000168345149646</v>
      </c>
      <c r="AG62" s="76">
        <v>45505.555671296293</v>
      </c>
      <c r="AH62" s="80">
        <v>45505</v>
      </c>
      <c r="AI62" s="77" t="s">
        <v>1480</v>
      </c>
      <c r="AW62" s="78" t="str">
        <f>HYPERLINK("https://pbs.twimg.com/profile_images/1607759213832425472/awD1t1pW_normal.jpg")</f>
        <v>https://pbs.twimg.com/profile_images/1607759213832425472/awD1t1pW_normal.jpg</v>
      </c>
      <c r="AX62" s="77" t="s">
        <v>2048</v>
      </c>
      <c r="AY62" s="77" t="s">
        <v>2048</v>
      </c>
      <c r="BA62" s="77" t="s">
        <v>2494</v>
      </c>
      <c r="BB62" s="77" t="s">
        <v>2100</v>
      </c>
      <c r="BC62" s="77" t="s">
        <v>2494</v>
      </c>
      <c r="BD62" s="77" t="s">
        <v>2100</v>
      </c>
      <c r="BE62">
        <v>325711452</v>
      </c>
      <c r="BK62" s="112" t="str">
        <f>REPLACE(INDEX(GroupVertices[Group], MATCH("~"&amp;Edges[[#This Row],[Vertex 1]],GroupVertices[Vertex],0)),1,1,"")</f>
        <v>109</v>
      </c>
      <c r="BL62" s="112" t="str">
        <f>REPLACE(INDEX(GroupVertices[Group], MATCH("~"&amp;Edges[[#This Row],[Vertex 2]],GroupVertices[Vertex],0)),1,1,"")</f>
        <v>109</v>
      </c>
    </row>
    <row r="63" spans="1:64" x14ac:dyDescent="0.25">
      <c r="A63" s="61" t="s">
        <v>423</v>
      </c>
      <c r="B63" s="61" t="s">
        <v>423</v>
      </c>
      <c r="C63" s="62"/>
      <c r="D63" s="63"/>
      <c r="E63" s="64"/>
      <c r="F63" s="65"/>
      <c r="G63" s="62"/>
      <c r="H63" s="66"/>
      <c r="I63" s="67"/>
      <c r="J63" s="67"/>
      <c r="K63" s="31"/>
      <c r="L63" s="75">
        <v>63</v>
      </c>
      <c r="M63"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63" s="69"/>
      <c r="O63" t="s">
        <v>177</v>
      </c>
      <c r="P63" s="76">
        <v>45506.416666666664</v>
      </c>
      <c r="Q63" t="s">
        <v>995</v>
      </c>
      <c r="R63" t="b">
        <v>0</v>
      </c>
      <c r="S63">
        <v>2</v>
      </c>
      <c r="T63">
        <v>0</v>
      </c>
      <c r="U63">
        <v>0</v>
      </c>
      <c r="V63">
        <v>0</v>
      </c>
      <c r="W63">
        <v>615</v>
      </c>
      <c r="Y63" s="78" t="str">
        <f>HYPERLINK("https://view.genially.com/665d7760db0cdf0014210799/guide-guia-interactiva-de-empleo-personas-migrantes-en-andalucia")</f>
        <v>https://view.genially.com/665d7760db0cdf0014210799/guide-guia-interactiva-de-empleo-personas-migrantes-en-andalucia</v>
      </c>
      <c r="Z63" t="s">
        <v>1187</v>
      </c>
      <c r="AB63" t="s">
        <v>1335</v>
      </c>
      <c r="AC63" t="s">
        <v>1364</v>
      </c>
      <c r="AD63" s="77" t="s">
        <v>1382</v>
      </c>
      <c r="AE63" t="s">
        <v>1385</v>
      </c>
      <c r="AF63" s="78" t="str">
        <f>HYPERLINK("https://twitter.com/saempleo/status/1819312184737882563")</f>
        <v>https://twitter.com/saempleo/status/1819312184737882563</v>
      </c>
      <c r="AG63" s="76">
        <v>45506.416666666664</v>
      </c>
      <c r="AH63" s="80">
        <v>45506</v>
      </c>
      <c r="AI63" s="77" t="s">
        <v>1674</v>
      </c>
      <c r="AJ63" t="b">
        <v>0</v>
      </c>
      <c r="AR63" t="s">
        <v>1848</v>
      </c>
      <c r="AW63" s="78" t="str">
        <f>HYPERLINK("https://pbs.twimg.com/media/GT994kaXUAAY6mf.jpg")</f>
        <v>https://pbs.twimg.com/media/GT994kaXUAAY6mf.jpg</v>
      </c>
      <c r="AX63" s="77" t="s">
        <v>2161</v>
      </c>
      <c r="AY63" s="77" t="s">
        <v>2161</v>
      </c>
      <c r="BA63" s="77" t="s">
        <v>2494</v>
      </c>
      <c r="BB63" s="77" t="s">
        <v>2494</v>
      </c>
      <c r="BC63" s="77" t="s">
        <v>2494</v>
      </c>
      <c r="BD63" s="77" t="s">
        <v>2161</v>
      </c>
      <c r="BE63">
        <v>185290338</v>
      </c>
      <c r="BK63" s="112" t="str">
        <f>REPLACE(INDEX(GroupVertices[Group], MATCH("~"&amp;Edges[[#This Row],[Vertex 1]],GroupVertices[Vertex],0)),1,1,"")</f>
        <v>14</v>
      </c>
      <c r="BL63" s="112" t="str">
        <f>REPLACE(INDEX(GroupVertices[Group], MATCH("~"&amp;Edges[[#This Row],[Vertex 2]],GroupVertices[Vertex],0)),1,1,"")</f>
        <v>14</v>
      </c>
    </row>
    <row r="64" spans="1:64" x14ac:dyDescent="0.25">
      <c r="A64" s="61" t="s">
        <v>266</v>
      </c>
      <c r="B64" s="61" t="s">
        <v>266</v>
      </c>
      <c r="C64" s="62"/>
      <c r="D64" s="63"/>
      <c r="E64" s="64"/>
      <c r="F64" s="65"/>
      <c r="G64" s="62"/>
      <c r="H64" s="66"/>
      <c r="I64" s="67"/>
      <c r="J64" s="67"/>
      <c r="K64" s="31"/>
      <c r="L64" s="75">
        <v>64</v>
      </c>
      <c r="M64"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64" s="69"/>
      <c r="O64" t="s">
        <v>177</v>
      </c>
      <c r="P64" s="76">
        <v>45506.627870370372</v>
      </c>
      <c r="Q64" t="s">
        <v>844</v>
      </c>
      <c r="R64" t="b">
        <v>0</v>
      </c>
      <c r="S64">
        <v>1</v>
      </c>
      <c r="T64">
        <v>3</v>
      </c>
      <c r="U64">
        <v>4</v>
      </c>
      <c r="V64">
        <v>0</v>
      </c>
      <c r="W64">
        <v>606</v>
      </c>
      <c r="X64" s="77" t="s">
        <v>1102</v>
      </c>
      <c r="Y64" s="78" t="str">
        <f>HYPERLINK("http://www.sistemadeadmisionescolar.cl")</f>
        <v>http://www.sistemadeadmisionescolar.cl</v>
      </c>
      <c r="Z64" t="s">
        <v>1137</v>
      </c>
      <c r="AB64" t="s">
        <v>1285</v>
      </c>
      <c r="AC64" t="s">
        <v>1359</v>
      </c>
      <c r="AD64" s="77" t="s">
        <v>1365</v>
      </c>
      <c r="AE64" t="s">
        <v>1385</v>
      </c>
      <c r="AF64" s="78" t="str">
        <f>HYPERLINK("https://twitter.com/admisionescolar/status/1819388722711839081")</f>
        <v>https://twitter.com/admisionescolar/status/1819388722711839081</v>
      </c>
      <c r="AG64" s="76">
        <v>45506.627870370372</v>
      </c>
      <c r="AH64" s="80">
        <v>45506</v>
      </c>
      <c r="AI64" s="77" t="s">
        <v>1526</v>
      </c>
      <c r="AJ64" t="b">
        <v>0</v>
      </c>
      <c r="AR64" t="s">
        <v>1798</v>
      </c>
      <c r="AW64" s="78" t="str">
        <f>HYPERLINK("https://pbs.twimg.com/media/GT_EZsaWYAA5G56.jpg")</f>
        <v>https://pbs.twimg.com/media/GT_EZsaWYAA5G56.jpg</v>
      </c>
      <c r="AX64" s="77" t="s">
        <v>2010</v>
      </c>
      <c r="AY64" s="77" t="s">
        <v>2010</v>
      </c>
      <c r="BA64" s="77" t="s">
        <v>2494</v>
      </c>
      <c r="BB64" s="77" t="s">
        <v>2494</v>
      </c>
      <c r="BC64" s="77" t="s">
        <v>2494</v>
      </c>
      <c r="BD64" s="77" t="s">
        <v>2010</v>
      </c>
      <c r="BE64" s="77" t="s">
        <v>2553</v>
      </c>
      <c r="BK64" s="112" t="str">
        <f>REPLACE(INDEX(GroupVertices[Group], MATCH("~"&amp;Edges[[#This Row],[Vertex 1]],GroupVertices[Vertex],0)),1,1,"")</f>
        <v>5</v>
      </c>
      <c r="BL64" s="112" t="str">
        <f>REPLACE(INDEX(GroupVertices[Group], MATCH("~"&amp;Edges[[#This Row],[Vertex 2]],GroupVertices[Vertex],0)),1,1,"")</f>
        <v>5</v>
      </c>
    </row>
    <row r="65" spans="1:64" x14ac:dyDescent="0.25">
      <c r="A65" s="61" t="s">
        <v>423</v>
      </c>
      <c r="B65" s="61" t="s">
        <v>423</v>
      </c>
      <c r="C65" s="62"/>
      <c r="D65" s="63"/>
      <c r="E65" s="64"/>
      <c r="F65" s="65"/>
      <c r="G65" s="62"/>
      <c r="H65" s="66"/>
      <c r="I65" s="67"/>
      <c r="J65" s="67"/>
      <c r="K65" s="31"/>
      <c r="L65" s="75">
        <v>65</v>
      </c>
      <c r="M65"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65" s="69"/>
      <c r="O65" t="s">
        <v>177</v>
      </c>
      <c r="P65" s="76">
        <v>45505.416666666664</v>
      </c>
      <c r="Q65" t="s">
        <v>996</v>
      </c>
      <c r="R65" t="b">
        <v>0</v>
      </c>
      <c r="S65">
        <v>1</v>
      </c>
      <c r="T65">
        <v>0</v>
      </c>
      <c r="U65">
        <v>0</v>
      </c>
      <c r="V65">
        <v>0</v>
      </c>
      <c r="W65">
        <v>603</v>
      </c>
      <c r="X65" s="77" t="s">
        <v>1119</v>
      </c>
      <c r="AB65" t="s">
        <v>1336</v>
      </c>
      <c r="AC65" t="s">
        <v>1360</v>
      </c>
      <c r="AD65" s="77" t="s">
        <v>1382</v>
      </c>
      <c r="AE65" t="s">
        <v>1385</v>
      </c>
      <c r="AF65" s="78" t="str">
        <f>HYPERLINK("https://twitter.com/saempleo/status/1818949797681733939")</f>
        <v>https://twitter.com/saempleo/status/1818949797681733939</v>
      </c>
      <c r="AG65" s="76">
        <v>45505.416666666664</v>
      </c>
      <c r="AH65" s="80">
        <v>45505</v>
      </c>
      <c r="AI65" s="77" t="s">
        <v>1674</v>
      </c>
      <c r="AJ65" t="b">
        <v>0</v>
      </c>
      <c r="AR65" t="s">
        <v>1849</v>
      </c>
      <c r="AS65">
        <v>55979</v>
      </c>
      <c r="AW65" s="78" t="str">
        <f>HYPERLINK("https://pbs.twimg.com/ext_tw_video_thumb/1818948944463884289/pu/img/QnPjiGsbgEbHUybJ.jpg")</f>
        <v>https://pbs.twimg.com/ext_tw_video_thumb/1818948944463884289/pu/img/QnPjiGsbgEbHUybJ.jpg</v>
      </c>
      <c r="AX65" s="77" t="s">
        <v>2162</v>
      </c>
      <c r="AY65" s="77" t="s">
        <v>2162</v>
      </c>
      <c r="BA65" s="77" t="s">
        <v>2494</v>
      </c>
      <c r="BB65" s="77" t="s">
        <v>2494</v>
      </c>
      <c r="BC65" s="77" t="s">
        <v>2494</v>
      </c>
      <c r="BD65" s="77" t="s">
        <v>2162</v>
      </c>
      <c r="BE65">
        <v>185290338</v>
      </c>
      <c r="BK65" s="112" t="str">
        <f>REPLACE(INDEX(GroupVertices[Group], MATCH("~"&amp;Edges[[#This Row],[Vertex 1]],GroupVertices[Vertex],0)),1,1,"")</f>
        <v>14</v>
      </c>
      <c r="BL65" s="112" t="str">
        <f>REPLACE(INDEX(GroupVertices[Group], MATCH("~"&amp;Edges[[#This Row],[Vertex 2]],GroupVertices[Vertex],0)),1,1,"")</f>
        <v>14</v>
      </c>
    </row>
    <row r="66" spans="1:64" x14ac:dyDescent="0.25">
      <c r="A66" s="61" t="s">
        <v>351</v>
      </c>
      <c r="B66" s="61" t="s">
        <v>351</v>
      </c>
      <c r="C66" s="62"/>
      <c r="D66" s="63"/>
      <c r="E66" s="64"/>
      <c r="F66" s="65"/>
      <c r="G66" s="62"/>
      <c r="H66" s="66"/>
      <c r="I66" s="67"/>
      <c r="J66" s="67"/>
      <c r="K66" s="31"/>
      <c r="L66" s="75">
        <v>66</v>
      </c>
      <c r="M66"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66" s="69"/>
      <c r="O66" t="s">
        <v>177</v>
      </c>
      <c r="P66" s="76">
        <v>45506.511469907404</v>
      </c>
      <c r="Q66" t="s">
        <v>911</v>
      </c>
      <c r="R66" t="b">
        <v>0</v>
      </c>
      <c r="S66">
        <v>1</v>
      </c>
      <c r="T66">
        <v>5</v>
      </c>
      <c r="U66">
        <v>8</v>
      </c>
      <c r="V66">
        <v>0</v>
      </c>
      <c r="W66">
        <v>590</v>
      </c>
      <c r="AD66" s="77" t="s">
        <v>1365</v>
      </c>
      <c r="AE66" t="s">
        <v>1385</v>
      </c>
      <c r="AF66" s="78" t="str">
        <f>HYPERLINK("https://twitter.com/paupaumcc/status/1819346540835598617")</f>
        <v>https://twitter.com/paupaumcc/status/1819346540835598617</v>
      </c>
      <c r="AG66" s="76">
        <v>45506.511469907404</v>
      </c>
      <c r="AH66" s="80">
        <v>45506</v>
      </c>
      <c r="AI66" s="77" t="s">
        <v>1591</v>
      </c>
      <c r="AW66" s="78" t="str">
        <f>HYPERLINK("https://pbs.twimg.com/profile_images/1516600862818377733/B8yBPF_o_normal.jpg")</f>
        <v>https://pbs.twimg.com/profile_images/1516600862818377733/B8yBPF_o_normal.jpg</v>
      </c>
      <c r="AX66" s="77" t="s">
        <v>2077</v>
      </c>
      <c r="AY66" s="77" t="s">
        <v>2077</v>
      </c>
      <c r="BA66" s="77" t="s">
        <v>2494</v>
      </c>
      <c r="BB66" s="77" t="s">
        <v>2494</v>
      </c>
      <c r="BC66" s="77" t="s">
        <v>2494</v>
      </c>
      <c r="BD66" s="77" t="s">
        <v>2077</v>
      </c>
      <c r="BE66" s="77" t="s">
        <v>2585</v>
      </c>
      <c r="BK66" s="112" t="str">
        <f>REPLACE(INDEX(GroupVertices[Group], MATCH("~"&amp;Edges[[#This Row],[Vertex 1]],GroupVertices[Vertex],0)),1,1,"")</f>
        <v>195</v>
      </c>
      <c r="BL66" s="112" t="str">
        <f>REPLACE(INDEX(GroupVertices[Group], MATCH("~"&amp;Edges[[#This Row],[Vertex 2]],GroupVertices[Vertex],0)),1,1,"")</f>
        <v>195</v>
      </c>
    </row>
    <row r="67" spans="1:64" x14ac:dyDescent="0.25">
      <c r="A67" s="61" t="s">
        <v>450</v>
      </c>
      <c r="B67" s="61" t="s">
        <v>497</v>
      </c>
      <c r="C67" s="62"/>
      <c r="D67" s="63"/>
      <c r="E67" s="64"/>
      <c r="F67" s="65"/>
      <c r="G67" s="62"/>
      <c r="H67" s="66"/>
      <c r="I67" s="67"/>
      <c r="J67" s="67"/>
      <c r="K67" s="31"/>
      <c r="L67" s="75">
        <v>67</v>
      </c>
      <c r="M67"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67" s="69"/>
      <c r="O67" t="s">
        <v>701</v>
      </c>
      <c r="P67" s="76">
        <v>45506.514386574076</v>
      </c>
      <c r="Q67" t="s">
        <v>1027</v>
      </c>
      <c r="R67" t="b">
        <v>0</v>
      </c>
      <c r="S67">
        <v>2</v>
      </c>
      <c r="T67">
        <v>6</v>
      </c>
      <c r="U67">
        <v>3</v>
      </c>
      <c r="V67">
        <v>0</v>
      </c>
      <c r="W67">
        <v>588</v>
      </c>
      <c r="AA67" t="s">
        <v>497</v>
      </c>
      <c r="AD67" s="77" t="s">
        <v>1366</v>
      </c>
      <c r="AE67" t="s">
        <v>1385</v>
      </c>
      <c r="AF67" s="78" t="str">
        <f>HYPERLINK("https://twitter.com/claucortesi/status/1819347595803660671")</f>
        <v>https://twitter.com/claucortesi/status/1819347595803660671</v>
      </c>
      <c r="AG67" s="76">
        <v>45506.514386574076</v>
      </c>
      <c r="AH67" s="80">
        <v>45506</v>
      </c>
      <c r="AI67" s="77" t="s">
        <v>1705</v>
      </c>
      <c r="AW67" s="78" t="str">
        <f>HYPERLINK("https://abs.twimg.com/sticky/default_profile_images/default_profile_normal.png")</f>
        <v>https://abs.twimg.com/sticky/default_profile_images/default_profile_normal.png</v>
      </c>
      <c r="AX67" s="77" t="s">
        <v>2193</v>
      </c>
      <c r="AY67" s="77" t="s">
        <v>2245</v>
      </c>
      <c r="AZ67" s="77" t="s">
        <v>2469</v>
      </c>
      <c r="BA67" s="77" t="s">
        <v>2245</v>
      </c>
      <c r="BB67" s="77" t="s">
        <v>2494</v>
      </c>
      <c r="BC67" s="77" t="s">
        <v>2494</v>
      </c>
      <c r="BD67" s="77" t="s">
        <v>2245</v>
      </c>
      <c r="BE67" s="77" t="s">
        <v>2624</v>
      </c>
      <c r="BK67" s="112" t="str">
        <f>REPLACE(INDEX(GroupVertices[Group], MATCH("~"&amp;Edges[[#This Row],[Vertex 1]],GroupVertices[Vertex],0)),1,1,"")</f>
        <v>1</v>
      </c>
      <c r="BL67" s="112" t="str">
        <f>REPLACE(INDEX(GroupVertices[Group], MATCH("~"&amp;Edges[[#This Row],[Vertex 2]],GroupVertices[Vertex],0)),1,1,"")</f>
        <v>1</v>
      </c>
    </row>
    <row r="68" spans="1:64" x14ac:dyDescent="0.25">
      <c r="A68" s="61" t="s">
        <v>474</v>
      </c>
      <c r="B68" s="61" t="s">
        <v>689</v>
      </c>
      <c r="C68" s="62"/>
      <c r="D68" s="63"/>
      <c r="E68" s="64"/>
      <c r="F68" s="65"/>
      <c r="G68" s="62"/>
      <c r="H68" s="66"/>
      <c r="I68" s="67"/>
      <c r="J68" s="67"/>
      <c r="K68" s="31"/>
      <c r="L68" s="75">
        <v>68</v>
      </c>
      <c r="M68"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68" s="69"/>
      <c r="O68" t="s">
        <v>705</v>
      </c>
      <c r="P68" s="76">
        <v>45508.503888888888</v>
      </c>
      <c r="Q68" t="s">
        <v>1052</v>
      </c>
      <c r="R68" t="b">
        <v>0</v>
      </c>
      <c r="S68">
        <v>0</v>
      </c>
      <c r="T68">
        <v>4</v>
      </c>
      <c r="U68">
        <v>1</v>
      </c>
      <c r="V68">
        <v>0</v>
      </c>
      <c r="W68">
        <v>578</v>
      </c>
      <c r="AA68" t="s">
        <v>689</v>
      </c>
      <c r="AD68" s="77" t="s">
        <v>1365</v>
      </c>
      <c r="AE68" t="s">
        <v>1385</v>
      </c>
      <c r="AF68" s="78" t="str">
        <f>HYPERLINK("https://twitter.com/angel_ciparque/status/1820068566101614811")</f>
        <v>https://twitter.com/angel_ciparque/status/1820068566101614811</v>
      </c>
      <c r="AG68" s="76">
        <v>45508.503888888888</v>
      </c>
      <c r="AH68" s="80">
        <v>45508</v>
      </c>
      <c r="AI68" s="77" t="s">
        <v>1730</v>
      </c>
      <c r="AW68" s="78" t="str">
        <f>HYPERLINK("https://pbs.twimg.com/profile_images/1564876205849022464/qjEze7kT_normal.jpg")</f>
        <v>https://pbs.twimg.com/profile_images/1564876205849022464/qjEze7kT_normal.jpg</v>
      </c>
      <c r="AX68" s="77" t="s">
        <v>2218</v>
      </c>
      <c r="AY68" s="77" t="s">
        <v>2218</v>
      </c>
      <c r="BA68" s="77" t="s">
        <v>2494</v>
      </c>
      <c r="BB68" s="77" t="s">
        <v>2530</v>
      </c>
      <c r="BC68" s="77" t="s">
        <v>2494</v>
      </c>
      <c r="BD68" s="77" t="s">
        <v>2530</v>
      </c>
      <c r="BE68">
        <v>1875740150</v>
      </c>
      <c r="BK68" s="112" t="str">
        <f>REPLACE(INDEX(GroupVertices[Group], MATCH("~"&amp;Edges[[#This Row],[Vertex 1]],GroupVertices[Vertex],0)),1,1,"")</f>
        <v>108</v>
      </c>
      <c r="BL68" s="112" t="str">
        <f>REPLACE(INDEX(GroupVertices[Group], MATCH("~"&amp;Edges[[#This Row],[Vertex 2]],GroupVertices[Vertex],0)),1,1,"")</f>
        <v>108</v>
      </c>
    </row>
    <row r="69" spans="1:64" x14ac:dyDescent="0.25">
      <c r="A69" s="61" t="s">
        <v>369</v>
      </c>
      <c r="B69" s="61" t="s">
        <v>369</v>
      </c>
      <c r="C69" s="62"/>
      <c r="D69" s="63"/>
      <c r="E69" s="64"/>
      <c r="F69" s="65"/>
      <c r="G69" s="62"/>
      <c r="H69" s="66"/>
      <c r="I69" s="67"/>
      <c r="J69" s="67"/>
      <c r="K69" s="31"/>
      <c r="L69" s="75">
        <v>69</v>
      </c>
      <c r="M69"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69" s="69"/>
      <c r="O69" t="s">
        <v>177</v>
      </c>
      <c r="P69" s="76">
        <v>45506.602939814817</v>
      </c>
      <c r="Q69" t="s">
        <v>932</v>
      </c>
      <c r="R69" t="b">
        <v>0</v>
      </c>
      <c r="S69">
        <v>1</v>
      </c>
      <c r="T69">
        <v>5</v>
      </c>
      <c r="U69">
        <v>0</v>
      </c>
      <c r="V69">
        <v>0</v>
      </c>
      <c r="W69">
        <v>571</v>
      </c>
      <c r="AB69" t="s">
        <v>1316</v>
      </c>
      <c r="AC69" t="s">
        <v>1364</v>
      </c>
      <c r="AD69" s="77" t="s">
        <v>1365</v>
      </c>
      <c r="AE69" t="s">
        <v>1385</v>
      </c>
      <c r="AF69" s="78" t="str">
        <f>HYPERLINK("https://twitter.com/educbiobio/status/1819379687753134469")</f>
        <v>https://twitter.com/educbiobio/status/1819379687753134469</v>
      </c>
      <c r="AG69" s="76">
        <v>45506.602939814817</v>
      </c>
      <c r="AH69" s="80">
        <v>45506</v>
      </c>
      <c r="AI69" s="77" t="s">
        <v>1612</v>
      </c>
      <c r="AJ69" t="b">
        <v>0</v>
      </c>
      <c r="AR69" t="s">
        <v>1829</v>
      </c>
      <c r="AW69" s="78" t="str">
        <f>HYPERLINK("https://pbs.twimg.com/media/GT-8Lg-XkAEjaHW.jpg")</f>
        <v>https://pbs.twimg.com/media/GT-8Lg-XkAEjaHW.jpg</v>
      </c>
      <c r="AX69" s="77" t="s">
        <v>2098</v>
      </c>
      <c r="AY69" s="77" t="s">
        <v>2098</v>
      </c>
      <c r="BA69" s="77" t="s">
        <v>2494</v>
      </c>
      <c r="BB69" s="77" t="s">
        <v>2494</v>
      </c>
      <c r="BC69" s="77" t="s">
        <v>2494</v>
      </c>
      <c r="BD69" s="77" t="s">
        <v>2098</v>
      </c>
      <c r="BE69">
        <v>2649039428</v>
      </c>
      <c r="BK69" s="112" t="str">
        <f>REPLACE(INDEX(GroupVertices[Group], MATCH("~"&amp;Edges[[#This Row],[Vertex 1]],GroupVertices[Vertex],0)),1,1,"")</f>
        <v>101</v>
      </c>
      <c r="BL69" s="112" t="str">
        <f>REPLACE(INDEX(GroupVertices[Group], MATCH("~"&amp;Edges[[#This Row],[Vertex 2]],GroupVertices[Vertex],0)),1,1,"")</f>
        <v>101</v>
      </c>
    </row>
    <row r="70" spans="1:64" x14ac:dyDescent="0.25">
      <c r="A70" s="61" t="s">
        <v>256</v>
      </c>
      <c r="B70" s="61" t="s">
        <v>256</v>
      </c>
      <c r="C70" s="62"/>
      <c r="D70" s="63"/>
      <c r="E70" s="64"/>
      <c r="F70" s="65"/>
      <c r="G70" s="62"/>
      <c r="H70" s="66"/>
      <c r="I70" s="67"/>
      <c r="J70" s="67"/>
      <c r="K70" s="31"/>
      <c r="L70" s="75">
        <v>70</v>
      </c>
      <c r="M70"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70" s="69"/>
      <c r="O70" t="s">
        <v>177</v>
      </c>
      <c r="P70" s="76">
        <v>45508.485254629632</v>
      </c>
      <c r="Q70" t="s">
        <v>749</v>
      </c>
      <c r="R70" t="b">
        <v>0</v>
      </c>
      <c r="S70">
        <v>0</v>
      </c>
      <c r="T70">
        <v>1</v>
      </c>
      <c r="U70">
        <v>0</v>
      </c>
      <c r="V70">
        <v>0</v>
      </c>
      <c r="W70">
        <v>544</v>
      </c>
      <c r="X70" s="77" t="s">
        <v>1093</v>
      </c>
      <c r="AD70" s="77" t="s">
        <v>1365</v>
      </c>
      <c r="AE70" t="s">
        <v>1385</v>
      </c>
      <c r="AF70" s="78" t="str">
        <f>HYPERLINK("https://twitter.com/tonygabbana_88/status/1820061815591629282")</f>
        <v>https://twitter.com/tonygabbana_88/status/1820061815591629282</v>
      </c>
      <c r="AG70" s="76">
        <v>45508.485254629632</v>
      </c>
      <c r="AH70" s="80">
        <v>45508</v>
      </c>
      <c r="AI70" s="77" t="s">
        <v>1431</v>
      </c>
      <c r="AW70" s="78" t="str">
        <f>HYPERLINK("https://pbs.twimg.com/profile_images/1833627673928536064/YXC19rpC_normal.jpg")</f>
        <v>https://pbs.twimg.com/profile_images/1833627673928536064/YXC19rpC_normal.jpg</v>
      </c>
      <c r="AX70" s="77" t="s">
        <v>1915</v>
      </c>
      <c r="AY70" s="77" t="s">
        <v>1915</v>
      </c>
      <c r="BA70" s="77" t="s">
        <v>2494</v>
      </c>
      <c r="BB70" s="77" t="s">
        <v>2494</v>
      </c>
      <c r="BC70" s="77" t="s">
        <v>2494</v>
      </c>
      <c r="BD70" s="77" t="s">
        <v>1915</v>
      </c>
      <c r="BE70" s="77" t="s">
        <v>2545</v>
      </c>
      <c r="BK70" s="112" t="str">
        <f>REPLACE(INDEX(GroupVertices[Group], MATCH("~"&amp;Edges[[#This Row],[Vertex 1]],GroupVertices[Vertex],0)),1,1,"")</f>
        <v>194</v>
      </c>
      <c r="BL70" s="112" t="str">
        <f>REPLACE(INDEX(GroupVertices[Group], MATCH("~"&amp;Edges[[#This Row],[Vertex 2]],GroupVertices[Vertex],0)),1,1,"")</f>
        <v>194</v>
      </c>
    </row>
    <row r="71" spans="1:64" x14ac:dyDescent="0.25">
      <c r="A71" s="61" t="s">
        <v>287</v>
      </c>
      <c r="B71" s="61" t="s">
        <v>559</v>
      </c>
      <c r="C71" s="62"/>
      <c r="D71" s="63"/>
      <c r="E71" s="64"/>
      <c r="F71" s="65"/>
      <c r="G71" s="62"/>
      <c r="H71" s="66"/>
      <c r="I71" s="67"/>
      <c r="J71" s="67"/>
      <c r="K71" s="31"/>
      <c r="L71" s="75">
        <v>71</v>
      </c>
      <c r="M71"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71" s="69"/>
      <c r="O71" t="s">
        <v>701</v>
      </c>
      <c r="P71" s="76">
        <v>45506.694282407407</v>
      </c>
      <c r="Q71" t="s">
        <v>790</v>
      </c>
      <c r="R71" t="b">
        <v>0</v>
      </c>
      <c r="S71">
        <v>0</v>
      </c>
      <c r="T71">
        <v>1</v>
      </c>
      <c r="U71">
        <v>0</v>
      </c>
      <c r="V71">
        <v>0</v>
      </c>
      <c r="W71">
        <v>507</v>
      </c>
      <c r="AA71" t="s">
        <v>559</v>
      </c>
      <c r="AD71" s="77" t="s">
        <v>1366</v>
      </c>
      <c r="AE71" t="s">
        <v>1385</v>
      </c>
      <c r="AF71" s="78" t="str">
        <f>HYPERLINK("https://twitter.com/divxnopka/status/1819412786725650620")</f>
        <v>https://twitter.com/divxnopka/status/1819412786725650620</v>
      </c>
      <c r="AG71" s="76">
        <v>45506.694282407407</v>
      </c>
      <c r="AH71" s="80">
        <v>45506</v>
      </c>
      <c r="AI71" s="77" t="s">
        <v>1472</v>
      </c>
      <c r="AW71" s="78" t="str">
        <f>HYPERLINK("https://pbs.twimg.com/profile_images/1911940492595515392/FJtEFS0y_normal.jpg")</f>
        <v>https://pbs.twimg.com/profile_images/1911940492595515392/FJtEFS0y_normal.jpg</v>
      </c>
      <c r="AX71" s="77" t="s">
        <v>1956</v>
      </c>
      <c r="AY71" s="77" t="s">
        <v>2288</v>
      </c>
      <c r="AZ71" s="77" t="s">
        <v>2407</v>
      </c>
      <c r="BA71" s="77" t="s">
        <v>2288</v>
      </c>
      <c r="BB71" s="77" t="s">
        <v>2494</v>
      </c>
      <c r="BC71" s="77" t="s">
        <v>2494</v>
      </c>
      <c r="BD71" s="77" t="s">
        <v>2288</v>
      </c>
      <c r="BE71" s="77" t="s">
        <v>2563</v>
      </c>
      <c r="BK71" s="112" t="str">
        <f>REPLACE(INDEX(GroupVertices[Group], MATCH("~"&amp;Edges[[#This Row],[Vertex 1]],GroupVertices[Vertex],0)),1,1,"")</f>
        <v>107</v>
      </c>
      <c r="BL71" s="112" t="str">
        <f>REPLACE(INDEX(GroupVertices[Group], MATCH("~"&amp;Edges[[#This Row],[Vertex 2]],GroupVertices[Vertex],0)),1,1,"")</f>
        <v>107</v>
      </c>
    </row>
    <row r="72" spans="1:64" x14ac:dyDescent="0.25">
      <c r="A72" s="61" t="s">
        <v>434</v>
      </c>
      <c r="B72" s="61" t="s">
        <v>434</v>
      </c>
      <c r="C72" s="62"/>
      <c r="D72" s="63"/>
      <c r="E72" s="64"/>
      <c r="F72" s="65"/>
      <c r="G72" s="62"/>
      <c r="H72" s="66"/>
      <c r="I72" s="67"/>
      <c r="J72" s="67"/>
      <c r="K72" s="31"/>
      <c r="L72" s="75">
        <v>72</v>
      </c>
      <c r="M72"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72" s="69"/>
      <c r="O72" t="s">
        <v>177</v>
      </c>
      <c r="P72" s="76">
        <v>45506.906261574077</v>
      </c>
      <c r="Q72" t="s">
        <v>1009</v>
      </c>
      <c r="R72" t="b">
        <v>0</v>
      </c>
      <c r="S72">
        <v>1</v>
      </c>
      <c r="T72">
        <v>5</v>
      </c>
      <c r="U72">
        <v>0</v>
      </c>
      <c r="V72">
        <v>0</v>
      </c>
      <c r="W72">
        <v>502</v>
      </c>
      <c r="Y72" s="78" t="str">
        <f>HYPERLINK("https://www.vlnradio.cl/noticias/nacional/2024/08/02/comenzo-proceso-de-postulacion-a-colegios-por-el-sistema-de-admision-escolar/")</f>
        <v>https://www.vlnradio.cl/noticias/nacional/2024/08/02/comenzo-proceso-de-postulacion-a-colegios-por-el-sistema-de-admision-escolar/</v>
      </c>
      <c r="Z72" t="s">
        <v>1191</v>
      </c>
      <c r="AB72" t="s">
        <v>1339</v>
      </c>
      <c r="AC72" t="s">
        <v>1359</v>
      </c>
      <c r="AD72" s="77" t="s">
        <v>1384</v>
      </c>
      <c r="AE72" t="s">
        <v>1385</v>
      </c>
      <c r="AF72" s="78" t="str">
        <f>HYPERLINK("https://twitter.com/vlnradio/status/1819489605168578660")</f>
        <v>https://twitter.com/vlnradio/status/1819489605168578660</v>
      </c>
      <c r="AG72" s="76">
        <v>45506.906261574077</v>
      </c>
      <c r="AH72" s="80">
        <v>45506</v>
      </c>
      <c r="AI72" s="77" t="s">
        <v>1687</v>
      </c>
      <c r="AJ72" t="b">
        <v>0</v>
      </c>
      <c r="AR72" t="s">
        <v>1852</v>
      </c>
      <c r="AW72" s="78" t="str">
        <f>HYPERLINK("https://pbs.twimg.com/media/GUAgJ4OWEAAX7cO.jpg")</f>
        <v>https://pbs.twimg.com/media/GUAgJ4OWEAAX7cO.jpg</v>
      </c>
      <c r="AX72" s="77" t="s">
        <v>2175</v>
      </c>
      <c r="AY72" s="77" t="s">
        <v>2175</v>
      </c>
      <c r="BA72" s="77" t="s">
        <v>2494</v>
      </c>
      <c r="BB72" s="77" t="s">
        <v>2494</v>
      </c>
      <c r="BC72" s="77" t="s">
        <v>2494</v>
      </c>
      <c r="BD72" s="77" t="s">
        <v>2175</v>
      </c>
      <c r="BE72">
        <v>49239316</v>
      </c>
      <c r="BK72" s="112" t="str">
        <f>REPLACE(INDEX(GroupVertices[Group], MATCH("~"&amp;Edges[[#This Row],[Vertex 1]],GroupVertices[Vertex],0)),1,1,"")</f>
        <v>193</v>
      </c>
      <c r="BL72" s="112" t="str">
        <f>REPLACE(INDEX(GroupVertices[Group], MATCH("~"&amp;Edges[[#This Row],[Vertex 2]],GroupVertices[Vertex],0)),1,1,"")</f>
        <v>193</v>
      </c>
    </row>
    <row r="73" spans="1:64" x14ac:dyDescent="0.25">
      <c r="A73" s="61" t="s">
        <v>329</v>
      </c>
      <c r="B73" s="61" t="s">
        <v>608</v>
      </c>
      <c r="C73" s="62"/>
      <c r="D73" s="63"/>
      <c r="E73" s="64"/>
      <c r="F73" s="65"/>
      <c r="G73" s="62"/>
      <c r="H73" s="66"/>
      <c r="I73" s="67"/>
      <c r="J73" s="67"/>
      <c r="K73" s="31"/>
      <c r="L73" s="75">
        <v>73</v>
      </c>
      <c r="M73"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73" s="69"/>
      <c r="O73" t="s">
        <v>702</v>
      </c>
      <c r="P73" s="76">
        <v>45505.616782407407</v>
      </c>
      <c r="Q73" t="s">
        <v>881</v>
      </c>
      <c r="R73" t="b">
        <v>0</v>
      </c>
      <c r="S73">
        <v>2</v>
      </c>
      <c r="T73">
        <v>3</v>
      </c>
      <c r="U73">
        <v>0</v>
      </c>
      <c r="V73">
        <v>0</v>
      </c>
      <c r="W73">
        <v>500</v>
      </c>
      <c r="X73" s="77" t="s">
        <v>1107</v>
      </c>
      <c r="Y73" s="78" t="str">
        <f>HYPERLINK("http://admision.mineduc.cl/vitrina-vue/")</f>
        <v>http://admision.mineduc.cl/vitrina-vue/</v>
      </c>
      <c r="Z73" t="s">
        <v>1165</v>
      </c>
      <c r="AA73" t="s">
        <v>608</v>
      </c>
      <c r="AB73" t="s">
        <v>1296</v>
      </c>
      <c r="AC73" t="s">
        <v>1363</v>
      </c>
      <c r="AD73" s="77" t="s">
        <v>1366</v>
      </c>
      <c r="AE73" t="s">
        <v>1385</v>
      </c>
      <c r="AF73" s="78" t="str">
        <f>HYPERLINK("https://twitter.com/edu__iquique/status/1819022314341650680")</f>
        <v>https://twitter.com/edu__iquique/status/1819022314341650680</v>
      </c>
      <c r="AG73" s="76">
        <v>45505.616782407407</v>
      </c>
      <c r="AH73" s="80">
        <v>45505</v>
      </c>
      <c r="AI73" s="77" t="s">
        <v>1562</v>
      </c>
      <c r="AJ73" t="b">
        <v>0</v>
      </c>
      <c r="AR73" t="s">
        <v>1809</v>
      </c>
      <c r="AW73" s="78" t="str">
        <f>HYPERLINK("https://pbs.twimg.com/media/GT53JfrWsAET1o0.jpg")</f>
        <v>https://pbs.twimg.com/media/GT53JfrWsAET1o0.jpg</v>
      </c>
      <c r="AX73" s="77" t="s">
        <v>2047</v>
      </c>
      <c r="AY73" s="77" t="s">
        <v>2047</v>
      </c>
      <c r="BA73" s="77" t="s">
        <v>2494</v>
      </c>
      <c r="BB73" s="77" t="s">
        <v>2494</v>
      </c>
      <c r="BC73" s="77" t="s">
        <v>2494</v>
      </c>
      <c r="BD73" s="77" t="s">
        <v>2047</v>
      </c>
      <c r="BE73" s="77" t="s">
        <v>2578</v>
      </c>
      <c r="BK73" s="112" t="str">
        <f>REPLACE(INDEX(GroupVertices[Group], MATCH("~"&amp;Edges[[#This Row],[Vertex 1]],GroupVertices[Vertex],0)),1,1,"")</f>
        <v>106</v>
      </c>
      <c r="BL73" s="112" t="str">
        <f>REPLACE(INDEX(GroupVertices[Group], MATCH("~"&amp;Edges[[#This Row],[Vertex 2]],GroupVertices[Vertex],0)),1,1,"")</f>
        <v>106</v>
      </c>
    </row>
    <row r="74" spans="1:64" x14ac:dyDescent="0.25">
      <c r="A74" s="61" t="s">
        <v>251</v>
      </c>
      <c r="B74" s="61" t="s">
        <v>251</v>
      </c>
      <c r="C74" s="62"/>
      <c r="D74" s="63"/>
      <c r="E74" s="64"/>
      <c r="F74" s="65"/>
      <c r="G74" s="62"/>
      <c r="H74" s="66"/>
      <c r="I74" s="67"/>
      <c r="J74" s="67"/>
      <c r="K74" s="31"/>
      <c r="L74" s="75">
        <v>74</v>
      </c>
      <c r="M74"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74" s="69"/>
      <c r="O74" t="s">
        <v>702</v>
      </c>
      <c r="P74" s="76">
        <v>45505.940983796296</v>
      </c>
      <c r="Q74" t="s">
        <v>743</v>
      </c>
      <c r="R74" t="b">
        <v>0</v>
      </c>
      <c r="S74">
        <v>0</v>
      </c>
      <c r="T74">
        <v>0</v>
      </c>
      <c r="U74">
        <v>0</v>
      </c>
      <c r="V74">
        <v>0</v>
      </c>
      <c r="W74">
        <v>492</v>
      </c>
      <c r="Y74" s="78" t="str">
        <f>HYPERLINK("https://www.chillanonline.cl/V7/2024/08/01/el-sistema-de-admision-escolar-abre-su-periodo-de-postulaciones-el-2-de-agosto/")</f>
        <v>https://www.chillanonline.cl/V7/2024/08/01/el-sistema-de-admision-escolar-abre-su-periodo-de-postulaciones-el-2-de-agosto/</v>
      </c>
      <c r="Z74" t="s">
        <v>1140</v>
      </c>
      <c r="AA74" t="s">
        <v>251</v>
      </c>
      <c r="AB74" t="s">
        <v>1268</v>
      </c>
      <c r="AC74" t="s">
        <v>1359</v>
      </c>
      <c r="AD74" s="77" t="s">
        <v>1367</v>
      </c>
      <c r="AE74" t="s">
        <v>1385</v>
      </c>
      <c r="AF74" s="78" t="str">
        <f>HYPERLINK("https://twitter.com/chillanonline/status/1819139803721372073")</f>
        <v>https://twitter.com/chillanonline/status/1819139803721372073</v>
      </c>
      <c r="AG74" s="76">
        <v>45505.940983796296</v>
      </c>
      <c r="AH74" s="80">
        <v>45505</v>
      </c>
      <c r="AI74" s="77" t="s">
        <v>1425</v>
      </c>
      <c r="AJ74" t="b">
        <v>0</v>
      </c>
      <c r="AR74" t="s">
        <v>1781</v>
      </c>
      <c r="AW74" s="78" t="str">
        <f>HYPERLINK("https://pbs.twimg.com/media/GT7iAd8XIAARmUD.jpg")</f>
        <v>https://pbs.twimg.com/media/GT7iAd8XIAARmUD.jpg</v>
      </c>
      <c r="AX74" s="77" t="s">
        <v>1909</v>
      </c>
      <c r="AY74" s="77" t="s">
        <v>1909</v>
      </c>
      <c r="BA74" s="77" t="s">
        <v>2494</v>
      </c>
      <c r="BB74" s="77" t="s">
        <v>2494</v>
      </c>
      <c r="BC74" s="77" t="s">
        <v>2494</v>
      </c>
      <c r="BD74" s="77" t="s">
        <v>1909</v>
      </c>
      <c r="BE74">
        <v>182543260</v>
      </c>
      <c r="BK74" s="112" t="str">
        <f>REPLACE(INDEX(GroupVertices[Group], MATCH("~"&amp;Edges[[#This Row],[Vertex 1]],GroupVertices[Vertex],0)),1,1,"")</f>
        <v>192</v>
      </c>
      <c r="BL74" s="112" t="str">
        <f>REPLACE(INDEX(GroupVertices[Group], MATCH("~"&amp;Edges[[#This Row],[Vertex 2]],GroupVertices[Vertex],0)),1,1,"")</f>
        <v>192</v>
      </c>
    </row>
    <row r="75" spans="1:64" x14ac:dyDescent="0.25">
      <c r="A75" s="61" t="s">
        <v>345</v>
      </c>
      <c r="B75" s="61" t="s">
        <v>345</v>
      </c>
      <c r="C75" s="62"/>
      <c r="D75" s="63"/>
      <c r="E75" s="64"/>
      <c r="F75" s="65"/>
      <c r="G75" s="62"/>
      <c r="H75" s="66"/>
      <c r="I75" s="67"/>
      <c r="J75" s="67"/>
      <c r="K75" s="31"/>
      <c r="L75" s="75">
        <v>75</v>
      </c>
      <c r="M75"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75" s="69"/>
      <c r="O75" t="s">
        <v>177</v>
      </c>
      <c r="P75" s="76">
        <v>45509.096736111111</v>
      </c>
      <c r="Q75" t="s">
        <v>904</v>
      </c>
      <c r="R75" t="b">
        <v>1</v>
      </c>
      <c r="S75">
        <v>0</v>
      </c>
      <c r="T75">
        <v>2</v>
      </c>
      <c r="U75">
        <v>3</v>
      </c>
      <c r="V75">
        <v>1</v>
      </c>
      <c r="W75">
        <v>471</v>
      </c>
      <c r="AB75" t="s">
        <v>1307</v>
      </c>
      <c r="AC75" t="s">
        <v>1359</v>
      </c>
      <c r="AD75" s="77" t="s">
        <v>1366</v>
      </c>
      <c r="AE75" t="s">
        <v>1385</v>
      </c>
      <c r="AF75" s="78" t="str">
        <f>HYPERLINK("https://twitter.com/nrsefobia/status/1820283410490822690")</f>
        <v>https://twitter.com/nrsefobia/status/1820283410490822690</v>
      </c>
      <c r="AG75" s="76">
        <v>45509.096736111111</v>
      </c>
      <c r="AH75" s="80">
        <v>45509</v>
      </c>
      <c r="AI75" s="77" t="s">
        <v>1584</v>
      </c>
      <c r="AJ75" t="b">
        <v>0</v>
      </c>
      <c r="AR75" t="s">
        <v>1820</v>
      </c>
      <c r="AW75" s="78" t="str">
        <f>HYPERLINK("https://pbs.twimg.com/media/GULyHL0WAAAw2pv.jpg")</f>
        <v>https://pbs.twimg.com/media/GULyHL0WAAAw2pv.jpg</v>
      </c>
      <c r="AX75" s="77" t="s">
        <v>2070</v>
      </c>
      <c r="AY75" s="77" t="s">
        <v>2070</v>
      </c>
      <c r="BA75" s="77" t="s">
        <v>2494</v>
      </c>
      <c r="BB75" s="77" t="s">
        <v>2494</v>
      </c>
      <c r="BC75" s="77" t="s">
        <v>2494</v>
      </c>
      <c r="BD75" s="77" t="s">
        <v>2070</v>
      </c>
      <c r="BE75" s="77" t="s">
        <v>2581</v>
      </c>
      <c r="BK75" s="112" t="str">
        <f>REPLACE(INDEX(GroupVertices[Group], MATCH("~"&amp;Edges[[#This Row],[Vertex 1]],GroupVertices[Vertex],0)),1,1,"")</f>
        <v>191</v>
      </c>
      <c r="BL75" s="112" t="str">
        <f>REPLACE(INDEX(GroupVertices[Group], MATCH("~"&amp;Edges[[#This Row],[Vertex 2]],GroupVertices[Vertex],0)),1,1,"")</f>
        <v>191</v>
      </c>
    </row>
    <row r="76" spans="1:64" x14ac:dyDescent="0.25">
      <c r="A76" s="61" t="s">
        <v>417</v>
      </c>
      <c r="B76" s="61" t="s">
        <v>587</v>
      </c>
      <c r="C76" s="62"/>
      <c r="D76" s="63"/>
      <c r="E76" s="64"/>
      <c r="F76" s="65"/>
      <c r="G76" s="62"/>
      <c r="H76" s="66"/>
      <c r="I76" s="67"/>
      <c r="J76" s="67"/>
      <c r="K76" s="31"/>
      <c r="L76" s="75">
        <v>76</v>
      </c>
      <c r="M76"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76" s="69"/>
      <c r="O76" t="s">
        <v>702</v>
      </c>
      <c r="P76" s="76">
        <v>45507.363692129627</v>
      </c>
      <c r="Q76" t="s">
        <v>986</v>
      </c>
      <c r="R76" t="b">
        <v>0</v>
      </c>
      <c r="S76">
        <v>2</v>
      </c>
      <c r="T76">
        <v>0</v>
      </c>
      <c r="U76">
        <v>0</v>
      </c>
      <c r="V76">
        <v>0</v>
      </c>
      <c r="W76">
        <v>458</v>
      </c>
      <c r="Y76" s="78" t="str">
        <f>HYPERLINK("https://www.eluniversal.com.mx/opinion/ricardo-homs/la-tombola-judicial/")</f>
        <v>https://www.eluniversal.com.mx/opinion/ricardo-homs/la-tombola-judicial/</v>
      </c>
      <c r="Z76" t="s">
        <v>1136</v>
      </c>
      <c r="AA76" t="s">
        <v>587</v>
      </c>
      <c r="AD76" s="77" t="s">
        <v>1366</v>
      </c>
      <c r="AE76" t="s">
        <v>1385</v>
      </c>
      <c r="AF76" s="78" t="str">
        <f>HYPERLINK("https://twitter.com/lrubiof/status/1819655374833582178")</f>
        <v>https://twitter.com/lrubiof/status/1819655374833582178</v>
      </c>
      <c r="AG76" s="76">
        <v>45507.363692129627</v>
      </c>
      <c r="AH76" s="80">
        <v>45507</v>
      </c>
      <c r="AI76" s="77" t="s">
        <v>1666</v>
      </c>
      <c r="AJ76" t="b">
        <v>0</v>
      </c>
      <c r="AW76" s="78" t="str">
        <f>HYPERLINK("https://pbs.twimg.com/profile_images/378800000262011603/4ce05e2010943aed036f00ebd23d9c8e_normal.jpeg")</f>
        <v>https://pbs.twimg.com/profile_images/378800000262011603/4ce05e2010943aed036f00ebd23d9c8e_normal.jpeg</v>
      </c>
      <c r="AX76" s="77" t="s">
        <v>2152</v>
      </c>
      <c r="AY76" s="77" t="s">
        <v>2152</v>
      </c>
      <c r="BA76" s="77" t="s">
        <v>2494</v>
      </c>
      <c r="BB76" s="77" t="s">
        <v>2494</v>
      </c>
      <c r="BC76" s="77" t="s">
        <v>2494</v>
      </c>
      <c r="BD76" s="77" t="s">
        <v>2152</v>
      </c>
      <c r="BE76">
        <v>328447141</v>
      </c>
      <c r="BK76" s="112" t="str">
        <f>REPLACE(INDEX(GroupVertices[Group], MATCH("~"&amp;Edges[[#This Row],[Vertex 1]],GroupVertices[Vertex],0)),1,1,"")</f>
        <v>4</v>
      </c>
      <c r="BL76" s="112" t="str">
        <f>REPLACE(INDEX(GroupVertices[Group], MATCH("~"&amp;Edges[[#This Row],[Vertex 2]],GroupVertices[Vertex],0)),1,1,"")</f>
        <v>4</v>
      </c>
    </row>
    <row r="77" spans="1:64" x14ac:dyDescent="0.25">
      <c r="A77" s="61" t="s">
        <v>348</v>
      </c>
      <c r="B77" s="61" t="s">
        <v>348</v>
      </c>
      <c r="C77" s="62"/>
      <c r="D77" s="63"/>
      <c r="E77" s="64"/>
      <c r="F77" s="65"/>
      <c r="G77" s="62"/>
      <c r="H77" s="66"/>
      <c r="I77" s="67"/>
      <c r="J77" s="67"/>
      <c r="K77" s="31"/>
      <c r="L77" s="75">
        <v>77</v>
      </c>
      <c r="M77"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77" s="69"/>
      <c r="O77" t="s">
        <v>177</v>
      </c>
      <c r="P77" s="76">
        <v>45507.323310185187</v>
      </c>
      <c r="Q77" t="s">
        <v>908</v>
      </c>
      <c r="R77" t="b">
        <v>0</v>
      </c>
      <c r="S77">
        <v>2</v>
      </c>
      <c r="T77">
        <v>1</v>
      </c>
      <c r="U77">
        <v>0</v>
      </c>
      <c r="V77">
        <v>0</v>
      </c>
      <c r="W77">
        <v>439</v>
      </c>
      <c r="X77" s="77" t="s">
        <v>1112</v>
      </c>
      <c r="Y77" s="78" t="str">
        <f>HYPERLINK("https://www.antofagastaonline.cl/post/cómo-funciona-el-proceso-de-admisión-escolar-sae")</f>
        <v>https://www.antofagastaonline.cl/post/cómo-funciona-el-proceso-de-admisión-escolar-sae</v>
      </c>
      <c r="Z77" t="s">
        <v>1168</v>
      </c>
      <c r="AD77" s="77" t="s">
        <v>1365</v>
      </c>
      <c r="AE77" t="s">
        <v>1385</v>
      </c>
      <c r="AF77" s="78" t="str">
        <f>HYPERLINK("https://twitter.com/radioaftaonline/status/1819640738868510846")</f>
        <v>https://twitter.com/radioaftaonline/status/1819640738868510846</v>
      </c>
      <c r="AG77" s="76">
        <v>45507.323310185187</v>
      </c>
      <c r="AH77" s="80">
        <v>45507</v>
      </c>
      <c r="AI77" s="77" t="s">
        <v>1588</v>
      </c>
      <c r="AJ77" t="b">
        <v>0</v>
      </c>
      <c r="AW77" s="78" t="str">
        <f>HYPERLINK("https://pbs.twimg.com/profile_images/1875739706052292608/CpVLKBoU_normal.jpg")</f>
        <v>https://pbs.twimg.com/profile_images/1875739706052292608/CpVLKBoU_normal.jpg</v>
      </c>
      <c r="AX77" s="77" t="s">
        <v>2074</v>
      </c>
      <c r="AY77" s="77" t="s">
        <v>2074</v>
      </c>
      <c r="BA77" s="77" t="s">
        <v>2494</v>
      </c>
      <c r="BB77" s="77" t="s">
        <v>2494</v>
      </c>
      <c r="BC77" s="77" t="s">
        <v>2494</v>
      </c>
      <c r="BD77" s="77" t="s">
        <v>2074</v>
      </c>
      <c r="BE77" s="77" t="s">
        <v>2582</v>
      </c>
      <c r="BK77" s="112" t="str">
        <f>REPLACE(INDEX(GroupVertices[Group], MATCH("~"&amp;Edges[[#This Row],[Vertex 1]],GroupVertices[Vertex],0)),1,1,"")</f>
        <v>190</v>
      </c>
      <c r="BL77" s="112" t="str">
        <f>REPLACE(INDEX(GroupVertices[Group], MATCH("~"&amp;Edges[[#This Row],[Vertex 2]],GroupVertices[Vertex],0)),1,1,"")</f>
        <v>190</v>
      </c>
    </row>
    <row r="78" spans="1:64" x14ac:dyDescent="0.25">
      <c r="A78" s="61" t="s">
        <v>288</v>
      </c>
      <c r="B78" s="61" t="s">
        <v>288</v>
      </c>
      <c r="C78" s="62"/>
      <c r="D78" s="63"/>
      <c r="E78" s="64"/>
      <c r="F78" s="65"/>
      <c r="G78" s="62"/>
      <c r="H78" s="66"/>
      <c r="I78" s="67"/>
      <c r="J78" s="67"/>
      <c r="K78" s="31"/>
      <c r="L78" s="75">
        <v>78</v>
      </c>
      <c r="M78"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78" s="69"/>
      <c r="O78" t="s">
        <v>177</v>
      </c>
      <c r="P78" s="76">
        <v>45507.760937500003</v>
      </c>
      <c r="Q78" t="s">
        <v>799</v>
      </c>
      <c r="R78" t="b">
        <v>0</v>
      </c>
      <c r="S78">
        <v>0</v>
      </c>
      <c r="T78">
        <v>8</v>
      </c>
      <c r="U78">
        <v>1</v>
      </c>
      <c r="V78">
        <v>0</v>
      </c>
      <c r="W78">
        <v>419</v>
      </c>
      <c r="X78" s="77" t="s">
        <v>1097</v>
      </c>
      <c r="AB78" t="s">
        <v>1277</v>
      </c>
      <c r="AC78" t="s">
        <v>1359</v>
      </c>
      <c r="AD78" s="77" t="s">
        <v>1367</v>
      </c>
      <c r="AE78" t="s">
        <v>1385</v>
      </c>
      <c r="AF78" s="78" t="str">
        <f>HYPERLINK("https://twitter.com/alex_alic/status/1819799331035062706")</f>
        <v>https://twitter.com/alex_alic/status/1819799331035062706</v>
      </c>
      <c r="AG78" s="76">
        <v>45507.760937500003</v>
      </c>
      <c r="AH78" s="80">
        <v>45507</v>
      </c>
      <c r="AI78" s="77" t="s">
        <v>1481</v>
      </c>
      <c r="AJ78" t="b">
        <v>0</v>
      </c>
      <c r="AR78" t="s">
        <v>1790</v>
      </c>
      <c r="AW78" s="78" t="str">
        <f>HYPERLINK("https://pbs.twimg.com/media/GUE5ihsWMAA4iLH.jpg")</f>
        <v>https://pbs.twimg.com/media/GUE5ihsWMAA4iLH.jpg</v>
      </c>
      <c r="AX78" s="77" t="s">
        <v>1965</v>
      </c>
      <c r="AY78" s="77" t="s">
        <v>1965</v>
      </c>
      <c r="BA78" s="77" t="s">
        <v>2494</v>
      </c>
      <c r="BB78" s="77" t="s">
        <v>2494</v>
      </c>
      <c r="BC78" s="77" t="s">
        <v>2494</v>
      </c>
      <c r="BD78" s="77" t="s">
        <v>1965</v>
      </c>
      <c r="BE78">
        <v>282930614</v>
      </c>
      <c r="BK78" s="112" t="str">
        <f>REPLACE(INDEX(GroupVertices[Group], MATCH("~"&amp;Edges[[#This Row],[Vertex 1]],GroupVertices[Vertex],0)),1,1,"")</f>
        <v>8</v>
      </c>
      <c r="BL78" s="112" t="str">
        <f>REPLACE(INDEX(GroupVertices[Group], MATCH("~"&amp;Edges[[#This Row],[Vertex 2]],GroupVertices[Vertex],0)),1,1,"")</f>
        <v>8</v>
      </c>
    </row>
    <row r="79" spans="1:64" x14ac:dyDescent="0.25">
      <c r="A79" s="61" t="s">
        <v>384</v>
      </c>
      <c r="B79" s="61" t="s">
        <v>640</v>
      </c>
      <c r="C79" s="62"/>
      <c r="D79" s="63"/>
      <c r="E79" s="64"/>
      <c r="F79" s="65"/>
      <c r="G79" s="62"/>
      <c r="H79" s="66"/>
      <c r="I79" s="67"/>
      <c r="J79" s="67"/>
      <c r="K79" s="31"/>
      <c r="L79" s="75">
        <v>79</v>
      </c>
      <c r="M79"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79" s="69"/>
      <c r="O79" t="s">
        <v>702</v>
      </c>
      <c r="P79" s="76">
        <v>45509.880682870367</v>
      </c>
      <c r="Q79" t="s">
        <v>948</v>
      </c>
      <c r="R79" t="b">
        <v>0</v>
      </c>
      <c r="S79">
        <v>1</v>
      </c>
      <c r="T79">
        <v>2</v>
      </c>
      <c r="U79">
        <v>0</v>
      </c>
      <c r="V79">
        <v>0</v>
      </c>
      <c r="W79">
        <v>402</v>
      </c>
      <c r="Y79" s="78" t="str">
        <f>HYPERLINK("https://www.radiofestival.cl/?p=145334")</f>
        <v>https://www.radiofestival.cl/?p=145334</v>
      </c>
      <c r="Z79" t="s">
        <v>1180</v>
      </c>
      <c r="AA79" t="s">
        <v>640</v>
      </c>
      <c r="AB79" t="s">
        <v>1321</v>
      </c>
      <c r="AC79" t="s">
        <v>1359</v>
      </c>
      <c r="AD79" s="77" t="s">
        <v>1367</v>
      </c>
      <c r="AE79" t="s">
        <v>1385</v>
      </c>
      <c r="AF79" s="78" t="str">
        <f>HYPERLINK("https://twitter.com/radio_festival/status/1820567501455114500")</f>
        <v>https://twitter.com/radio_festival/status/1820567501455114500</v>
      </c>
      <c r="AG79" s="76">
        <v>45509.880682870367</v>
      </c>
      <c r="AH79" s="80">
        <v>45509</v>
      </c>
      <c r="AI79" s="77" t="s">
        <v>1628</v>
      </c>
      <c r="AJ79" t="b">
        <v>0</v>
      </c>
      <c r="AR79" t="s">
        <v>1834</v>
      </c>
      <c r="AW79" s="78" t="str">
        <f>HYPERLINK("https://pbs.twimg.com/media/GUP0fX2WQAARGKy.jpg")</f>
        <v>https://pbs.twimg.com/media/GUP0fX2WQAARGKy.jpg</v>
      </c>
      <c r="AX79" s="77" t="s">
        <v>2114</v>
      </c>
      <c r="AY79" s="77" t="s">
        <v>2114</v>
      </c>
      <c r="BA79" s="77" t="s">
        <v>2494</v>
      </c>
      <c r="BB79" s="77" t="s">
        <v>2494</v>
      </c>
      <c r="BC79" s="77" t="s">
        <v>2494</v>
      </c>
      <c r="BD79" s="77" t="s">
        <v>2114</v>
      </c>
      <c r="BE79">
        <v>119535717</v>
      </c>
      <c r="BK79" s="112" t="str">
        <f>REPLACE(INDEX(GroupVertices[Group], MATCH("~"&amp;Edges[[#This Row],[Vertex 1]],GroupVertices[Vertex],0)),1,1,"")</f>
        <v>105</v>
      </c>
      <c r="BL79" s="112" t="str">
        <f>REPLACE(INDEX(GroupVertices[Group], MATCH("~"&amp;Edges[[#This Row],[Vertex 2]],GroupVertices[Vertex],0)),1,1,"")</f>
        <v>105</v>
      </c>
    </row>
    <row r="80" spans="1:64" x14ac:dyDescent="0.25">
      <c r="A80" s="61" t="s">
        <v>284</v>
      </c>
      <c r="B80" s="61" t="s">
        <v>364</v>
      </c>
      <c r="C80" s="62"/>
      <c r="D80" s="63"/>
      <c r="E80" s="64"/>
      <c r="F80" s="65"/>
      <c r="G80" s="62"/>
      <c r="H80" s="66"/>
      <c r="I80" s="67"/>
      <c r="J80" s="67"/>
      <c r="K80" s="31"/>
      <c r="L80" s="75">
        <v>80</v>
      </c>
      <c r="M80"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80" s="69"/>
      <c r="O80" t="s">
        <v>704</v>
      </c>
      <c r="P80" s="76">
        <v>45505.793761574074</v>
      </c>
      <c r="Q80" t="s">
        <v>787</v>
      </c>
      <c r="R80" t="b">
        <v>0</v>
      </c>
      <c r="S80">
        <v>0</v>
      </c>
      <c r="T80">
        <v>3</v>
      </c>
      <c r="U80">
        <v>0</v>
      </c>
      <c r="V80">
        <v>0</v>
      </c>
      <c r="W80">
        <v>400</v>
      </c>
      <c r="AD80" s="77" t="s">
        <v>1365</v>
      </c>
      <c r="AE80" t="s">
        <v>1385</v>
      </c>
      <c r="AF80" s="78" t="str">
        <f>HYPERLINK("https://twitter.com/eduardovirgala/status/1819086448660042088")</f>
        <v>https://twitter.com/eduardovirgala/status/1819086448660042088</v>
      </c>
      <c r="AG80" s="76">
        <v>45505.793761574074</v>
      </c>
      <c r="AH80" s="80">
        <v>45505</v>
      </c>
      <c r="AI80" s="77" t="s">
        <v>1469</v>
      </c>
      <c r="AW80" s="78" t="str">
        <f>HYPERLINK("https://pbs.twimg.com/profile_images/1895103228678705152/qiKXdzTB_normal.jpg")</f>
        <v>https://pbs.twimg.com/profile_images/1895103228678705152/qiKXdzTB_normal.jpg</v>
      </c>
      <c r="AX80" s="77" t="s">
        <v>1953</v>
      </c>
      <c r="AY80" s="77" t="s">
        <v>1953</v>
      </c>
      <c r="BA80" s="77" t="s">
        <v>2494</v>
      </c>
      <c r="BB80" s="77" t="s">
        <v>2091</v>
      </c>
      <c r="BC80" s="77" t="s">
        <v>2494</v>
      </c>
      <c r="BD80" s="77" t="s">
        <v>2091</v>
      </c>
      <c r="BE80">
        <v>20661700</v>
      </c>
      <c r="BK80" s="112" t="str">
        <f>REPLACE(INDEX(GroupVertices[Group], MATCH("~"&amp;Edges[[#This Row],[Vertex 1]],GroupVertices[Vertex],0)),1,1,"")</f>
        <v>104</v>
      </c>
      <c r="BL80" s="112" t="str">
        <f>REPLACE(INDEX(GroupVertices[Group], MATCH("~"&amp;Edges[[#This Row],[Vertex 2]],GroupVertices[Vertex],0)),1,1,"")</f>
        <v>104</v>
      </c>
    </row>
    <row r="81" spans="1:64" x14ac:dyDescent="0.25">
      <c r="A81" s="61" t="s">
        <v>410</v>
      </c>
      <c r="B81" s="61" t="s">
        <v>649</v>
      </c>
      <c r="C81" s="62"/>
      <c r="D81" s="63"/>
      <c r="E81" s="64"/>
      <c r="F81" s="65"/>
      <c r="G81" s="62"/>
      <c r="H81" s="66"/>
      <c r="I81" s="67"/>
      <c r="J81" s="67"/>
      <c r="K81" s="31"/>
      <c r="L81" s="75">
        <v>81</v>
      </c>
      <c r="M81"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81" s="69"/>
      <c r="O81" t="s">
        <v>703</v>
      </c>
      <c r="P81" s="76">
        <v>45507.679143518515</v>
      </c>
      <c r="Q81" t="s">
        <v>978</v>
      </c>
      <c r="R81" t="b">
        <v>0</v>
      </c>
      <c r="S81">
        <v>0</v>
      </c>
      <c r="T81">
        <v>2</v>
      </c>
      <c r="U81">
        <v>1</v>
      </c>
      <c r="V81">
        <v>0</v>
      </c>
      <c r="W81">
        <v>392</v>
      </c>
      <c r="AA81" t="s">
        <v>1253</v>
      </c>
      <c r="AD81" s="77" t="s">
        <v>1365</v>
      </c>
      <c r="AE81" t="s">
        <v>1385</v>
      </c>
      <c r="AF81" s="78" t="str">
        <f>HYPERLINK("https://twitter.com/reignofmydays/status/1819769691713515989")</f>
        <v>https://twitter.com/reignofmydays/status/1819769691713515989</v>
      </c>
      <c r="AG81" s="76">
        <v>45507.679143518515</v>
      </c>
      <c r="AH81" s="80">
        <v>45507</v>
      </c>
      <c r="AI81" s="77" t="s">
        <v>1658</v>
      </c>
      <c r="AW81" s="78" t="str">
        <f>HYPERLINK("https://pbs.twimg.com/profile_images/1885020554165456896/chwbeVvJ_normal.jpg")</f>
        <v>https://pbs.twimg.com/profile_images/1885020554165456896/chwbeVvJ_normal.jpg</v>
      </c>
      <c r="AX81" s="77" t="s">
        <v>2144</v>
      </c>
      <c r="AY81" s="77" t="s">
        <v>2336</v>
      </c>
      <c r="AZ81" s="77" t="s">
        <v>2463</v>
      </c>
      <c r="BA81" s="77" t="s">
        <v>2522</v>
      </c>
      <c r="BB81" s="77" t="s">
        <v>2494</v>
      </c>
      <c r="BC81" s="77" t="s">
        <v>2494</v>
      </c>
      <c r="BD81" s="77" t="s">
        <v>2522</v>
      </c>
      <c r="BE81">
        <v>2198531940</v>
      </c>
      <c r="BK81" s="112" t="str">
        <f>REPLACE(INDEX(GroupVertices[Group], MATCH("~"&amp;Edges[[#This Row],[Vertex 1]],GroupVertices[Vertex],0)),1,1,"")</f>
        <v>27</v>
      </c>
      <c r="BL81" s="112" t="str">
        <f>REPLACE(INDEX(GroupVertices[Group], MATCH("~"&amp;Edges[[#This Row],[Vertex 2]],GroupVertices[Vertex],0)),1,1,"")</f>
        <v>27</v>
      </c>
    </row>
    <row r="82" spans="1:64" x14ac:dyDescent="0.25">
      <c r="A82" s="61" t="s">
        <v>410</v>
      </c>
      <c r="B82" s="61" t="s">
        <v>650</v>
      </c>
      <c r="C82" s="62"/>
      <c r="D82" s="63"/>
      <c r="E82" s="64"/>
      <c r="F82" s="65"/>
      <c r="G82" s="62"/>
      <c r="H82" s="66"/>
      <c r="I82" s="67"/>
      <c r="J82" s="67"/>
      <c r="K82" s="31"/>
      <c r="L82" s="75">
        <v>82</v>
      </c>
      <c r="M82"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82" s="69"/>
      <c r="O82" t="s">
        <v>701</v>
      </c>
      <c r="P82" s="76">
        <v>45507.679143518515</v>
      </c>
      <c r="Q82" t="s">
        <v>978</v>
      </c>
      <c r="R82" t="b">
        <v>0</v>
      </c>
      <c r="S82">
        <v>0</v>
      </c>
      <c r="T82">
        <v>2</v>
      </c>
      <c r="U82">
        <v>1</v>
      </c>
      <c r="V82">
        <v>0</v>
      </c>
      <c r="W82">
        <v>392</v>
      </c>
      <c r="AA82" t="s">
        <v>1253</v>
      </c>
      <c r="AD82" s="77" t="s">
        <v>1365</v>
      </c>
      <c r="AE82" t="s">
        <v>1385</v>
      </c>
      <c r="AF82" s="78" t="str">
        <f>HYPERLINK("https://twitter.com/reignofmydays/status/1819769691713515989")</f>
        <v>https://twitter.com/reignofmydays/status/1819769691713515989</v>
      </c>
      <c r="AG82" s="76">
        <v>45507.679143518515</v>
      </c>
      <c r="AH82" s="80">
        <v>45507</v>
      </c>
      <c r="AI82" s="77" t="s">
        <v>1658</v>
      </c>
      <c r="AW82" s="78" t="str">
        <f>HYPERLINK("https://pbs.twimg.com/profile_images/1885020554165456896/chwbeVvJ_normal.jpg")</f>
        <v>https://pbs.twimg.com/profile_images/1885020554165456896/chwbeVvJ_normal.jpg</v>
      </c>
      <c r="AX82" s="77" t="s">
        <v>2144</v>
      </c>
      <c r="AY82" s="77" t="s">
        <v>2336</v>
      </c>
      <c r="AZ82" s="77" t="s">
        <v>2463</v>
      </c>
      <c r="BA82" s="77" t="s">
        <v>2522</v>
      </c>
      <c r="BB82" s="77" t="s">
        <v>2494</v>
      </c>
      <c r="BC82" s="77" t="s">
        <v>2494</v>
      </c>
      <c r="BD82" s="77" t="s">
        <v>2522</v>
      </c>
      <c r="BE82">
        <v>2198531940</v>
      </c>
      <c r="BK82" s="112" t="str">
        <f>REPLACE(INDEX(GroupVertices[Group], MATCH("~"&amp;Edges[[#This Row],[Vertex 1]],GroupVertices[Vertex],0)),1,1,"")</f>
        <v>27</v>
      </c>
      <c r="BL82" s="112" t="str">
        <f>REPLACE(INDEX(GroupVertices[Group], MATCH("~"&amp;Edges[[#This Row],[Vertex 2]],GroupVertices[Vertex],0)),1,1,"")</f>
        <v>27</v>
      </c>
    </row>
    <row r="83" spans="1:64" x14ac:dyDescent="0.25">
      <c r="A83" s="61" t="s">
        <v>225</v>
      </c>
      <c r="B83" s="61" t="s">
        <v>510</v>
      </c>
      <c r="C83" s="62"/>
      <c r="D83" s="63"/>
      <c r="E83" s="64"/>
      <c r="F83" s="65"/>
      <c r="G83" s="62"/>
      <c r="H83" s="66"/>
      <c r="I83" s="67"/>
      <c r="J83" s="67"/>
      <c r="K83" s="31"/>
      <c r="L83" s="75">
        <v>83</v>
      </c>
      <c r="M83"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83" s="69"/>
      <c r="O83" t="s">
        <v>702</v>
      </c>
      <c r="P83" s="76">
        <v>45505.450196759259</v>
      </c>
      <c r="Q83" t="s">
        <v>708</v>
      </c>
      <c r="R83" t="b">
        <v>0</v>
      </c>
      <c r="S83">
        <v>4</v>
      </c>
      <c r="T83">
        <v>5</v>
      </c>
      <c r="U83">
        <v>1</v>
      </c>
      <c r="V83">
        <v>0</v>
      </c>
      <c r="W83">
        <v>389</v>
      </c>
      <c r="Y83" s="78" t="str">
        <f>HYPERLINK("https://www.elarsenal.net/?p=1183624")</f>
        <v>https://www.elarsenal.net/?p=1183624</v>
      </c>
      <c r="Z83" t="s">
        <v>1133</v>
      </c>
      <c r="AA83" t="s">
        <v>510</v>
      </c>
      <c r="AD83" s="77" t="s">
        <v>1366</v>
      </c>
      <c r="AE83" t="s">
        <v>1385</v>
      </c>
      <c r="AF83" s="78" t="str">
        <f>HYPERLINK("https://twitter.com/diaz_manuel/status/1818961948115083363")</f>
        <v>https://twitter.com/diaz_manuel/status/1818961948115083363</v>
      </c>
      <c r="AG83" s="76">
        <v>45505.450196759259</v>
      </c>
      <c r="AH83" s="80">
        <v>45505</v>
      </c>
      <c r="AI83" s="77" t="s">
        <v>1390</v>
      </c>
      <c r="AJ83" t="b">
        <v>0</v>
      </c>
      <c r="AW83" s="78" t="str">
        <f>HYPERLINK("https://pbs.twimg.com/profile_images/1905623065641299968/LP_Keck5_normal.jpg")</f>
        <v>https://pbs.twimg.com/profile_images/1905623065641299968/LP_Keck5_normal.jpg</v>
      </c>
      <c r="AX83" s="77" t="s">
        <v>1874</v>
      </c>
      <c r="AY83" s="77" t="s">
        <v>1874</v>
      </c>
      <c r="BA83" s="77" t="s">
        <v>2494</v>
      </c>
      <c r="BB83" s="77" t="s">
        <v>2494</v>
      </c>
      <c r="BC83" s="77" t="s">
        <v>2494</v>
      </c>
      <c r="BD83" s="77" t="s">
        <v>1874</v>
      </c>
      <c r="BE83">
        <v>169550797</v>
      </c>
      <c r="BK83" s="112" t="str">
        <f>REPLACE(INDEX(GroupVertices[Group], MATCH("~"&amp;Edges[[#This Row],[Vertex 1]],GroupVertices[Vertex],0)),1,1,"")</f>
        <v>103</v>
      </c>
      <c r="BL83" s="112" t="str">
        <f>REPLACE(INDEX(GroupVertices[Group], MATCH("~"&amp;Edges[[#This Row],[Vertex 2]],GroupVertices[Vertex],0)),1,1,"")</f>
        <v>103</v>
      </c>
    </row>
    <row r="84" spans="1:64" x14ac:dyDescent="0.25">
      <c r="A84" s="61" t="s">
        <v>280</v>
      </c>
      <c r="B84" s="61" t="s">
        <v>279</v>
      </c>
      <c r="C84" s="62"/>
      <c r="D84" s="63"/>
      <c r="E84" s="64"/>
      <c r="F84" s="65"/>
      <c r="G84" s="62"/>
      <c r="H84" s="66"/>
      <c r="I84" s="67"/>
      <c r="J84" s="67"/>
      <c r="K84" s="31"/>
      <c r="L84" s="75">
        <v>84</v>
      </c>
      <c r="M84"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84" s="69"/>
      <c r="O84" t="s">
        <v>701</v>
      </c>
      <c r="P84" s="76">
        <v>45510.925868055558</v>
      </c>
      <c r="Q84" t="s">
        <v>782</v>
      </c>
      <c r="R84" t="b">
        <v>0</v>
      </c>
      <c r="S84">
        <v>0</v>
      </c>
      <c r="T84">
        <v>0</v>
      </c>
      <c r="U84">
        <v>0</v>
      </c>
      <c r="V84">
        <v>0</v>
      </c>
      <c r="W84">
        <v>387</v>
      </c>
      <c r="AA84" t="s">
        <v>1223</v>
      </c>
      <c r="AD84" s="77" t="s">
        <v>1365</v>
      </c>
      <c r="AE84" t="s">
        <v>1385</v>
      </c>
      <c r="AF84" s="78" t="str">
        <f>HYPERLINK("https://twitter.com/alfonsocc98/status/1820946261828329945")</f>
        <v>https://twitter.com/alfonsocc98/status/1820946261828329945</v>
      </c>
      <c r="AG84" s="76">
        <v>45510.925868055558</v>
      </c>
      <c r="AH84" s="80">
        <v>45510</v>
      </c>
      <c r="AI84" s="77" t="s">
        <v>1464</v>
      </c>
      <c r="AW84" s="78" t="str">
        <f>HYPERLINK("https://pbs.twimg.com/profile_images/1311219771732615168/k51jmXHo_normal.jpg")</f>
        <v>https://pbs.twimg.com/profile_images/1311219771732615168/k51jmXHo_normal.jpg</v>
      </c>
      <c r="AX84" s="77" t="s">
        <v>1948</v>
      </c>
      <c r="AY84" s="77" t="s">
        <v>2285</v>
      </c>
      <c r="AZ84" s="77" t="s">
        <v>2404</v>
      </c>
      <c r="BA84" s="77" t="s">
        <v>2285</v>
      </c>
      <c r="BB84" s="77" t="s">
        <v>2494</v>
      </c>
      <c r="BC84" s="77" t="s">
        <v>2494</v>
      </c>
      <c r="BD84" s="77" t="s">
        <v>2285</v>
      </c>
      <c r="BE84" s="77" t="s">
        <v>2560</v>
      </c>
      <c r="BK84" s="112" t="str">
        <f>REPLACE(INDEX(GroupVertices[Group], MATCH("~"&amp;Edges[[#This Row],[Vertex 1]],GroupVertices[Vertex],0)),1,1,"")</f>
        <v>102</v>
      </c>
      <c r="BL84" s="112" t="str">
        <f>REPLACE(INDEX(GroupVertices[Group], MATCH("~"&amp;Edges[[#This Row],[Vertex 2]],GroupVertices[Vertex],0)),1,1,"")</f>
        <v>102</v>
      </c>
    </row>
    <row r="85" spans="1:64" x14ac:dyDescent="0.25">
      <c r="A85" s="61" t="s">
        <v>405</v>
      </c>
      <c r="B85" s="61" t="s">
        <v>405</v>
      </c>
      <c r="C85" s="62"/>
      <c r="D85" s="63"/>
      <c r="E85" s="64"/>
      <c r="F85" s="65"/>
      <c r="G85" s="62"/>
      <c r="H85" s="66"/>
      <c r="I85" s="67"/>
      <c r="J85" s="67"/>
      <c r="K85" s="31"/>
      <c r="L85" s="75">
        <v>85</v>
      </c>
      <c r="M85"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85" s="69"/>
      <c r="O85" t="s">
        <v>177</v>
      </c>
      <c r="P85" s="76">
        <v>45510.043576388889</v>
      </c>
      <c r="Q85" t="s">
        <v>973</v>
      </c>
      <c r="R85" t="b">
        <v>0</v>
      </c>
      <c r="S85">
        <v>0</v>
      </c>
      <c r="T85">
        <v>0</v>
      </c>
      <c r="U85">
        <v>1</v>
      </c>
      <c r="V85">
        <v>0</v>
      </c>
      <c r="W85">
        <v>385</v>
      </c>
      <c r="AD85" s="77" t="s">
        <v>1365</v>
      </c>
      <c r="AE85" t="s">
        <v>1385</v>
      </c>
      <c r="AF85" s="78" t="str">
        <f>HYPERLINK("https://twitter.com/joscolon1/status/1820626531560853558")</f>
        <v>https://twitter.com/joscolon1/status/1820626531560853558</v>
      </c>
      <c r="AG85" s="76">
        <v>45510.043576388889</v>
      </c>
      <c r="AH85" s="80">
        <v>45510</v>
      </c>
      <c r="AI85" s="77" t="s">
        <v>1653</v>
      </c>
      <c r="AW85" s="78" t="str">
        <f>HYPERLINK("https://pbs.twimg.com/profile_images/1922960415048310784/iDZQS92d_normal.jpg")</f>
        <v>https://pbs.twimg.com/profile_images/1922960415048310784/iDZQS92d_normal.jpg</v>
      </c>
      <c r="AX85" s="77" t="s">
        <v>2139</v>
      </c>
      <c r="AY85" s="77" t="s">
        <v>2139</v>
      </c>
      <c r="BA85" s="77" t="s">
        <v>2494</v>
      </c>
      <c r="BB85" s="77" t="s">
        <v>2494</v>
      </c>
      <c r="BC85" s="77" t="s">
        <v>2494</v>
      </c>
      <c r="BD85" s="77" t="s">
        <v>2139</v>
      </c>
      <c r="BE85">
        <v>1054663639</v>
      </c>
      <c r="BK85" s="112" t="str">
        <f>REPLACE(INDEX(GroupVertices[Group], MATCH("~"&amp;Edges[[#This Row],[Vertex 1]],GroupVertices[Vertex],0)),1,1,"")</f>
        <v>189</v>
      </c>
      <c r="BL85" s="112" t="str">
        <f>REPLACE(INDEX(GroupVertices[Group], MATCH("~"&amp;Edges[[#This Row],[Vertex 2]],GroupVertices[Vertex],0)),1,1,"")</f>
        <v>189</v>
      </c>
    </row>
    <row r="86" spans="1:64" x14ac:dyDescent="0.25">
      <c r="A86" s="61" t="s">
        <v>362</v>
      </c>
      <c r="B86" s="61" t="s">
        <v>623</v>
      </c>
      <c r="C86" s="62"/>
      <c r="D86" s="63"/>
      <c r="E86" s="64"/>
      <c r="F86" s="65"/>
      <c r="G86" s="62"/>
      <c r="H86" s="66"/>
      <c r="I86" s="67"/>
      <c r="J86" s="67"/>
      <c r="K86" s="31"/>
      <c r="L86" s="75">
        <v>86</v>
      </c>
      <c r="M86"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86" s="69"/>
      <c r="O86" t="s">
        <v>701</v>
      </c>
      <c r="P86" s="76">
        <v>45510.291666666664</v>
      </c>
      <c r="Q86" t="s">
        <v>923</v>
      </c>
      <c r="R86" t="b">
        <v>0</v>
      </c>
      <c r="S86">
        <v>1</v>
      </c>
      <c r="T86">
        <v>8</v>
      </c>
      <c r="U86">
        <v>1</v>
      </c>
      <c r="V86">
        <v>0</v>
      </c>
      <c r="W86">
        <v>375</v>
      </c>
      <c r="AA86" t="s">
        <v>623</v>
      </c>
      <c r="AD86" s="77" t="s">
        <v>1365</v>
      </c>
      <c r="AE86" t="s">
        <v>1385</v>
      </c>
      <c r="AF86" s="78" t="str">
        <f>HYPERLINK("https://twitter.com/butaca131/status/1820716435338887462")</f>
        <v>https://twitter.com/butaca131/status/1820716435338887462</v>
      </c>
      <c r="AG86" s="76">
        <v>45510.291666666664</v>
      </c>
      <c r="AH86" s="80">
        <v>45510</v>
      </c>
      <c r="AI86" s="77" t="s">
        <v>1603</v>
      </c>
      <c r="AW86" s="78" t="str">
        <f>HYPERLINK("https://pbs.twimg.com/profile_images/1551196062169399297/iCZF-ruv_normal.jpg")</f>
        <v>https://pbs.twimg.com/profile_images/1551196062169399297/iCZF-ruv_normal.jpg</v>
      </c>
      <c r="AX86" s="77" t="s">
        <v>2089</v>
      </c>
      <c r="AY86" s="77" t="s">
        <v>2321</v>
      </c>
      <c r="AZ86" s="77" t="s">
        <v>2440</v>
      </c>
      <c r="BA86" s="77" t="s">
        <v>2321</v>
      </c>
      <c r="BB86" s="77" t="s">
        <v>2494</v>
      </c>
      <c r="BC86" s="77" t="s">
        <v>2494</v>
      </c>
      <c r="BD86" s="77" t="s">
        <v>2321</v>
      </c>
      <c r="BE86" s="77" t="s">
        <v>2466</v>
      </c>
      <c r="BK86" s="112" t="str">
        <f>REPLACE(INDEX(GroupVertices[Group], MATCH("~"&amp;Edges[[#This Row],[Vertex 1]],GroupVertices[Vertex],0)),1,1,"")</f>
        <v>16</v>
      </c>
      <c r="BL86" s="112" t="str">
        <f>REPLACE(INDEX(GroupVertices[Group], MATCH("~"&amp;Edges[[#This Row],[Vertex 2]],GroupVertices[Vertex],0)),1,1,"")</f>
        <v>16</v>
      </c>
    </row>
    <row r="87" spans="1:64" x14ac:dyDescent="0.25">
      <c r="A87" s="61" t="s">
        <v>424</v>
      </c>
      <c r="B87" s="61" t="s">
        <v>424</v>
      </c>
      <c r="C87" s="62"/>
      <c r="D87" s="63"/>
      <c r="E87" s="64"/>
      <c r="F87" s="65"/>
      <c r="G87" s="62"/>
      <c r="H87" s="66"/>
      <c r="I87" s="67"/>
      <c r="J87" s="67"/>
      <c r="K87" s="31"/>
      <c r="L87" s="75">
        <v>87</v>
      </c>
      <c r="M87"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87" s="69"/>
      <c r="O87" t="s">
        <v>177</v>
      </c>
      <c r="P87" s="76">
        <v>45505.908437500002</v>
      </c>
      <c r="Q87" t="s">
        <v>997</v>
      </c>
      <c r="R87" t="b">
        <v>1</v>
      </c>
      <c r="S87">
        <v>0</v>
      </c>
      <c r="T87">
        <v>16</v>
      </c>
      <c r="U87">
        <v>2</v>
      </c>
      <c r="V87">
        <v>1</v>
      </c>
      <c r="W87">
        <v>360</v>
      </c>
      <c r="AB87" t="s">
        <v>1337</v>
      </c>
      <c r="AC87" t="s">
        <v>1359</v>
      </c>
      <c r="AD87" s="77" t="s">
        <v>1367</v>
      </c>
      <c r="AE87" t="s">
        <v>1386</v>
      </c>
      <c r="AF87" s="78" t="str">
        <f>HYPERLINK("https://twitter.com/kykyschan/status/1819128008545902883")</f>
        <v>https://twitter.com/kykyschan/status/1819128008545902883</v>
      </c>
      <c r="AG87" s="76">
        <v>45505.908437500002</v>
      </c>
      <c r="AH87" s="80">
        <v>45505</v>
      </c>
      <c r="AI87" s="77" t="s">
        <v>1675</v>
      </c>
      <c r="AJ87" t="b">
        <v>0</v>
      </c>
      <c r="AR87" t="s">
        <v>1850</v>
      </c>
      <c r="AW87" s="78" t="str">
        <f>HYPERLINK("https://pbs.twimg.com/media/GT7XPsNWsAANQaG.png")</f>
        <v>https://pbs.twimg.com/media/GT7XPsNWsAANQaG.png</v>
      </c>
      <c r="AX87" s="77" t="s">
        <v>2163</v>
      </c>
      <c r="AY87" s="77" t="s">
        <v>2163</v>
      </c>
      <c r="BA87" s="77" t="s">
        <v>2494</v>
      </c>
      <c r="BB87" s="77" t="s">
        <v>2494</v>
      </c>
      <c r="BC87" s="77" t="s">
        <v>2494</v>
      </c>
      <c r="BD87" s="77" t="s">
        <v>2163</v>
      </c>
      <c r="BE87">
        <v>3284663407</v>
      </c>
      <c r="BK87" s="112" t="str">
        <f>REPLACE(INDEX(GroupVertices[Group], MATCH("~"&amp;Edges[[#This Row],[Vertex 1]],GroupVertices[Vertex],0)),1,1,"")</f>
        <v>83</v>
      </c>
      <c r="BL87" s="112" t="str">
        <f>REPLACE(INDEX(GroupVertices[Group], MATCH("~"&amp;Edges[[#This Row],[Vertex 2]],GroupVertices[Vertex],0)),1,1,"")</f>
        <v>83</v>
      </c>
    </row>
    <row r="88" spans="1:64" x14ac:dyDescent="0.25">
      <c r="A88" s="61" t="s">
        <v>294</v>
      </c>
      <c r="B88" s="61" t="s">
        <v>294</v>
      </c>
      <c r="C88" s="62"/>
      <c r="D88" s="63"/>
      <c r="E88" s="64"/>
      <c r="F88" s="65"/>
      <c r="G88" s="62"/>
      <c r="H88" s="66"/>
      <c r="I88" s="67"/>
      <c r="J88" s="67"/>
      <c r="K88" s="31"/>
      <c r="L88" s="75">
        <v>88</v>
      </c>
      <c r="M88"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88" s="69"/>
      <c r="O88" t="s">
        <v>701</v>
      </c>
      <c r="P88" s="76">
        <v>45511.146493055552</v>
      </c>
      <c r="Q88" t="s">
        <v>837</v>
      </c>
      <c r="R88" t="b">
        <v>0</v>
      </c>
      <c r="S88">
        <v>0</v>
      </c>
      <c r="T88">
        <v>1</v>
      </c>
      <c r="U88">
        <v>0</v>
      </c>
      <c r="V88">
        <v>0</v>
      </c>
      <c r="W88">
        <v>342</v>
      </c>
      <c r="AA88" t="s">
        <v>1230</v>
      </c>
      <c r="AD88" s="77" t="s">
        <v>1365</v>
      </c>
      <c r="AE88" t="s">
        <v>1385</v>
      </c>
      <c r="AF88" s="78" t="str">
        <f>HYPERLINK("https://twitter.com/hagov_wav/status/1821026214141628522")</f>
        <v>https://twitter.com/hagov_wav/status/1821026214141628522</v>
      </c>
      <c r="AG88" s="76">
        <v>45511.146493055552</v>
      </c>
      <c r="AH88" s="80">
        <v>45511</v>
      </c>
      <c r="AI88" s="77" t="s">
        <v>1519</v>
      </c>
      <c r="AW88" s="78" t="str">
        <f>HYPERLINK("https://pbs.twimg.com/profile_images/1925251964880773121/TO0bRyYY_normal.jpg")</f>
        <v>https://pbs.twimg.com/profile_images/1925251964880773121/TO0bRyYY_normal.jpg</v>
      </c>
      <c r="AX88" s="77" t="s">
        <v>2003</v>
      </c>
      <c r="AY88" s="77" t="s">
        <v>2298</v>
      </c>
      <c r="AZ88" s="77" t="s">
        <v>2417</v>
      </c>
      <c r="BA88" s="77" t="s">
        <v>2508</v>
      </c>
      <c r="BB88" s="77" t="s">
        <v>2494</v>
      </c>
      <c r="BC88" s="77" t="s">
        <v>2494</v>
      </c>
      <c r="BD88" s="77" t="s">
        <v>2508</v>
      </c>
      <c r="BE88" s="77" t="s">
        <v>2417</v>
      </c>
      <c r="BK88" s="112" t="str">
        <f>REPLACE(INDEX(GroupVertices[Group], MATCH("~"&amp;Edges[[#This Row],[Vertex 1]],GroupVertices[Vertex],0)),1,1,"")</f>
        <v>188</v>
      </c>
      <c r="BL88" s="112" t="str">
        <f>REPLACE(INDEX(GroupVertices[Group], MATCH("~"&amp;Edges[[#This Row],[Vertex 2]],GroupVertices[Vertex],0)),1,1,"")</f>
        <v>188</v>
      </c>
    </row>
    <row r="89" spans="1:64" x14ac:dyDescent="0.25">
      <c r="A89" s="61" t="s">
        <v>283</v>
      </c>
      <c r="B89" s="61" t="s">
        <v>283</v>
      </c>
      <c r="C89" s="62"/>
      <c r="D89" s="63"/>
      <c r="E89" s="64"/>
      <c r="F89" s="65"/>
      <c r="G89" s="62"/>
      <c r="H89" s="66"/>
      <c r="I89" s="67"/>
      <c r="J89" s="67"/>
      <c r="K89" s="31"/>
      <c r="L89" s="75">
        <v>89</v>
      </c>
      <c r="M89"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89" s="69"/>
      <c r="O89" t="s">
        <v>177</v>
      </c>
      <c r="P89" s="76">
        <v>45506.833668981482</v>
      </c>
      <c r="Q89" t="s">
        <v>786</v>
      </c>
      <c r="R89" t="b">
        <v>0</v>
      </c>
      <c r="S89">
        <v>3</v>
      </c>
      <c r="T89">
        <v>3</v>
      </c>
      <c r="U89">
        <v>0</v>
      </c>
      <c r="V89">
        <v>0</v>
      </c>
      <c r="W89">
        <v>338</v>
      </c>
      <c r="AB89" t="s">
        <v>1274</v>
      </c>
      <c r="AC89" t="s">
        <v>1360</v>
      </c>
      <c r="AD89" s="77" t="s">
        <v>1367</v>
      </c>
      <c r="AE89" t="s">
        <v>1385</v>
      </c>
      <c r="AF89" s="78" t="str">
        <f>HYPERLINK("https://twitter.com/mineducaysen/status/1819463299232346477")</f>
        <v>https://twitter.com/mineducaysen/status/1819463299232346477</v>
      </c>
      <c r="AG89" s="76">
        <v>45506.833668981482</v>
      </c>
      <c r="AH89" s="80">
        <v>45506</v>
      </c>
      <c r="AI89" s="77" t="s">
        <v>1468</v>
      </c>
      <c r="AJ89" t="b">
        <v>0</v>
      </c>
      <c r="AR89" t="s">
        <v>1787</v>
      </c>
      <c r="AS89">
        <v>95594</v>
      </c>
      <c r="AW89" s="78" t="str">
        <f>HYPERLINK("https://pbs.twimg.com/ext_tw_video_thumb/1819463158425178112/pu/img/f2CdP7ZTVDlezYFH.jpg")</f>
        <v>https://pbs.twimg.com/ext_tw_video_thumb/1819463158425178112/pu/img/f2CdP7ZTVDlezYFH.jpg</v>
      </c>
      <c r="AX89" s="77" t="s">
        <v>1952</v>
      </c>
      <c r="AY89" s="77" t="s">
        <v>1952</v>
      </c>
      <c r="BA89" s="77" t="s">
        <v>2494</v>
      </c>
      <c r="BB89" s="77" t="s">
        <v>2494</v>
      </c>
      <c r="BC89" s="77" t="s">
        <v>2494</v>
      </c>
      <c r="BD89" s="77" t="s">
        <v>1952</v>
      </c>
      <c r="BE89">
        <v>2548324454</v>
      </c>
      <c r="BK89" s="112" t="str">
        <f>REPLACE(INDEX(GroupVertices[Group], MATCH("~"&amp;Edges[[#This Row],[Vertex 1]],GroupVertices[Vertex],0)),1,1,"")</f>
        <v>187</v>
      </c>
      <c r="BL89" s="112" t="str">
        <f>REPLACE(INDEX(GroupVertices[Group], MATCH("~"&amp;Edges[[#This Row],[Vertex 2]],GroupVertices[Vertex],0)),1,1,"")</f>
        <v>187</v>
      </c>
    </row>
    <row r="90" spans="1:64" x14ac:dyDescent="0.25">
      <c r="A90" s="61" t="s">
        <v>365</v>
      </c>
      <c r="B90" s="61" t="s">
        <v>365</v>
      </c>
      <c r="C90" s="62"/>
      <c r="D90" s="63"/>
      <c r="E90" s="64"/>
      <c r="F90" s="65"/>
      <c r="G90" s="62"/>
      <c r="H90" s="66"/>
      <c r="I90" s="67"/>
      <c r="J90" s="67"/>
      <c r="K90" s="31"/>
      <c r="L90" s="75">
        <v>90</v>
      </c>
      <c r="M90"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90" s="69"/>
      <c r="O90" t="s">
        <v>177</v>
      </c>
      <c r="P90" s="76">
        <v>45505.339513888888</v>
      </c>
      <c r="Q90" t="s">
        <v>926</v>
      </c>
      <c r="R90" t="b">
        <v>0</v>
      </c>
      <c r="S90">
        <v>0</v>
      </c>
      <c r="T90">
        <v>5</v>
      </c>
      <c r="U90">
        <v>1</v>
      </c>
      <c r="V90">
        <v>0</v>
      </c>
      <c r="W90">
        <v>337</v>
      </c>
      <c r="AB90" t="s">
        <v>1311</v>
      </c>
      <c r="AC90" t="s">
        <v>1359</v>
      </c>
      <c r="AD90" s="77" t="s">
        <v>1365</v>
      </c>
      <c r="AE90" t="s">
        <v>1385</v>
      </c>
      <c r="AF90" s="78" t="str">
        <f>HYPERLINK("https://twitter.com/hdadsantiago/status/1818921835699765613")</f>
        <v>https://twitter.com/hdadsantiago/status/1818921835699765613</v>
      </c>
      <c r="AG90" s="76">
        <v>45505.339513888888</v>
      </c>
      <c r="AH90" s="80">
        <v>45505</v>
      </c>
      <c r="AI90" s="77" t="s">
        <v>1606</v>
      </c>
      <c r="AJ90" t="b">
        <v>0</v>
      </c>
      <c r="AR90" t="s">
        <v>1824</v>
      </c>
      <c r="AW90" s="78" t="str">
        <f>HYPERLINK("https://pbs.twimg.com/media/GT4bxDwX0AA1iRi.jpg")</f>
        <v>https://pbs.twimg.com/media/GT4bxDwX0AA1iRi.jpg</v>
      </c>
      <c r="AX90" s="77" t="s">
        <v>2092</v>
      </c>
      <c r="AY90" s="77" t="s">
        <v>2092</v>
      </c>
      <c r="BA90" s="77" t="s">
        <v>2494</v>
      </c>
      <c r="BB90" s="77" t="s">
        <v>2494</v>
      </c>
      <c r="BC90" s="77" t="s">
        <v>2494</v>
      </c>
      <c r="BD90" s="77" t="s">
        <v>2092</v>
      </c>
      <c r="BE90">
        <v>634560014</v>
      </c>
      <c r="BK90" s="112" t="str">
        <f>REPLACE(INDEX(GroupVertices[Group], MATCH("~"&amp;Edges[[#This Row],[Vertex 1]],GroupVertices[Vertex],0)),1,1,"")</f>
        <v>186</v>
      </c>
      <c r="BL90" s="112" t="str">
        <f>REPLACE(INDEX(GroupVertices[Group], MATCH("~"&amp;Edges[[#This Row],[Vertex 2]],GroupVertices[Vertex],0)),1,1,"")</f>
        <v>186</v>
      </c>
    </row>
    <row r="91" spans="1:64" x14ac:dyDescent="0.25">
      <c r="A91" s="61" t="s">
        <v>254</v>
      </c>
      <c r="B91" s="61" t="s">
        <v>254</v>
      </c>
      <c r="C91" s="62"/>
      <c r="D91" s="63"/>
      <c r="E91" s="64"/>
      <c r="F91" s="65"/>
      <c r="G91" s="62"/>
      <c r="H91" s="66"/>
      <c r="I91" s="67"/>
      <c r="J91" s="67"/>
      <c r="K91" s="31"/>
      <c r="L91" s="75">
        <v>91</v>
      </c>
      <c r="M91"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91" s="69"/>
      <c r="O91" t="s">
        <v>177</v>
      </c>
      <c r="P91" s="76">
        <v>45507.76353009259</v>
      </c>
      <c r="Q91" t="s">
        <v>746</v>
      </c>
      <c r="R91" t="b">
        <v>0</v>
      </c>
      <c r="S91">
        <v>0</v>
      </c>
      <c r="T91">
        <v>0</v>
      </c>
      <c r="U91">
        <v>0</v>
      </c>
      <c r="V91">
        <v>0</v>
      </c>
      <c r="W91">
        <v>325</v>
      </c>
      <c r="X91" s="77" t="s">
        <v>1092</v>
      </c>
      <c r="Y91" s="78" t="str">
        <f>HYPERLINK("https://www.radioprensa.cl/director-provincial-de-educacion-se-refiere-a-inicio-de-proceso-de-postulacion-del-sistema-de-admision-escolar-sae/")</f>
        <v>https://www.radioprensa.cl/director-provincial-de-educacion-se-refiere-a-inicio-de-proceso-de-postulacion-del-sistema-de-admision-escolar-sae/</v>
      </c>
      <c r="Z91" t="s">
        <v>1141</v>
      </c>
      <c r="AB91" t="s">
        <v>1270</v>
      </c>
      <c r="AC91" t="s">
        <v>1359</v>
      </c>
      <c r="AD91" s="77" t="s">
        <v>1367</v>
      </c>
      <c r="AE91" t="s">
        <v>1385</v>
      </c>
      <c r="AF91" s="78" t="str">
        <f>HYPERLINK("https://twitter.com/radioprensa/status/1819800272698290249")</f>
        <v>https://twitter.com/radioprensa/status/1819800272698290249</v>
      </c>
      <c r="AG91" s="76">
        <v>45507.76353009259</v>
      </c>
      <c r="AH91" s="80">
        <v>45507</v>
      </c>
      <c r="AI91" s="77" t="s">
        <v>1428</v>
      </c>
      <c r="AJ91" t="b">
        <v>0</v>
      </c>
      <c r="AR91" t="s">
        <v>1783</v>
      </c>
      <c r="AW91" s="78" t="str">
        <f>HYPERLINK("https://pbs.twimg.com/media/GUE6rlDWYAAuF8I.jpg")</f>
        <v>https://pbs.twimg.com/media/GUE6rlDWYAAuF8I.jpg</v>
      </c>
      <c r="AX91" s="77" t="s">
        <v>1912</v>
      </c>
      <c r="AY91" s="77" t="s">
        <v>1912</v>
      </c>
      <c r="BA91" s="77" t="s">
        <v>2494</v>
      </c>
      <c r="BB91" s="77" t="s">
        <v>2494</v>
      </c>
      <c r="BC91" s="77" t="s">
        <v>2494</v>
      </c>
      <c r="BD91" s="77" t="s">
        <v>1912</v>
      </c>
      <c r="BE91">
        <v>145270013</v>
      </c>
      <c r="BK91" s="112" t="str">
        <f>REPLACE(INDEX(GroupVertices[Group], MATCH("~"&amp;Edges[[#This Row],[Vertex 1]],GroupVertices[Vertex],0)),1,1,"")</f>
        <v>185</v>
      </c>
      <c r="BL91" s="112" t="str">
        <f>REPLACE(INDEX(GroupVertices[Group], MATCH("~"&amp;Edges[[#This Row],[Vertex 2]],GroupVertices[Vertex],0)),1,1,"")</f>
        <v>185</v>
      </c>
    </row>
    <row r="92" spans="1:64" x14ac:dyDescent="0.25">
      <c r="A92" s="61" t="s">
        <v>254</v>
      </c>
      <c r="B92" s="61" t="s">
        <v>254</v>
      </c>
      <c r="C92" s="62"/>
      <c r="D92" s="63"/>
      <c r="E92" s="64"/>
      <c r="F92" s="65"/>
      <c r="G92" s="62"/>
      <c r="H92" s="66"/>
      <c r="I92" s="67"/>
      <c r="J92" s="67"/>
      <c r="K92" s="31"/>
      <c r="L92" s="75">
        <v>92</v>
      </c>
      <c r="M92"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92" s="69"/>
      <c r="O92" t="s">
        <v>177</v>
      </c>
      <c r="P92" s="76">
        <v>45505.780578703707</v>
      </c>
      <c r="Q92" t="s">
        <v>747</v>
      </c>
      <c r="R92" t="b">
        <v>0</v>
      </c>
      <c r="S92">
        <v>0</v>
      </c>
      <c r="T92">
        <v>0</v>
      </c>
      <c r="U92">
        <v>0</v>
      </c>
      <c r="V92">
        <v>0</v>
      </c>
      <c r="W92">
        <v>325</v>
      </c>
      <c r="Y92" s="78" t="str">
        <f>HYPERLINK("https://www.radioprensa.cl/este-viernes-comienzan-las-postulaciones-a-traves-del-sistema-de-admision-escolar-sae/")</f>
        <v>https://www.radioprensa.cl/este-viernes-comienzan-las-postulaciones-a-traves-del-sistema-de-admision-escolar-sae/</v>
      </c>
      <c r="Z92" t="s">
        <v>1141</v>
      </c>
      <c r="AB92" t="s">
        <v>1271</v>
      </c>
      <c r="AC92" t="s">
        <v>1359</v>
      </c>
      <c r="AD92" s="77" t="s">
        <v>1367</v>
      </c>
      <c r="AE92" t="s">
        <v>1385</v>
      </c>
      <c r="AF92" s="78" t="str">
        <f>HYPERLINK("https://twitter.com/radioprensa/status/1819081671440060697")</f>
        <v>https://twitter.com/radioprensa/status/1819081671440060697</v>
      </c>
      <c r="AG92" s="76">
        <v>45505.780578703707</v>
      </c>
      <c r="AH92" s="80">
        <v>45505</v>
      </c>
      <c r="AI92" s="77" t="s">
        <v>1429</v>
      </c>
      <c r="AJ92" t="b">
        <v>0</v>
      </c>
      <c r="AR92" t="s">
        <v>1784</v>
      </c>
      <c r="AW92" s="78" t="str">
        <f>HYPERLINK("https://pbs.twimg.com/media/GT6tIxvW0AAXiun.jpg")</f>
        <v>https://pbs.twimg.com/media/GT6tIxvW0AAXiun.jpg</v>
      </c>
      <c r="AX92" s="77" t="s">
        <v>1913</v>
      </c>
      <c r="AY92" s="77" t="s">
        <v>1913</v>
      </c>
      <c r="BA92" s="77" t="s">
        <v>2494</v>
      </c>
      <c r="BB92" s="77" t="s">
        <v>2494</v>
      </c>
      <c r="BC92" s="77" t="s">
        <v>2494</v>
      </c>
      <c r="BD92" s="77" t="s">
        <v>1913</v>
      </c>
      <c r="BE92">
        <v>145270013</v>
      </c>
      <c r="BK92" s="112" t="str">
        <f>REPLACE(INDEX(GroupVertices[Group], MATCH("~"&amp;Edges[[#This Row],[Vertex 1]],GroupVertices[Vertex],0)),1,1,"")</f>
        <v>185</v>
      </c>
      <c r="BL92" s="112" t="str">
        <f>REPLACE(INDEX(GroupVertices[Group], MATCH("~"&amp;Edges[[#This Row],[Vertex 2]],GroupVertices[Vertex],0)),1,1,"")</f>
        <v>185</v>
      </c>
    </row>
    <row r="93" spans="1:64" x14ac:dyDescent="0.25">
      <c r="A93" s="61" t="s">
        <v>273</v>
      </c>
      <c r="B93" s="61" t="s">
        <v>553</v>
      </c>
      <c r="C93" s="62"/>
      <c r="D93" s="63"/>
      <c r="E93" s="64"/>
      <c r="F93" s="65"/>
      <c r="G93" s="62"/>
      <c r="H93" s="66"/>
      <c r="I93" s="67"/>
      <c r="J93" s="67"/>
      <c r="K93" s="31"/>
      <c r="L93" s="75">
        <v>93</v>
      </c>
      <c r="M93"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93" s="69"/>
      <c r="O93" t="s">
        <v>702</v>
      </c>
      <c r="P93" s="76">
        <v>45509.783576388887</v>
      </c>
      <c r="Q93" t="s">
        <v>775</v>
      </c>
      <c r="R93" t="b">
        <v>0</v>
      </c>
      <c r="S93">
        <v>2</v>
      </c>
      <c r="T93">
        <v>9</v>
      </c>
      <c r="U93">
        <v>0</v>
      </c>
      <c r="V93">
        <v>0</v>
      </c>
      <c r="W93">
        <v>320</v>
      </c>
      <c r="AA93" t="s">
        <v>1221</v>
      </c>
      <c r="AB93" t="s">
        <v>1273</v>
      </c>
      <c r="AC93" t="s">
        <v>1361</v>
      </c>
      <c r="AD93" s="77" t="s">
        <v>1367</v>
      </c>
      <c r="AE93" t="s">
        <v>1385</v>
      </c>
      <c r="AF93" s="78" t="str">
        <f>HYPERLINK("https://twitter.com/edupublicacl/status/1820532311143940097")</f>
        <v>https://twitter.com/edupublicacl/status/1820532311143940097</v>
      </c>
      <c r="AG93" s="76">
        <v>45509.783576388887</v>
      </c>
      <c r="AH93" s="80">
        <v>45509</v>
      </c>
      <c r="AI93" s="77" t="s">
        <v>1457</v>
      </c>
      <c r="AJ93" t="b">
        <v>0</v>
      </c>
      <c r="AR93" t="s">
        <v>1786</v>
      </c>
      <c r="AW93" s="78" t="str">
        <f>HYPERLINK("https://pbs.twimg.com/media/GUPUUuOXUAAl9aW.jpg")</f>
        <v>https://pbs.twimg.com/media/GUPUUuOXUAAl9aW.jpg</v>
      </c>
      <c r="AX93" s="77" t="s">
        <v>1941</v>
      </c>
      <c r="AY93" s="77" t="s">
        <v>1941</v>
      </c>
      <c r="BA93" s="77" t="s">
        <v>2494</v>
      </c>
      <c r="BB93" s="77" t="s">
        <v>2494</v>
      </c>
      <c r="BC93" s="77" t="s">
        <v>2494</v>
      </c>
      <c r="BD93" s="77" t="s">
        <v>1941</v>
      </c>
      <c r="BE93" s="77" t="s">
        <v>2557</v>
      </c>
      <c r="BK93" s="112" t="str">
        <f>REPLACE(INDEX(GroupVertices[Group], MATCH("~"&amp;Edges[[#This Row],[Vertex 1]],GroupVertices[Vertex],0)),1,1,"")</f>
        <v>29</v>
      </c>
      <c r="BL93" s="112" t="str">
        <f>REPLACE(INDEX(GroupVertices[Group], MATCH("~"&amp;Edges[[#This Row],[Vertex 2]],GroupVertices[Vertex],0)),1,1,"")</f>
        <v>29</v>
      </c>
    </row>
    <row r="94" spans="1:64" x14ac:dyDescent="0.25">
      <c r="A94" s="61" t="s">
        <v>273</v>
      </c>
      <c r="B94" s="61" t="s">
        <v>554</v>
      </c>
      <c r="C94" s="62"/>
      <c r="D94" s="63"/>
      <c r="E94" s="64"/>
      <c r="F94" s="65"/>
      <c r="G94" s="62"/>
      <c r="H94" s="66"/>
      <c r="I94" s="67"/>
      <c r="J94" s="67"/>
      <c r="K94" s="31"/>
      <c r="L94" s="75">
        <v>94</v>
      </c>
      <c r="M94"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94" s="69"/>
      <c r="O94" t="s">
        <v>702</v>
      </c>
      <c r="P94" s="76">
        <v>45509.783576388887</v>
      </c>
      <c r="Q94" t="s">
        <v>775</v>
      </c>
      <c r="R94" t="b">
        <v>0</v>
      </c>
      <c r="S94">
        <v>2</v>
      </c>
      <c r="T94">
        <v>9</v>
      </c>
      <c r="U94">
        <v>0</v>
      </c>
      <c r="V94">
        <v>0</v>
      </c>
      <c r="W94">
        <v>320</v>
      </c>
      <c r="AA94" t="s">
        <v>1221</v>
      </c>
      <c r="AB94" t="s">
        <v>1273</v>
      </c>
      <c r="AC94" t="s">
        <v>1361</v>
      </c>
      <c r="AD94" s="77" t="s">
        <v>1367</v>
      </c>
      <c r="AE94" t="s">
        <v>1385</v>
      </c>
      <c r="AF94" s="78" t="str">
        <f>HYPERLINK("https://twitter.com/edupublicacl/status/1820532311143940097")</f>
        <v>https://twitter.com/edupublicacl/status/1820532311143940097</v>
      </c>
      <c r="AG94" s="76">
        <v>45509.783576388887</v>
      </c>
      <c r="AH94" s="80">
        <v>45509</v>
      </c>
      <c r="AI94" s="77" t="s">
        <v>1457</v>
      </c>
      <c r="AJ94" t="b">
        <v>0</v>
      </c>
      <c r="AR94" t="s">
        <v>1786</v>
      </c>
      <c r="AW94" s="78" t="str">
        <f>HYPERLINK("https://pbs.twimg.com/media/GUPUUuOXUAAl9aW.jpg")</f>
        <v>https://pbs.twimg.com/media/GUPUUuOXUAAl9aW.jpg</v>
      </c>
      <c r="AX94" s="77" t="s">
        <v>1941</v>
      </c>
      <c r="AY94" s="77" t="s">
        <v>1941</v>
      </c>
      <c r="BA94" s="77" t="s">
        <v>2494</v>
      </c>
      <c r="BB94" s="77" t="s">
        <v>2494</v>
      </c>
      <c r="BC94" s="77" t="s">
        <v>2494</v>
      </c>
      <c r="BD94" s="77" t="s">
        <v>1941</v>
      </c>
      <c r="BE94" s="77" t="s">
        <v>2557</v>
      </c>
      <c r="BK94" s="112" t="str">
        <f>REPLACE(INDEX(GroupVertices[Group], MATCH("~"&amp;Edges[[#This Row],[Vertex 1]],GroupVertices[Vertex],0)),1,1,"")</f>
        <v>29</v>
      </c>
      <c r="BL94" s="112" t="str">
        <f>REPLACE(INDEX(GroupVertices[Group], MATCH("~"&amp;Edges[[#This Row],[Vertex 2]],GroupVertices[Vertex],0)),1,1,"")</f>
        <v>29</v>
      </c>
    </row>
    <row r="95" spans="1:64" x14ac:dyDescent="0.25">
      <c r="A95" s="61" t="s">
        <v>315</v>
      </c>
      <c r="B95" s="61" t="s">
        <v>514</v>
      </c>
      <c r="C95" s="62"/>
      <c r="D95" s="63"/>
      <c r="E95" s="64"/>
      <c r="F95" s="65"/>
      <c r="G95" s="62"/>
      <c r="H95" s="66"/>
      <c r="I95" s="67"/>
      <c r="J95" s="67"/>
      <c r="K95" s="31"/>
      <c r="L95" s="75">
        <v>95</v>
      </c>
      <c r="M95"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95" s="69"/>
      <c r="O95" t="s">
        <v>701</v>
      </c>
      <c r="P95" s="76">
        <v>45505.570590277777</v>
      </c>
      <c r="Q95" t="s">
        <v>866</v>
      </c>
      <c r="R95" t="b">
        <v>0</v>
      </c>
      <c r="S95">
        <v>0</v>
      </c>
      <c r="T95">
        <v>8</v>
      </c>
      <c r="U95">
        <v>0</v>
      </c>
      <c r="V95">
        <v>0</v>
      </c>
      <c r="W95">
        <v>320</v>
      </c>
      <c r="AA95" t="s">
        <v>514</v>
      </c>
      <c r="AD95" s="77" t="s">
        <v>1365</v>
      </c>
      <c r="AE95" t="s">
        <v>1385</v>
      </c>
      <c r="AF95" s="78" t="str">
        <f>HYPERLINK("https://twitter.com/carmeng734/status/1819005577302806735")</f>
        <v>https://twitter.com/carmeng734/status/1819005577302806735</v>
      </c>
      <c r="AG95" s="76">
        <v>45505.570590277777</v>
      </c>
      <c r="AH95" s="80">
        <v>45505</v>
      </c>
      <c r="AI95" s="77" t="s">
        <v>1547</v>
      </c>
      <c r="AW95" s="78" t="str">
        <f>HYPERLINK("https://pbs.twimg.com/profile_images/1919546881060769792/gNpH9sF6_normal.jpg")</f>
        <v>https://pbs.twimg.com/profile_images/1919546881060769792/gNpH9sF6_normal.jpg</v>
      </c>
      <c r="AX95" s="77" t="s">
        <v>2032</v>
      </c>
      <c r="AY95" s="77" t="s">
        <v>2259</v>
      </c>
      <c r="AZ95" s="77" t="s">
        <v>2373</v>
      </c>
      <c r="BA95" s="77" t="s">
        <v>2259</v>
      </c>
      <c r="BB95" s="77" t="s">
        <v>2494</v>
      </c>
      <c r="BC95" s="77" t="s">
        <v>2494</v>
      </c>
      <c r="BD95" s="77" t="s">
        <v>2259</v>
      </c>
      <c r="BE95" s="77" t="s">
        <v>2574</v>
      </c>
      <c r="BK95" s="112" t="str">
        <f>REPLACE(INDEX(GroupVertices[Group], MATCH("~"&amp;Edges[[#This Row],[Vertex 1]],GroupVertices[Vertex],0)),1,1,"")</f>
        <v>7</v>
      </c>
      <c r="BL95" s="112" t="str">
        <f>REPLACE(INDEX(GroupVertices[Group], MATCH("~"&amp;Edges[[#This Row],[Vertex 2]],GroupVertices[Vertex],0)),1,1,"")</f>
        <v>7</v>
      </c>
    </row>
    <row r="96" spans="1:64" x14ac:dyDescent="0.25">
      <c r="A96" s="61" t="s">
        <v>370</v>
      </c>
      <c r="B96" s="61" t="s">
        <v>369</v>
      </c>
      <c r="C96" s="62"/>
      <c r="D96" s="63"/>
      <c r="E96" s="64"/>
      <c r="F96" s="65"/>
      <c r="G96" s="62"/>
      <c r="H96" s="66"/>
      <c r="I96" s="67"/>
      <c r="J96" s="67"/>
      <c r="K96" s="31"/>
      <c r="L96" s="75">
        <v>96</v>
      </c>
      <c r="M96"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96" s="69"/>
      <c r="O96" t="s">
        <v>702</v>
      </c>
      <c r="P96" s="76">
        <v>45505.881956018522</v>
      </c>
      <c r="Q96" t="s">
        <v>933</v>
      </c>
      <c r="R96" t="b">
        <v>0</v>
      </c>
      <c r="S96">
        <v>0</v>
      </c>
      <c r="T96">
        <v>1</v>
      </c>
      <c r="U96">
        <v>0</v>
      </c>
      <c r="V96">
        <v>0</v>
      </c>
      <c r="W96">
        <v>302</v>
      </c>
      <c r="X96" s="77" t="s">
        <v>1114</v>
      </c>
      <c r="Y96" s="78" t="str">
        <f>HYPERLINK("http://radioudec.cl")</f>
        <v>http://radioudec.cl</v>
      </c>
      <c r="Z96" t="s">
        <v>1176</v>
      </c>
      <c r="AA96" t="s">
        <v>369</v>
      </c>
      <c r="AB96" t="s">
        <v>1317</v>
      </c>
      <c r="AC96" t="s">
        <v>1359</v>
      </c>
      <c r="AD96" s="77" t="s">
        <v>1367</v>
      </c>
      <c r="AE96" t="s">
        <v>1385</v>
      </c>
      <c r="AF96" s="78" t="str">
        <f>HYPERLINK("https://twitter.com/radioudec/status/1819118413232423083")</f>
        <v>https://twitter.com/radioudec/status/1819118413232423083</v>
      </c>
      <c r="AG96" s="76">
        <v>45505.881956018522</v>
      </c>
      <c r="AH96" s="80">
        <v>45505</v>
      </c>
      <c r="AI96" s="77" t="s">
        <v>1613</v>
      </c>
      <c r="AJ96" t="b">
        <v>0</v>
      </c>
      <c r="AR96" t="s">
        <v>1830</v>
      </c>
      <c r="AW96" s="78" t="str">
        <f>HYPERLINK("https://pbs.twimg.com/media/GT7OhwWWoAEK4yO.jpg")</f>
        <v>https://pbs.twimg.com/media/GT7OhwWWoAEK4yO.jpg</v>
      </c>
      <c r="AX96" s="77" t="s">
        <v>2099</v>
      </c>
      <c r="AY96" s="77" t="s">
        <v>2099</v>
      </c>
      <c r="BA96" s="77" t="s">
        <v>2494</v>
      </c>
      <c r="BB96" s="77" t="s">
        <v>2494</v>
      </c>
      <c r="BC96" s="77" t="s">
        <v>2494</v>
      </c>
      <c r="BD96" s="77" t="s">
        <v>2099</v>
      </c>
      <c r="BE96">
        <v>87266031</v>
      </c>
      <c r="BK96" s="112" t="str">
        <f>REPLACE(INDEX(GroupVertices[Group], MATCH("~"&amp;Edges[[#This Row],[Vertex 1]],GroupVertices[Vertex],0)),1,1,"")</f>
        <v>101</v>
      </c>
      <c r="BL96" s="112" t="str">
        <f>REPLACE(INDEX(GroupVertices[Group], MATCH("~"&amp;Edges[[#This Row],[Vertex 2]],GroupVertices[Vertex],0)),1,1,"")</f>
        <v>101</v>
      </c>
    </row>
    <row r="97" spans="1:64" x14ac:dyDescent="0.25">
      <c r="A97" s="61" t="s">
        <v>356</v>
      </c>
      <c r="B97" s="61" t="s">
        <v>621</v>
      </c>
      <c r="C97" s="62"/>
      <c r="D97" s="63"/>
      <c r="E97" s="64"/>
      <c r="F97" s="65"/>
      <c r="G97" s="62"/>
      <c r="H97" s="66"/>
      <c r="I97" s="67"/>
      <c r="J97" s="67"/>
      <c r="K97" s="31"/>
      <c r="L97" s="75">
        <v>97</v>
      </c>
      <c r="M97"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97" s="69"/>
      <c r="O97" t="s">
        <v>702</v>
      </c>
      <c r="P97" s="76">
        <v>45506.6250462963</v>
      </c>
      <c r="Q97" t="s">
        <v>916</v>
      </c>
      <c r="R97" t="b">
        <v>0</v>
      </c>
      <c r="S97">
        <v>0</v>
      </c>
      <c r="T97">
        <v>1</v>
      </c>
      <c r="U97">
        <v>0</v>
      </c>
      <c r="V97">
        <v>0</v>
      </c>
      <c r="W97">
        <v>292</v>
      </c>
      <c r="Y97" s="78" t="str">
        <f>HYPERLINK("http://www.reduca.cl")</f>
        <v>http://www.reduca.cl</v>
      </c>
      <c r="Z97" t="s">
        <v>1169</v>
      </c>
      <c r="AA97" t="s">
        <v>621</v>
      </c>
      <c r="AB97" t="s">
        <v>1309</v>
      </c>
      <c r="AC97" t="s">
        <v>1360</v>
      </c>
      <c r="AD97" s="77" t="s">
        <v>1365</v>
      </c>
      <c r="AE97" t="s">
        <v>1385</v>
      </c>
      <c r="AF97" s="78" t="str">
        <f>HYPERLINK("https://twitter.com/reduca_cl/status/1819387698395709624")</f>
        <v>https://twitter.com/reduca_cl/status/1819387698395709624</v>
      </c>
      <c r="AG97" s="76">
        <v>45506.6250462963</v>
      </c>
      <c r="AH97" s="80">
        <v>45506</v>
      </c>
      <c r="AI97" s="77" t="s">
        <v>1596</v>
      </c>
      <c r="AJ97" t="b">
        <v>0</v>
      </c>
      <c r="AR97" t="s">
        <v>1822</v>
      </c>
      <c r="AS97">
        <v>46691</v>
      </c>
      <c r="AW97" s="78" t="str">
        <f>HYPERLINK("https://pbs.twimg.com/ext_tw_video_thumb/1819387641613234177/pu/img/rLqqaVUSzrUlQ6VN.jpg")</f>
        <v>https://pbs.twimg.com/ext_tw_video_thumb/1819387641613234177/pu/img/rLqqaVUSzrUlQ6VN.jpg</v>
      </c>
      <c r="AX97" s="77" t="s">
        <v>2082</v>
      </c>
      <c r="AY97" s="77" t="s">
        <v>2082</v>
      </c>
      <c r="BA97" s="77" t="s">
        <v>2494</v>
      </c>
      <c r="BB97" s="77" t="s">
        <v>2494</v>
      </c>
      <c r="BC97" s="77" t="s">
        <v>2494</v>
      </c>
      <c r="BD97" s="77" t="s">
        <v>2082</v>
      </c>
      <c r="BE97" s="77" t="s">
        <v>2589</v>
      </c>
      <c r="BK97" s="112" t="str">
        <f>REPLACE(INDEX(GroupVertices[Group], MATCH("~"&amp;Edges[[#This Row],[Vertex 1]],GroupVertices[Vertex],0)),1,1,"")</f>
        <v>100</v>
      </c>
      <c r="BL97" s="112" t="str">
        <f>REPLACE(INDEX(GroupVertices[Group], MATCH("~"&amp;Edges[[#This Row],[Vertex 2]],GroupVertices[Vertex],0)),1,1,"")</f>
        <v>100</v>
      </c>
    </row>
    <row r="98" spans="1:64" x14ac:dyDescent="0.25">
      <c r="A98" s="61" t="s">
        <v>309</v>
      </c>
      <c r="B98" s="61" t="s">
        <v>309</v>
      </c>
      <c r="C98" s="62"/>
      <c r="D98" s="63"/>
      <c r="E98" s="64"/>
      <c r="F98" s="65"/>
      <c r="G98" s="62"/>
      <c r="H98" s="66"/>
      <c r="I98" s="67"/>
      <c r="J98" s="67"/>
      <c r="K98" s="31"/>
      <c r="L98" s="75">
        <v>98</v>
      </c>
      <c r="M98"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98" s="69"/>
      <c r="O98" t="s">
        <v>177</v>
      </c>
      <c r="P98" s="76">
        <v>45508.052395833336</v>
      </c>
      <c r="Q98" t="s">
        <v>859</v>
      </c>
      <c r="R98" t="b">
        <v>0</v>
      </c>
      <c r="S98">
        <v>0</v>
      </c>
      <c r="T98">
        <v>0</v>
      </c>
      <c r="U98">
        <v>0</v>
      </c>
      <c r="V98">
        <v>0</v>
      </c>
      <c r="W98">
        <v>291</v>
      </c>
      <c r="Y98" s="78" t="str">
        <f>HYPERLINK("https://www.fmdos.cl/actualidad/sistema-de-admision-escolar-2025-conoce-como-postular-y-cuales-son-las-fechas-clave/")</f>
        <v>https://www.fmdos.cl/actualidad/sistema-de-admision-escolar-2025-conoce-como-postular-y-cuales-son-las-fechas-clave/</v>
      </c>
      <c r="Z98" t="s">
        <v>1158</v>
      </c>
      <c r="AD98" s="77" t="s">
        <v>1367</v>
      </c>
      <c r="AE98" t="s">
        <v>1385</v>
      </c>
      <c r="AF98" s="78" t="str">
        <f>HYPERLINK("https://twitter.com/fmdos/status/1819904953965572457")</f>
        <v>https://twitter.com/fmdos/status/1819904953965572457</v>
      </c>
      <c r="AG98" s="76">
        <v>45508.052395833336</v>
      </c>
      <c r="AH98" s="80">
        <v>45508</v>
      </c>
      <c r="AI98" s="77" t="s">
        <v>1540</v>
      </c>
      <c r="AJ98" t="b">
        <v>0</v>
      </c>
      <c r="AW98" s="78" t="str">
        <f>HYPERLINK("https://pbs.twimg.com/profile_images/1767633328130187264/CG97omhQ_normal.jpg")</f>
        <v>https://pbs.twimg.com/profile_images/1767633328130187264/CG97omhQ_normal.jpg</v>
      </c>
      <c r="AX98" s="77" t="s">
        <v>2025</v>
      </c>
      <c r="AY98" s="77" t="s">
        <v>2025</v>
      </c>
      <c r="BA98" s="77" t="s">
        <v>2494</v>
      </c>
      <c r="BB98" s="77" t="s">
        <v>2494</v>
      </c>
      <c r="BC98" s="77" t="s">
        <v>2494</v>
      </c>
      <c r="BD98" s="77" t="s">
        <v>2025</v>
      </c>
      <c r="BE98">
        <v>119391598</v>
      </c>
      <c r="BK98" s="112" t="str">
        <f>REPLACE(INDEX(GroupVertices[Group], MATCH("~"&amp;Edges[[#This Row],[Vertex 1]],GroupVertices[Vertex],0)),1,1,"")</f>
        <v>184</v>
      </c>
      <c r="BL98" s="112" t="str">
        <f>REPLACE(INDEX(GroupVertices[Group], MATCH("~"&amp;Edges[[#This Row],[Vertex 2]],GroupVertices[Vertex],0)),1,1,"")</f>
        <v>184</v>
      </c>
    </row>
    <row r="99" spans="1:64" x14ac:dyDescent="0.25">
      <c r="A99" s="61" t="s">
        <v>453</v>
      </c>
      <c r="B99" s="61" t="s">
        <v>452</v>
      </c>
      <c r="C99" s="62"/>
      <c r="D99" s="63"/>
      <c r="E99" s="64"/>
      <c r="F99" s="65"/>
      <c r="G99" s="62"/>
      <c r="H99" s="66"/>
      <c r="I99" s="67"/>
      <c r="J99" s="67"/>
      <c r="K99" s="31"/>
      <c r="L99" s="75">
        <v>99</v>
      </c>
      <c r="M99"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99" s="69"/>
      <c r="O99" t="s">
        <v>704</v>
      </c>
      <c r="P99" s="76">
        <v>45505.558252314811</v>
      </c>
      <c r="Q99" t="s">
        <v>1030</v>
      </c>
      <c r="R99" t="b">
        <v>0</v>
      </c>
      <c r="S99">
        <v>5</v>
      </c>
      <c r="T99">
        <v>8</v>
      </c>
      <c r="U99">
        <v>2</v>
      </c>
      <c r="V99">
        <v>0</v>
      </c>
      <c r="W99">
        <v>291</v>
      </c>
      <c r="AD99" s="77" t="s">
        <v>1366</v>
      </c>
      <c r="AE99" t="s">
        <v>1385</v>
      </c>
      <c r="AF99" s="78" t="str">
        <f>HYPERLINK("https://twitter.com/achormazabal/status/1819001105126150550")</f>
        <v>https://twitter.com/achormazabal/status/1819001105126150550</v>
      </c>
      <c r="AG99" s="76">
        <v>45505.558252314811</v>
      </c>
      <c r="AH99" s="80">
        <v>45505</v>
      </c>
      <c r="AI99" s="77" t="s">
        <v>1708</v>
      </c>
      <c r="AW99" s="78" t="str">
        <f>HYPERLINK("https://pbs.twimg.com/profile_images/1770870222045523968/KMEB-gkB_normal.jpg")</f>
        <v>https://pbs.twimg.com/profile_images/1770870222045523968/KMEB-gkB_normal.jpg</v>
      </c>
      <c r="AX99" s="77" t="s">
        <v>2196</v>
      </c>
      <c r="AY99" s="77" t="s">
        <v>2196</v>
      </c>
      <c r="BA99" s="77" t="s">
        <v>2494</v>
      </c>
      <c r="BB99" s="77" t="s">
        <v>2195</v>
      </c>
      <c r="BC99" s="77" t="s">
        <v>2494</v>
      </c>
      <c r="BD99" s="77" t="s">
        <v>2195</v>
      </c>
      <c r="BE99" s="77" t="s">
        <v>2626</v>
      </c>
      <c r="BK99" s="112" t="str">
        <f>REPLACE(INDEX(GroupVertices[Group], MATCH("~"&amp;Edges[[#This Row],[Vertex 1]],GroupVertices[Vertex],0)),1,1,"")</f>
        <v>99</v>
      </c>
      <c r="BL99" s="112" t="str">
        <f>REPLACE(INDEX(GroupVertices[Group], MATCH("~"&amp;Edges[[#This Row],[Vertex 2]],GroupVertices[Vertex],0)),1,1,"")</f>
        <v>99</v>
      </c>
    </row>
    <row r="100" spans="1:64" x14ac:dyDescent="0.25">
      <c r="A100" s="61" t="s">
        <v>308</v>
      </c>
      <c r="B100" s="61" t="s">
        <v>308</v>
      </c>
      <c r="C100" s="62"/>
      <c r="D100" s="63"/>
      <c r="E100" s="64"/>
      <c r="F100" s="65"/>
      <c r="G100" s="62"/>
      <c r="H100" s="66"/>
      <c r="I100" s="67"/>
      <c r="J100" s="67"/>
      <c r="K100" s="31"/>
      <c r="L100" s="75">
        <v>100</v>
      </c>
      <c r="M100"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00" s="69"/>
      <c r="O100" t="s">
        <v>177</v>
      </c>
      <c r="P100" s="76">
        <v>45510.168391203704</v>
      </c>
      <c r="Q100" t="s">
        <v>858</v>
      </c>
      <c r="R100" t="b">
        <v>0</v>
      </c>
      <c r="S100">
        <v>1</v>
      </c>
      <c r="T100">
        <v>1</v>
      </c>
      <c r="U100">
        <v>0</v>
      </c>
      <c r="V100">
        <v>0</v>
      </c>
      <c r="W100">
        <v>287</v>
      </c>
      <c r="Y100" s="78" t="str">
        <f>HYPERLINK("https://puranoticia.pnt.cl/regiones/102-puntos-de-apoyo-se-han-dispuesto-en-la-region-de-valparaiso-para-el")</f>
        <v>https://puranoticia.pnt.cl/regiones/102-puntos-de-apoyo-se-han-dispuesto-en-la-region-de-valparaiso-para-el</v>
      </c>
      <c r="Z100" t="s">
        <v>1157</v>
      </c>
      <c r="AB100" t="s">
        <v>1290</v>
      </c>
      <c r="AC100" t="s">
        <v>1359</v>
      </c>
      <c r="AD100" s="77" t="s">
        <v>1367</v>
      </c>
      <c r="AE100" t="s">
        <v>1385</v>
      </c>
      <c r="AF100" s="78" t="str">
        <f>HYPERLINK("https://twitter.com/puranoticia/status/1820671764352926017")</f>
        <v>https://twitter.com/puranoticia/status/1820671764352926017</v>
      </c>
      <c r="AG100" s="76">
        <v>45510.168391203704</v>
      </c>
      <c r="AH100" s="80">
        <v>45510</v>
      </c>
      <c r="AI100" s="77" t="s">
        <v>1539</v>
      </c>
      <c r="AJ100" t="b">
        <v>0</v>
      </c>
      <c r="AR100" t="s">
        <v>1803</v>
      </c>
      <c r="AW100" s="78" t="str">
        <f>HYPERLINK("https://pbs.twimg.com/media/GURTUMeW0AAWL7q.jpg")</f>
        <v>https://pbs.twimg.com/media/GURTUMeW0AAWL7q.jpg</v>
      </c>
      <c r="AX100" s="77" t="s">
        <v>2024</v>
      </c>
      <c r="AY100" s="77" t="s">
        <v>2024</v>
      </c>
      <c r="BA100" s="77" t="s">
        <v>2494</v>
      </c>
      <c r="BB100" s="77" t="s">
        <v>2494</v>
      </c>
      <c r="BC100" s="77" t="s">
        <v>2494</v>
      </c>
      <c r="BD100" s="77" t="s">
        <v>2024</v>
      </c>
      <c r="BE100">
        <v>183664445</v>
      </c>
      <c r="BK100" s="112" t="str">
        <f>REPLACE(INDEX(GroupVertices[Group], MATCH("~"&amp;Edges[[#This Row],[Vertex 1]],GroupVertices[Vertex],0)),1,1,"")</f>
        <v>183</v>
      </c>
      <c r="BL100" s="112" t="str">
        <f>REPLACE(INDEX(GroupVertices[Group], MATCH("~"&amp;Edges[[#This Row],[Vertex 2]],GroupVertices[Vertex],0)),1,1,"")</f>
        <v>183</v>
      </c>
    </row>
    <row r="101" spans="1:64" x14ac:dyDescent="0.25">
      <c r="A101" s="61" t="s">
        <v>431</v>
      </c>
      <c r="B101" s="61" t="s">
        <v>431</v>
      </c>
      <c r="C101" s="62"/>
      <c r="D101" s="63"/>
      <c r="E101" s="64"/>
      <c r="F101" s="65"/>
      <c r="G101" s="62"/>
      <c r="H101" s="66"/>
      <c r="I101" s="67"/>
      <c r="J101" s="67"/>
      <c r="K101" s="31"/>
      <c r="L101" s="75">
        <v>101</v>
      </c>
      <c r="M101"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01" s="69"/>
      <c r="O101" t="s">
        <v>177</v>
      </c>
      <c r="P101" s="76">
        <v>45509.907939814817</v>
      </c>
      <c r="Q101" t="s">
        <v>1006</v>
      </c>
      <c r="R101" t="b">
        <v>0</v>
      </c>
      <c r="S101">
        <v>0</v>
      </c>
      <c r="T101">
        <v>1</v>
      </c>
      <c r="U101">
        <v>2</v>
      </c>
      <c r="V101">
        <v>0</v>
      </c>
      <c r="W101">
        <v>287</v>
      </c>
      <c r="AD101" s="77" t="s">
        <v>1367</v>
      </c>
      <c r="AE101" t="s">
        <v>1385</v>
      </c>
      <c r="AF101" s="78" t="str">
        <f>HYPERLINK("https://twitter.com/elchappa/status/1820577377732251841")</f>
        <v>https://twitter.com/elchappa/status/1820577377732251841</v>
      </c>
      <c r="AG101" s="76">
        <v>45509.907939814817</v>
      </c>
      <c r="AH101" s="80">
        <v>45509</v>
      </c>
      <c r="AI101" s="77" t="s">
        <v>1684</v>
      </c>
      <c r="AW101" s="78" t="str">
        <f>HYPERLINK("https://pbs.twimg.com/profile_images/1839300245714513922/jC2vA0-A_normal.jpg")</f>
        <v>https://pbs.twimg.com/profile_images/1839300245714513922/jC2vA0-A_normal.jpg</v>
      </c>
      <c r="AX101" s="77" t="s">
        <v>2172</v>
      </c>
      <c r="AY101" s="77" t="s">
        <v>2172</v>
      </c>
      <c r="BA101" s="77" t="s">
        <v>2494</v>
      </c>
      <c r="BB101" s="77" t="s">
        <v>2494</v>
      </c>
      <c r="BC101" s="77" t="s">
        <v>2494</v>
      </c>
      <c r="BD101" s="77" t="s">
        <v>2172</v>
      </c>
      <c r="BE101">
        <v>107179612</v>
      </c>
      <c r="BK101" s="112" t="str">
        <f>REPLACE(INDEX(GroupVertices[Group], MATCH("~"&amp;Edges[[#This Row],[Vertex 1]],GroupVertices[Vertex],0)),1,1,"")</f>
        <v>182</v>
      </c>
      <c r="BL101" s="112" t="str">
        <f>REPLACE(INDEX(GroupVertices[Group], MATCH("~"&amp;Edges[[#This Row],[Vertex 2]],GroupVertices[Vertex],0)),1,1,"")</f>
        <v>182</v>
      </c>
    </row>
    <row r="102" spans="1:64" x14ac:dyDescent="0.25">
      <c r="A102" s="61" t="s">
        <v>406</v>
      </c>
      <c r="B102" s="61" t="s">
        <v>406</v>
      </c>
      <c r="C102" s="62"/>
      <c r="D102" s="63"/>
      <c r="E102" s="64"/>
      <c r="F102" s="65"/>
      <c r="G102" s="62"/>
      <c r="H102" s="66"/>
      <c r="I102" s="67"/>
      <c r="J102" s="67"/>
      <c r="K102" s="31"/>
      <c r="L102" s="75">
        <v>102</v>
      </c>
      <c r="M102"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02" s="69"/>
      <c r="O102" t="s">
        <v>177</v>
      </c>
      <c r="P102" s="76">
        <v>45506.594074074077</v>
      </c>
      <c r="Q102" t="s">
        <v>974</v>
      </c>
      <c r="R102" t="b">
        <v>0</v>
      </c>
      <c r="S102">
        <v>0</v>
      </c>
      <c r="T102">
        <v>0</v>
      </c>
      <c r="U102">
        <v>0</v>
      </c>
      <c r="V102">
        <v>0</v>
      </c>
      <c r="W102">
        <v>280</v>
      </c>
      <c r="X102" s="77" t="s">
        <v>1118</v>
      </c>
      <c r="Y102" s="78" t="str">
        <f>HYPERLINK("https://elreporterodeiquique.com/este-2-de-agosto-comienzan-las-postulaciones-a-establecimientos-educacionales-a-traves-del-sistema-de-admision-escolar/")</f>
        <v>https://elreporterodeiquique.com/este-2-de-agosto-comienzan-las-postulaciones-a-establecimientos-educacionales-a-traves-del-sistema-de-admision-escolar/</v>
      </c>
      <c r="Z102" t="s">
        <v>1183</v>
      </c>
      <c r="AD102" s="77" t="s">
        <v>1367</v>
      </c>
      <c r="AE102" t="s">
        <v>1385</v>
      </c>
      <c r="AF102" s="78" t="str">
        <f>HYPERLINK("https://twitter.com/reporteroiqq/status/1819376473221796082")</f>
        <v>https://twitter.com/reporteroiqq/status/1819376473221796082</v>
      </c>
      <c r="AG102" s="76">
        <v>45506.594074074077</v>
      </c>
      <c r="AH102" s="80">
        <v>45506</v>
      </c>
      <c r="AI102" s="77" t="s">
        <v>1654</v>
      </c>
      <c r="AJ102" t="b">
        <v>0</v>
      </c>
      <c r="AW102" s="78" t="str">
        <f>HYPERLINK("https://pbs.twimg.com/profile_images/1031341992104677376/9RQr9-UP_normal.jpg")</f>
        <v>https://pbs.twimg.com/profile_images/1031341992104677376/9RQr9-UP_normal.jpg</v>
      </c>
      <c r="AX102" s="77" t="s">
        <v>2140</v>
      </c>
      <c r="AY102" s="77" t="s">
        <v>2140</v>
      </c>
      <c r="BA102" s="77" t="s">
        <v>2494</v>
      </c>
      <c r="BB102" s="77" t="s">
        <v>2494</v>
      </c>
      <c r="BC102" s="77" t="s">
        <v>2494</v>
      </c>
      <c r="BD102" s="77" t="s">
        <v>2140</v>
      </c>
      <c r="BE102">
        <v>39364450</v>
      </c>
      <c r="BK102" s="112" t="str">
        <f>REPLACE(INDEX(GroupVertices[Group], MATCH("~"&amp;Edges[[#This Row],[Vertex 1]],GroupVertices[Vertex],0)),1,1,"")</f>
        <v>181</v>
      </c>
      <c r="BL102" s="112" t="str">
        <f>REPLACE(INDEX(GroupVertices[Group], MATCH("~"&amp;Edges[[#This Row],[Vertex 2]],GroupVertices[Vertex],0)),1,1,"")</f>
        <v>181</v>
      </c>
    </row>
    <row r="103" spans="1:64" x14ac:dyDescent="0.25">
      <c r="A103" s="61" t="s">
        <v>461</v>
      </c>
      <c r="B103" s="61" t="s">
        <v>461</v>
      </c>
      <c r="C103" s="62"/>
      <c r="D103" s="63"/>
      <c r="E103" s="64"/>
      <c r="F103" s="65"/>
      <c r="G103" s="62"/>
      <c r="H103" s="66"/>
      <c r="I103" s="67"/>
      <c r="J103" s="67"/>
      <c r="K103" s="31"/>
      <c r="L103" s="75">
        <v>103</v>
      </c>
      <c r="M103"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03" s="69"/>
      <c r="O103" t="s">
        <v>177</v>
      </c>
      <c r="P103" s="76">
        <v>45509.959398148145</v>
      </c>
      <c r="Q103" t="s">
        <v>1038</v>
      </c>
      <c r="R103" t="b">
        <v>0</v>
      </c>
      <c r="S103">
        <v>0</v>
      </c>
      <c r="T103">
        <v>1</v>
      </c>
      <c r="U103">
        <v>1</v>
      </c>
      <c r="V103">
        <v>0</v>
      </c>
      <c r="W103">
        <v>278</v>
      </c>
      <c r="X103" s="77" t="s">
        <v>1123</v>
      </c>
      <c r="AB103" t="s">
        <v>1348</v>
      </c>
      <c r="AC103" t="s">
        <v>1364</v>
      </c>
      <c r="AD103" s="77" t="s">
        <v>1367</v>
      </c>
      <c r="AE103" t="s">
        <v>1385</v>
      </c>
      <c r="AF103" s="78" t="str">
        <f>HYPERLINK("https://twitter.com/justiciaeduc/status/1820596028875149812")</f>
        <v>https://twitter.com/justiciaeduc/status/1820596028875149812</v>
      </c>
      <c r="AG103" s="76">
        <v>45509.959398148145</v>
      </c>
      <c r="AH103" s="80">
        <v>45509</v>
      </c>
      <c r="AI103" s="77" t="s">
        <v>1716</v>
      </c>
      <c r="AJ103" t="b">
        <v>0</v>
      </c>
      <c r="AR103" t="s">
        <v>1861</v>
      </c>
      <c r="AW103" s="78" t="str">
        <f>HYPERLINK("https://pbs.twimg.com/media/GUQN6yCW4AA2gJj.jpg")</f>
        <v>https://pbs.twimg.com/media/GUQN6yCW4AA2gJj.jpg</v>
      </c>
      <c r="AX103" s="77" t="s">
        <v>2204</v>
      </c>
      <c r="AY103" s="77" t="s">
        <v>2204</v>
      </c>
      <c r="BA103" s="77" t="s">
        <v>2494</v>
      </c>
      <c r="BB103" s="77" t="s">
        <v>2494</v>
      </c>
      <c r="BC103" s="77" t="s">
        <v>2494</v>
      </c>
      <c r="BD103" s="77" t="s">
        <v>2204</v>
      </c>
      <c r="BE103" s="77" t="s">
        <v>2628</v>
      </c>
      <c r="BK103" s="112" t="str">
        <f>REPLACE(INDEX(GroupVertices[Group], MATCH("~"&amp;Edges[[#This Row],[Vertex 1]],GroupVertices[Vertex],0)),1,1,"")</f>
        <v>1</v>
      </c>
      <c r="BL103" s="112" t="str">
        <f>REPLACE(INDEX(GroupVertices[Group], MATCH("~"&amp;Edges[[#This Row],[Vertex 2]],GroupVertices[Vertex],0)),1,1,"")</f>
        <v>1</v>
      </c>
    </row>
    <row r="104" spans="1:64" x14ac:dyDescent="0.25">
      <c r="A104" s="61" t="s">
        <v>393</v>
      </c>
      <c r="B104" s="61" t="s">
        <v>393</v>
      </c>
      <c r="C104" s="62"/>
      <c r="D104" s="63"/>
      <c r="E104" s="64"/>
      <c r="F104" s="65"/>
      <c r="G104" s="62"/>
      <c r="H104" s="66"/>
      <c r="I104" s="67"/>
      <c r="J104" s="67"/>
      <c r="K104" s="31"/>
      <c r="L104" s="75">
        <v>104</v>
      </c>
      <c r="M104"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04" s="69"/>
      <c r="O104" t="s">
        <v>177</v>
      </c>
      <c r="P104" s="76">
        <v>45506.411886574075</v>
      </c>
      <c r="Q104" t="s">
        <v>960</v>
      </c>
      <c r="R104" t="b">
        <v>0</v>
      </c>
      <c r="S104">
        <v>0</v>
      </c>
      <c r="T104">
        <v>0</v>
      </c>
      <c r="U104">
        <v>0</v>
      </c>
      <c r="V104">
        <v>0</v>
      </c>
      <c r="W104">
        <v>263</v>
      </c>
      <c r="AB104" t="s">
        <v>1325</v>
      </c>
      <c r="AC104" t="s">
        <v>1363</v>
      </c>
      <c r="AD104" s="77" t="s">
        <v>1367</v>
      </c>
      <c r="AE104" t="s">
        <v>1385</v>
      </c>
      <c r="AF104" s="78" t="str">
        <f>HYPERLINK("https://twitter.com/radiocomarca/status/1819310452075082084")</f>
        <v>https://twitter.com/radiocomarca/status/1819310452075082084</v>
      </c>
      <c r="AG104" s="76">
        <v>45506.411886574075</v>
      </c>
      <c r="AH104" s="80">
        <v>45506</v>
      </c>
      <c r="AI104" s="77" t="s">
        <v>1640</v>
      </c>
      <c r="AJ104" t="b">
        <v>0</v>
      </c>
      <c r="AR104" t="s">
        <v>1838</v>
      </c>
      <c r="AW104" s="78" t="str">
        <f>HYPERLINK("https://pbs.twimg.com/media/GT99MlhXEAAzlnf.jpg")</f>
        <v>https://pbs.twimg.com/media/GT99MlhXEAAzlnf.jpg</v>
      </c>
      <c r="AX104" s="77" t="s">
        <v>2126</v>
      </c>
      <c r="AY104" s="77" t="s">
        <v>2126</v>
      </c>
      <c r="BA104" s="77" t="s">
        <v>2494</v>
      </c>
      <c r="BB104" s="77" t="s">
        <v>2494</v>
      </c>
      <c r="BC104" s="77" t="s">
        <v>2494</v>
      </c>
      <c r="BD104" s="77" t="s">
        <v>2126</v>
      </c>
      <c r="BE104">
        <v>1427628236</v>
      </c>
      <c r="BK104" s="112" t="str">
        <f>REPLACE(INDEX(GroupVertices[Group], MATCH("~"&amp;Edges[[#This Row],[Vertex 1]],GroupVertices[Vertex],0)),1,1,"")</f>
        <v>180</v>
      </c>
      <c r="BL104" s="112" t="str">
        <f>REPLACE(INDEX(GroupVertices[Group], MATCH("~"&amp;Edges[[#This Row],[Vertex 2]],GroupVertices[Vertex],0)),1,1,"")</f>
        <v>180</v>
      </c>
    </row>
    <row r="105" spans="1:64" x14ac:dyDescent="0.25">
      <c r="A105" s="61" t="s">
        <v>441</v>
      </c>
      <c r="B105" s="61" t="s">
        <v>441</v>
      </c>
      <c r="C105" s="62"/>
      <c r="D105" s="63"/>
      <c r="E105" s="64"/>
      <c r="F105" s="65"/>
      <c r="G105" s="62"/>
      <c r="H105" s="66"/>
      <c r="I105" s="67"/>
      <c r="J105" s="67"/>
      <c r="K105" s="31"/>
      <c r="L105" s="75">
        <v>105</v>
      </c>
      <c r="M105"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05" s="69"/>
      <c r="O105" t="s">
        <v>177</v>
      </c>
      <c r="P105" s="76">
        <v>45508.633645833332</v>
      </c>
      <c r="Q105" t="s">
        <v>1016</v>
      </c>
      <c r="R105" t="b">
        <v>0</v>
      </c>
      <c r="S105">
        <v>0</v>
      </c>
      <c r="T105">
        <v>0</v>
      </c>
      <c r="U105">
        <v>0</v>
      </c>
      <c r="V105">
        <v>0</v>
      </c>
      <c r="W105">
        <v>263</v>
      </c>
      <c r="Y105" s="78" t="str">
        <f>HYPERLINK("https://www.paislobo.cl/2024/08/sistema-de-admision-escolar-sae-los.html")</f>
        <v>https://www.paislobo.cl/2024/08/sistema-de-admision-escolar-sae-los.html</v>
      </c>
      <c r="Z105" t="s">
        <v>1194</v>
      </c>
      <c r="AD105" s="77" t="s">
        <v>1367</v>
      </c>
      <c r="AE105" t="s">
        <v>1385</v>
      </c>
      <c r="AF105" s="78" t="str">
        <f>HYPERLINK("https://twitter.com/paislobo/status/1820115589072822574")</f>
        <v>https://twitter.com/paislobo/status/1820115589072822574</v>
      </c>
      <c r="AG105" s="76">
        <v>45508.633645833332</v>
      </c>
      <c r="AH105" s="80">
        <v>45508</v>
      </c>
      <c r="AI105" s="77" t="s">
        <v>1694</v>
      </c>
      <c r="AJ105" t="b">
        <v>0</v>
      </c>
      <c r="AW105" s="78" t="str">
        <f>HYPERLINK("https://pbs.twimg.com/profile_images/1692931351882743809/Zs5214DT_normal.jpg")</f>
        <v>https://pbs.twimg.com/profile_images/1692931351882743809/Zs5214DT_normal.jpg</v>
      </c>
      <c r="AX105" s="77" t="s">
        <v>2182</v>
      </c>
      <c r="AY105" s="77" t="s">
        <v>2182</v>
      </c>
      <c r="BA105" s="77" t="s">
        <v>2494</v>
      </c>
      <c r="BB105" s="77" t="s">
        <v>2494</v>
      </c>
      <c r="BC105" s="77" t="s">
        <v>2494</v>
      </c>
      <c r="BD105" s="77" t="s">
        <v>2182</v>
      </c>
      <c r="BE105">
        <v>18572502</v>
      </c>
      <c r="BK105" s="112" t="str">
        <f>REPLACE(INDEX(GroupVertices[Group], MATCH("~"&amp;Edges[[#This Row],[Vertex 1]],GroupVertices[Vertex],0)),1,1,"")</f>
        <v>179</v>
      </c>
      <c r="BL105" s="112" t="str">
        <f>REPLACE(INDEX(GroupVertices[Group], MATCH("~"&amp;Edges[[#This Row],[Vertex 2]],GroupVertices[Vertex],0)),1,1,"")</f>
        <v>179</v>
      </c>
    </row>
    <row r="106" spans="1:64" x14ac:dyDescent="0.25">
      <c r="A106" s="61" t="s">
        <v>418</v>
      </c>
      <c r="B106" s="61" t="s">
        <v>552</v>
      </c>
      <c r="C106" s="62"/>
      <c r="D106" s="63"/>
      <c r="E106" s="64"/>
      <c r="F106" s="65"/>
      <c r="G106" s="62"/>
      <c r="H106" s="66"/>
      <c r="I106" s="67"/>
      <c r="J106" s="67"/>
      <c r="K106" s="31"/>
      <c r="L106" s="75">
        <v>106</v>
      </c>
      <c r="M106"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06" s="69"/>
      <c r="O106" t="s">
        <v>703</v>
      </c>
      <c r="P106" s="76">
        <v>45510.316666666666</v>
      </c>
      <c r="Q106" t="s">
        <v>988</v>
      </c>
      <c r="R106" t="b">
        <v>0</v>
      </c>
      <c r="S106">
        <v>0</v>
      </c>
      <c r="T106">
        <v>5</v>
      </c>
      <c r="U106">
        <v>2</v>
      </c>
      <c r="V106">
        <v>0</v>
      </c>
      <c r="W106">
        <v>261</v>
      </c>
      <c r="AA106" t="s">
        <v>1255</v>
      </c>
      <c r="AD106" s="77" t="s">
        <v>1365</v>
      </c>
      <c r="AE106" t="s">
        <v>1385</v>
      </c>
      <c r="AF106" s="78" t="str">
        <f>HYPERLINK("https://twitter.com/puck455/status/1820725498516787320")</f>
        <v>https://twitter.com/puck455/status/1820725498516787320</v>
      </c>
      <c r="AG106" s="76">
        <v>45510.316666666666</v>
      </c>
      <c r="AH106" s="80">
        <v>45510</v>
      </c>
      <c r="AI106" s="77" t="s">
        <v>1668</v>
      </c>
      <c r="AW106" s="78" t="str">
        <f>HYPERLINK("https://pbs.twimg.com/profile_images/1677462135348011008/xuZnODw4_normal.jpg")</f>
        <v>https://pbs.twimg.com/profile_images/1677462135348011008/xuZnODw4_normal.jpg</v>
      </c>
      <c r="AX106" s="77" t="s">
        <v>2154</v>
      </c>
      <c r="AY106" s="77" t="s">
        <v>2282</v>
      </c>
      <c r="AZ106" s="77" t="s">
        <v>2466</v>
      </c>
      <c r="BA106" s="77" t="s">
        <v>2153</v>
      </c>
      <c r="BB106" s="77" t="s">
        <v>2494</v>
      </c>
      <c r="BC106" s="77" t="s">
        <v>2494</v>
      </c>
      <c r="BD106" s="77" t="s">
        <v>2153</v>
      </c>
      <c r="BE106" s="77" t="s">
        <v>2401</v>
      </c>
      <c r="BK106" s="112" t="str">
        <f>REPLACE(INDEX(GroupVertices[Group], MATCH("~"&amp;Edges[[#This Row],[Vertex 1]],GroupVertices[Vertex],0)),1,1,"")</f>
        <v>16</v>
      </c>
      <c r="BL106" s="112" t="str">
        <f>REPLACE(INDEX(GroupVertices[Group], MATCH("~"&amp;Edges[[#This Row],[Vertex 2]],GroupVertices[Vertex],0)),1,1,"")</f>
        <v>16</v>
      </c>
    </row>
    <row r="107" spans="1:64" x14ac:dyDescent="0.25">
      <c r="A107" s="61" t="s">
        <v>418</v>
      </c>
      <c r="B107" s="61" t="s">
        <v>362</v>
      </c>
      <c r="C107" s="62"/>
      <c r="D107" s="63"/>
      <c r="E107" s="64"/>
      <c r="F107" s="65"/>
      <c r="G107" s="62"/>
      <c r="H107" s="66"/>
      <c r="I107" s="67"/>
      <c r="J107" s="67"/>
      <c r="K107" s="31"/>
      <c r="L107" s="75">
        <v>107</v>
      </c>
      <c r="M107"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07" s="69"/>
      <c r="O107" t="s">
        <v>701</v>
      </c>
      <c r="P107" s="76">
        <v>45510.316666666666</v>
      </c>
      <c r="Q107" t="s">
        <v>988</v>
      </c>
      <c r="R107" t="b">
        <v>0</v>
      </c>
      <c r="S107">
        <v>0</v>
      </c>
      <c r="T107">
        <v>5</v>
      </c>
      <c r="U107">
        <v>2</v>
      </c>
      <c r="V107">
        <v>0</v>
      </c>
      <c r="W107">
        <v>261</v>
      </c>
      <c r="AA107" t="s">
        <v>1255</v>
      </c>
      <c r="AD107" s="77" t="s">
        <v>1365</v>
      </c>
      <c r="AE107" t="s">
        <v>1385</v>
      </c>
      <c r="AF107" s="78" t="str">
        <f>HYPERLINK("https://twitter.com/puck455/status/1820725498516787320")</f>
        <v>https://twitter.com/puck455/status/1820725498516787320</v>
      </c>
      <c r="AG107" s="76">
        <v>45510.316666666666</v>
      </c>
      <c r="AH107" s="80">
        <v>45510</v>
      </c>
      <c r="AI107" s="77" t="s">
        <v>1668</v>
      </c>
      <c r="AW107" s="78" t="str">
        <f>HYPERLINK("https://pbs.twimg.com/profile_images/1677462135348011008/xuZnODw4_normal.jpg")</f>
        <v>https://pbs.twimg.com/profile_images/1677462135348011008/xuZnODw4_normal.jpg</v>
      </c>
      <c r="AX107" s="77" t="s">
        <v>2154</v>
      </c>
      <c r="AY107" s="77" t="s">
        <v>2282</v>
      </c>
      <c r="AZ107" s="77" t="s">
        <v>2466</v>
      </c>
      <c r="BA107" s="77" t="s">
        <v>2153</v>
      </c>
      <c r="BB107" s="77" t="s">
        <v>2494</v>
      </c>
      <c r="BC107" s="77" t="s">
        <v>2494</v>
      </c>
      <c r="BD107" s="77" t="s">
        <v>2153</v>
      </c>
      <c r="BE107" s="77" t="s">
        <v>2401</v>
      </c>
      <c r="BK107" s="112" t="str">
        <f>REPLACE(INDEX(GroupVertices[Group], MATCH("~"&amp;Edges[[#This Row],[Vertex 1]],GroupVertices[Vertex],0)),1,1,"")</f>
        <v>16</v>
      </c>
      <c r="BL107" s="112" t="str">
        <f>REPLACE(INDEX(GroupVertices[Group], MATCH("~"&amp;Edges[[#This Row],[Vertex 2]],GroupVertices[Vertex],0)),1,1,"")</f>
        <v>16</v>
      </c>
    </row>
    <row r="108" spans="1:64" x14ac:dyDescent="0.25">
      <c r="A108" s="61" t="s">
        <v>224</v>
      </c>
      <c r="B108" s="61" t="s">
        <v>224</v>
      </c>
      <c r="C108" s="62"/>
      <c r="D108" s="63"/>
      <c r="E108" s="64"/>
      <c r="F108" s="65"/>
      <c r="G108" s="62"/>
      <c r="H108" s="66"/>
      <c r="I108" s="67"/>
      <c r="J108" s="67"/>
      <c r="K108" s="31"/>
      <c r="L108" s="75">
        <v>108</v>
      </c>
      <c r="M108"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08" s="69"/>
      <c r="O108" t="s">
        <v>177</v>
      </c>
      <c r="P108" s="76">
        <v>45510.012349537035</v>
      </c>
      <c r="Q108" t="s">
        <v>707</v>
      </c>
      <c r="R108" t="b">
        <v>0</v>
      </c>
      <c r="S108">
        <v>0</v>
      </c>
      <c r="T108">
        <v>8</v>
      </c>
      <c r="U108">
        <v>1</v>
      </c>
      <c r="V108">
        <v>0</v>
      </c>
      <c r="W108">
        <v>256</v>
      </c>
      <c r="AD108" s="77" t="s">
        <v>1365</v>
      </c>
      <c r="AE108" t="s">
        <v>1385</v>
      </c>
      <c r="AF108" s="78" t="str">
        <f>HYPERLINK("https://twitter.com/pame_q/status/1820615214171103438")</f>
        <v>https://twitter.com/pame_q/status/1820615214171103438</v>
      </c>
      <c r="AG108" s="76">
        <v>45510.012349537035</v>
      </c>
      <c r="AH108" s="80">
        <v>45510</v>
      </c>
      <c r="AI108" s="77" t="s">
        <v>1389</v>
      </c>
      <c r="AW108" s="78" t="str">
        <f>HYPERLINK("https://pbs.twimg.com/profile_images/1867974267037483008/6eGxr_j9_normal.jpg")</f>
        <v>https://pbs.twimg.com/profile_images/1867974267037483008/6eGxr_j9_normal.jpg</v>
      </c>
      <c r="AX108" s="77" t="s">
        <v>1873</v>
      </c>
      <c r="AY108" s="77" t="s">
        <v>1873</v>
      </c>
      <c r="BA108" s="77" t="s">
        <v>2494</v>
      </c>
      <c r="BB108" s="77" t="s">
        <v>2494</v>
      </c>
      <c r="BC108" s="77" t="s">
        <v>2494</v>
      </c>
      <c r="BD108" s="77" t="s">
        <v>1873</v>
      </c>
      <c r="BE108">
        <v>40484758</v>
      </c>
      <c r="BK108" s="112" t="str">
        <f>REPLACE(INDEX(GroupVertices[Group], MATCH("~"&amp;Edges[[#This Row],[Vertex 1]],GroupVertices[Vertex],0)),1,1,"")</f>
        <v>178</v>
      </c>
      <c r="BL108" s="112" t="str">
        <f>REPLACE(INDEX(GroupVertices[Group], MATCH("~"&amp;Edges[[#This Row],[Vertex 2]],GroupVertices[Vertex],0)),1,1,"")</f>
        <v>178</v>
      </c>
    </row>
    <row r="109" spans="1:64" x14ac:dyDescent="0.25">
      <c r="A109" s="61" t="s">
        <v>394</v>
      </c>
      <c r="B109" s="61" t="s">
        <v>394</v>
      </c>
      <c r="C109" s="62"/>
      <c r="D109" s="63"/>
      <c r="E109" s="64"/>
      <c r="F109" s="65"/>
      <c r="G109" s="62"/>
      <c r="H109" s="66"/>
      <c r="I109" s="67"/>
      <c r="J109" s="67"/>
      <c r="K109" s="31"/>
      <c r="L109" s="75">
        <v>109</v>
      </c>
      <c r="M109"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0</v>
      </c>
      <c r="N109" s="69"/>
      <c r="O109" t="s">
        <v>177</v>
      </c>
      <c r="P109" s="76">
        <v>45504.938356481478</v>
      </c>
      <c r="Q109" t="s">
        <v>961</v>
      </c>
      <c r="R109" t="b">
        <v>1</v>
      </c>
      <c r="S109">
        <v>10531</v>
      </c>
      <c r="T109">
        <v>106393</v>
      </c>
      <c r="U109">
        <v>743</v>
      </c>
      <c r="V109">
        <v>514</v>
      </c>
      <c r="W109">
        <v>252</v>
      </c>
      <c r="AB109" t="s">
        <v>1326</v>
      </c>
      <c r="AC109" t="s">
        <v>1364</v>
      </c>
      <c r="AD109" s="77" t="s">
        <v>1366</v>
      </c>
      <c r="AE109" t="s">
        <v>1385</v>
      </c>
      <c r="AF109" s="78" t="str">
        <f>HYPERLINK("https://twitter.com/ceciarmy/status/1818776464273133998")</f>
        <v>https://twitter.com/ceciarmy/status/1818776464273133998</v>
      </c>
      <c r="AG109" s="76">
        <v>45504.938356481478</v>
      </c>
      <c r="AH109" s="80">
        <v>45504</v>
      </c>
      <c r="AI109" s="77" t="s">
        <v>1641</v>
      </c>
      <c r="AJ109" t="b">
        <v>0</v>
      </c>
      <c r="AR109" t="s">
        <v>1839</v>
      </c>
      <c r="AW109" s="78" t="str">
        <f>HYPERLINK("https://pbs.twimg.com/media/GT2XjLnWUAA230x.jpg")</f>
        <v>https://pbs.twimg.com/media/GT2XjLnWUAA230x.jpg</v>
      </c>
      <c r="AX109" s="77" t="s">
        <v>2127</v>
      </c>
      <c r="AY109" s="77" t="s">
        <v>2127</v>
      </c>
      <c r="BA109" s="77" t="s">
        <v>2494</v>
      </c>
      <c r="BB109" s="77" t="s">
        <v>2494</v>
      </c>
      <c r="BC109" s="77" t="s">
        <v>2494</v>
      </c>
      <c r="BD109" s="77" t="s">
        <v>2127</v>
      </c>
      <c r="BE109" s="77" t="s">
        <v>2604</v>
      </c>
      <c r="BK109" s="112" t="str">
        <f>REPLACE(INDEX(GroupVertices[Group], MATCH("~"&amp;Edges[[#This Row],[Vertex 1]],GroupVertices[Vertex],0)),1,1,"")</f>
        <v>73</v>
      </c>
      <c r="BL109" s="112" t="str">
        <f>REPLACE(INDEX(GroupVertices[Group], MATCH("~"&amp;Edges[[#This Row],[Vertex 2]],GroupVertices[Vertex],0)),1,1,"")</f>
        <v>73</v>
      </c>
    </row>
    <row r="110" spans="1:64" x14ac:dyDescent="0.25">
      <c r="A110" s="61" t="s">
        <v>255</v>
      </c>
      <c r="B110" s="61" t="s">
        <v>534</v>
      </c>
      <c r="C110" s="62"/>
      <c r="D110" s="63"/>
      <c r="E110" s="64"/>
      <c r="F110" s="65"/>
      <c r="G110" s="62"/>
      <c r="H110" s="66"/>
      <c r="I110" s="67"/>
      <c r="J110" s="67"/>
      <c r="K110" s="31"/>
      <c r="L110" s="75">
        <v>110</v>
      </c>
      <c r="M110"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10" s="69"/>
      <c r="O110" t="s">
        <v>702</v>
      </c>
      <c r="P110" s="76">
        <v>45506.427083333336</v>
      </c>
      <c r="Q110" t="s">
        <v>748</v>
      </c>
      <c r="R110" t="b">
        <v>0</v>
      </c>
      <c r="S110">
        <v>0</v>
      </c>
      <c r="T110">
        <v>0</v>
      </c>
      <c r="U110">
        <v>0</v>
      </c>
      <c r="V110">
        <v>0</v>
      </c>
      <c r="W110">
        <v>245</v>
      </c>
      <c r="Y110" s="78" t="str">
        <f>HYPERLINK("https://cadenaser.com/comunitat-valenciana/2024/08/02/decenas-de-familias-de-sagunt-denuncian-el-caos-en-la-admision-escolar-por-la-falta-de-recursos-radio-valencia/")</f>
        <v>https://cadenaser.com/comunitat-valenciana/2024/08/02/decenas-de-familias-de-sagunt-denuncian-el-caos-en-la-admision-escolar-por-la-falta-de-recursos-radio-valencia/</v>
      </c>
      <c r="Z110" t="s">
        <v>1142</v>
      </c>
      <c r="AA110" t="s">
        <v>534</v>
      </c>
      <c r="AD110" s="77" t="s">
        <v>1367</v>
      </c>
      <c r="AE110" t="s">
        <v>1385</v>
      </c>
      <c r="AF110" s="78" t="str">
        <f>HYPERLINK("https://twitter.com/radiovalencia/status/1819315957640094180")</f>
        <v>https://twitter.com/radiovalencia/status/1819315957640094180</v>
      </c>
      <c r="AG110" s="76">
        <v>45506.427083333336</v>
      </c>
      <c r="AH110" s="80">
        <v>45506</v>
      </c>
      <c r="AI110" s="77" t="s">
        <v>1430</v>
      </c>
      <c r="AJ110" t="b">
        <v>0</v>
      </c>
      <c r="AW110" s="78" t="str">
        <f>HYPERLINK("https://pbs.twimg.com/profile_images/1370085384068153344/uPAA_LP9_normal.jpg")</f>
        <v>https://pbs.twimg.com/profile_images/1370085384068153344/uPAA_LP9_normal.jpg</v>
      </c>
      <c r="AX110" s="77" t="s">
        <v>1914</v>
      </c>
      <c r="AY110" s="77" t="s">
        <v>1914</v>
      </c>
      <c r="BA110" s="77" t="s">
        <v>2494</v>
      </c>
      <c r="BB110" s="77" t="s">
        <v>2494</v>
      </c>
      <c r="BC110" s="77" t="s">
        <v>2494</v>
      </c>
      <c r="BD110" s="77" t="s">
        <v>1914</v>
      </c>
      <c r="BE110">
        <v>402013017</v>
      </c>
      <c r="BK110" s="112" t="str">
        <f>REPLACE(INDEX(GroupVertices[Group], MATCH("~"&amp;Edges[[#This Row],[Vertex 1]],GroupVertices[Vertex],0)),1,1,"")</f>
        <v>98</v>
      </c>
      <c r="BL110" s="112" t="str">
        <f>REPLACE(INDEX(GroupVertices[Group], MATCH("~"&amp;Edges[[#This Row],[Vertex 2]],GroupVertices[Vertex],0)),1,1,"")</f>
        <v>98</v>
      </c>
    </row>
    <row r="111" spans="1:64" x14ac:dyDescent="0.25">
      <c r="A111" s="61" t="s">
        <v>436</v>
      </c>
      <c r="B111" s="61" t="s">
        <v>436</v>
      </c>
      <c r="C111" s="62"/>
      <c r="D111" s="63"/>
      <c r="E111" s="64"/>
      <c r="F111" s="65"/>
      <c r="G111" s="62"/>
      <c r="H111" s="66"/>
      <c r="I111" s="67"/>
      <c r="J111" s="67"/>
      <c r="K111" s="31"/>
      <c r="L111" s="75">
        <v>111</v>
      </c>
      <c r="M111"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11" s="69"/>
      <c r="O111" t="s">
        <v>702</v>
      </c>
      <c r="P111" s="76">
        <v>45506.563854166663</v>
      </c>
      <c r="Q111" t="s">
        <v>1011</v>
      </c>
      <c r="R111" t="b">
        <v>0</v>
      </c>
      <c r="S111">
        <v>0</v>
      </c>
      <c r="T111">
        <v>0</v>
      </c>
      <c r="U111">
        <v>0</v>
      </c>
      <c r="V111">
        <v>0</v>
      </c>
      <c r="W111">
        <v>228</v>
      </c>
      <c r="Y111" s="78" t="str">
        <f>HYPERLINK("https://radiopaulina.cl/2024/08/02/comienzan-las-postulaciones-a-establecimientos-educacionales-a-traves-del-sistema-de-admision-escolar/")</f>
        <v>https://radiopaulina.cl/2024/08/02/comienzan-las-postulaciones-a-establecimientos-educacionales-a-traves-del-sistema-de-admision-escolar/</v>
      </c>
      <c r="Z111" t="s">
        <v>1193</v>
      </c>
      <c r="AA111" t="s">
        <v>436</v>
      </c>
      <c r="AD111" s="77" t="s">
        <v>1367</v>
      </c>
      <c r="AE111" t="s">
        <v>1385</v>
      </c>
      <c r="AF111" s="78" t="str">
        <f>HYPERLINK("https://twitter.com/radiopaulina/status/1819365522351280458")</f>
        <v>https://twitter.com/radiopaulina/status/1819365522351280458</v>
      </c>
      <c r="AG111" s="76">
        <v>45506.563854166663</v>
      </c>
      <c r="AH111" s="80">
        <v>45506</v>
      </c>
      <c r="AI111" s="77" t="s">
        <v>1689</v>
      </c>
      <c r="AJ111" t="b">
        <v>0</v>
      </c>
      <c r="AW111" s="78" t="str">
        <f>HYPERLINK("https://pbs.twimg.com/profile_images/1727355694783807488/AvyQSPUm_normal.jpg")</f>
        <v>https://pbs.twimg.com/profile_images/1727355694783807488/AvyQSPUm_normal.jpg</v>
      </c>
      <c r="AX111" s="77" t="s">
        <v>2177</v>
      </c>
      <c r="AY111" s="77" t="s">
        <v>2177</v>
      </c>
      <c r="BA111" s="77" t="s">
        <v>2494</v>
      </c>
      <c r="BB111" s="77" t="s">
        <v>2494</v>
      </c>
      <c r="BC111" s="77" t="s">
        <v>2494</v>
      </c>
      <c r="BD111" s="77" t="s">
        <v>2177</v>
      </c>
      <c r="BE111">
        <v>93319559</v>
      </c>
      <c r="BK111" s="112" t="str">
        <f>REPLACE(INDEX(GroupVertices[Group], MATCH("~"&amp;Edges[[#This Row],[Vertex 1]],GroupVertices[Vertex],0)),1,1,"")</f>
        <v>177</v>
      </c>
      <c r="BL111" s="112" t="str">
        <f>REPLACE(INDEX(GroupVertices[Group], MATCH("~"&amp;Edges[[#This Row],[Vertex 2]],GroupVertices[Vertex],0)),1,1,"")</f>
        <v>177</v>
      </c>
    </row>
    <row r="112" spans="1:64" x14ac:dyDescent="0.25">
      <c r="A112" s="61" t="s">
        <v>266</v>
      </c>
      <c r="B112" s="61" t="s">
        <v>266</v>
      </c>
      <c r="C112" s="62"/>
      <c r="D112" s="63"/>
      <c r="E112" s="64"/>
      <c r="F112" s="65"/>
      <c r="G112" s="62"/>
      <c r="H112" s="66"/>
      <c r="I112" s="67"/>
      <c r="J112" s="67"/>
      <c r="K112" s="31"/>
      <c r="L112" s="75">
        <v>112</v>
      </c>
      <c r="M112"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12" s="69"/>
      <c r="O112" t="s">
        <v>177</v>
      </c>
      <c r="P112" s="76">
        <v>45507.167361111111</v>
      </c>
      <c r="Q112" t="s">
        <v>839</v>
      </c>
      <c r="R112" t="b">
        <v>0</v>
      </c>
      <c r="S112">
        <v>0</v>
      </c>
      <c r="T112">
        <v>1</v>
      </c>
      <c r="U112">
        <v>1</v>
      </c>
      <c r="V112">
        <v>0</v>
      </c>
      <c r="W112">
        <v>224</v>
      </c>
      <c r="X112" s="77" t="s">
        <v>1101</v>
      </c>
      <c r="Y112" s="78" t="str">
        <f>HYPERLINK("http://www.sistemadeadmisionescolar.cl")</f>
        <v>http://www.sistemadeadmisionescolar.cl</v>
      </c>
      <c r="Z112" t="s">
        <v>1137</v>
      </c>
      <c r="AB112" t="s">
        <v>1280</v>
      </c>
      <c r="AC112" t="s">
        <v>1359</v>
      </c>
      <c r="AD112" s="77" t="s">
        <v>1367</v>
      </c>
      <c r="AE112" t="s">
        <v>1385</v>
      </c>
      <c r="AF112" s="78" t="str">
        <f>HYPERLINK("https://twitter.com/admisionescolar/status/1819584225437159840")</f>
        <v>https://twitter.com/admisionescolar/status/1819584225437159840</v>
      </c>
      <c r="AG112" s="76">
        <v>45507.167361111111</v>
      </c>
      <c r="AH112" s="80">
        <v>45507</v>
      </c>
      <c r="AI112" s="77" t="s">
        <v>1521</v>
      </c>
      <c r="AJ112" t="b">
        <v>0</v>
      </c>
      <c r="AR112" t="s">
        <v>1793</v>
      </c>
      <c r="AW112" s="78" t="str">
        <f>HYPERLINK("https://pbs.twimg.com/media/GUASpsIXcAAtCGV.jpg")</f>
        <v>https://pbs.twimg.com/media/GUASpsIXcAAtCGV.jpg</v>
      </c>
      <c r="AX112" s="77" t="s">
        <v>2005</v>
      </c>
      <c r="AY112" s="77" t="s">
        <v>2005</v>
      </c>
      <c r="BA112" s="77" t="s">
        <v>2494</v>
      </c>
      <c r="BB112" s="77" t="s">
        <v>2494</v>
      </c>
      <c r="BC112" s="77" t="s">
        <v>2494</v>
      </c>
      <c r="BD112" s="77" t="s">
        <v>2005</v>
      </c>
      <c r="BE112" s="77" t="s">
        <v>2553</v>
      </c>
      <c r="BK112" s="112" t="str">
        <f>REPLACE(INDEX(GroupVertices[Group], MATCH("~"&amp;Edges[[#This Row],[Vertex 1]],GroupVertices[Vertex],0)),1,1,"")</f>
        <v>5</v>
      </c>
      <c r="BL112" s="112" t="str">
        <f>REPLACE(INDEX(GroupVertices[Group], MATCH("~"&amp;Edges[[#This Row],[Vertex 2]],GroupVertices[Vertex],0)),1,1,"")</f>
        <v>5</v>
      </c>
    </row>
    <row r="113" spans="1:64" x14ac:dyDescent="0.25">
      <c r="A113" s="61" t="s">
        <v>237</v>
      </c>
      <c r="B113" s="61" t="s">
        <v>517</v>
      </c>
      <c r="C113" s="62"/>
      <c r="D113" s="63"/>
      <c r="E113" s="64"/>
      <c r="F113" s="65"/>
      <c r="G113" s="62"/>
      <c r="H113" s="66"/>
      <c r="I113" s="67"/>
      <c r="J113" s="67"/>
      <c r="K113" s="31"/>
      <c r="L113" s="75">
        <v>113</v>
      </c>
      <c r="M113"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13" s="69"/>
      <c r="O113" t="s">
        <v>701</v>
      </c>
      <c r="P113" s="76">
        <v>45505.789872685185</v>
      </c>
      <c r="Q113" t="s">
        <v>720</v>
      </c>
      <c r="R113" t="b">
        <v>0</v>
      </c>
      <c r="S113">
        <v>0</v>
      </c>
      <c r="T113">
        <v>1</v>
      </c>
      <c r="U113">
        <v>0</v>
      </c>
      <c r="V113">
        <v>0</v>
      </c>
      <c r="W113">
        <v>221</v>
      </c>
      <c r="AA113" t="s">
        <v>517</v>
      </c>
      <c r="AD113" s="77" t="s">
        <v>1365</v>
      </c>
      <c r="AE113" t="s">
        <v>1385</v>
      </c>
      <c r="AF113" s="78" t="str">
        <f>HYPERLINK("https://twitter.com/piernasdcolusso/status/1819085042481877294")</f>
        <v>https://twitter.com/piernasdcolusso/status/1819085042481877294</v>
      </c>
      <c r="AG113" s="76">
        <v>45505.789872685185</v>
      </c>
      <c r="AH113" s="80">
        <v>45505</v>
      </c>
      <c r="AI113" s="77" t="s">
        <v>1402</v>
      </c>
      <c r="AW113" s="78" t="str">
        <f>HYPERLINK("https://pbs.twimg.com/profile_images/1734243095963709440/M5u1bG76_normal.jpg")</f>
        <v>https://pbs.twimg.com/profile_images/1734243095963709440/M5u1bG76_normal.jpg</v>
      </c>
      <c r="AX113" s="77" t="s">
        <v>1886</v>
      </c>
      <c r="AY113" s="77" t="s">
        <v>2261</v>
      </c>
      <c r="AZ113" s="77" t="s">
        <v>2375</v>
      </c>
      <c r="BA113" s="77" t="s">
        <v>2261</v>
      </c>
      <c r="BB113" s="77" t="s">
        <v>2494</v>
      </c>
      <c r="BC113" s="77" t="s">
        <v>2494</v>
      </c>
      <c r="BD113" s="77" t="s">
        <v>2261</v>
      </c>
      <c r="BE113">
        <v>2471929277</v>
      </c>
      <c r="BK113" s="112" t="str">
        <f>REPLACE(INDEX(GroupVertices[Group], MATCH("~"&amp;Edges[[#This Row],[Vertex 1]],GroupVertices[Vertex],0)),1,1,"")</f>
        <v>97</v>
      </c>
      <c r="BL113" s="112" t="str">
        <f>REPLACE(INDEX(GroupVertices[Group], MATCH("~"&amp;Edges[[#This Row],[Vertex 2]],GroupVertices[Vertex],0)),1,1,"")</f>
        <v>97</v>
      </c>
    </row>
    <row r="114" spans="1:64" x14ac:dyDescent="0.25">
      <c r="A114" s="61" t="s">
        <v>298</v>
      </c>
      <c r="B114" s="61" t="s">
        <v>298</v>
      </c>
      <c r="C114" s="62"/>
      <c r="D114" s="63"/>
      <c r="E114" s="64"/>
      <c r="F114" s="65"/>
      <c r="G114" s="62"/>
      <c r="H114" s="66"/>
      <c r="I114" s="67"/>
      <c r="J114" s="67"/>
      <c r="K114" s="31"/>
      <c r="L114" s="75">
        <v>114</v>
      </c>
      <c r="M114"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14" s="69"/>
      <c r="O114" t="s">
        <v>177</v>
      </c>
      <c r="P114" s="76">
        <v>45506.572141203702</v>
      </c>
      <c r="Q114" t="s">
        <v>848</v>
      </c>
      <c r="R114" t="b">
        <v>0</v>
      </c>
      <c r="S114">
        <v>0</v>
      </c>
      <c r="T114">
        <v>0</v>
      </c>
      <c r="U114">
        <v>0</v>
      </c>
      <c r="V114">
        <v>0</v>
      </c>
      <c r="W114">
        <v>221</v>
      </c>
      <c r="Y114" s="78" t="str">
        <f>HYPERLINK("https://www.diariosol.cl/dato-util/atencion-antofagasta-arranca-sistema-admision-escolar")</f>
        <v>https://www.diariosol.cl/dato-util/atencion-antofagasta-arranca-sistema-admision-escolar</v>
      </c>
      <c r="Z114" t="s">
        <v>1153</v>
      </c>
      <c r="AD114" s="77" t="s">
        <v>1367</v>
      </c>
      <c r="AE114" t="s">
        <v>1385</v>
      </c>
      <c r="AF114" s="78" t="str">
        <f>HYPERLINK("https://twitter.com/radiosolchile/status/1819368525011493228")</f>
        <v>https://twitter.com/radiosolchile/status/1819368525011493228</v>
      </c>
      <c r="AG114" s="76">
        <v>45506.572141203702</v>
      </c>
      <c r="AH114" s="80">
        <v>45506</v>
      </c>
      <c r="AI114" s="77" t="s">
        <v>1529</v>
      </c>
      <c r="AJ114" t="b">
        <v>0</v>
      </c>
      <c r="AW114" s="78" t="str">
        <f>HYPERLINK("https://pbs.twimg.com/profile_images/1347172441664139265/9A-lLsXY_normal.jpg")</f>
        <v>https://pbs.twimg.com/profile_images/1347172441664139265/9A-lLsXY_normal.jpg</v>
      </c>
      <c r="AX114" s="77" t="s">
        <v>2014</v>
      </c>
      <c r="AY114" s="77" t="s">
        <v>2014</v>
      </c>
      <c r="BA114" s="77" t="s">
        <v>2494</v>
      </c>
      <c r="BB114" s="77" t="s">
        <v>2494</v>
      </c>
      <c r="BC114" s="77" t="s">
        <v>2494</v>
      </c>
      <c r="BD114" s="77" t="s">
        <v>2014</v>
      </c>
      <c r="BE114">
        <v>108928107</v>
      </c>
      <c r="BK114" s="112" t="str">
        <f>REPLACE(INDEX(GroupVertices[Group], MATCH("~"&amp;Edges[[#This Row],[Vertex 1]],GroupVertices[Vertex],0)),1,1,"")</f>
        <v>176</v>
      </c>
      <c r="BL114" s="112" t="str">
        <f>REPLACE(INDEX(GroupVertices[Group], MATCH("~"&amp;Edges[[#This Row],[Vertex 2]],GroupVertices[Vertex],0)),1,1,"")</f>
        <v>176</v>
      </c>
    </row>
    <row r="115" spans="1:64" x14ac:dyDescent="0.25">
      <c r="A115" s="61" t="s">
        <v>266</v>
      </c>
      <c r="B115" s="61" t="s">
        <v>266</v>
      </c>
      <c r="C115" s="62"/>
      <c r="D115" s="63"/>
      <c r="E115" s="64"/>
      <c r="F115" s="65"/>
      <c r="G115" s="62"/>
      <c r="H115" s="66"/>
      <c r="I115" s="67"/>
      <c r="J115" s="67"/>
      <c r="K115" s="31"/>
      <c r="L115" s="75">
        <v>115</v>
      </c>
      <c r="M115"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15" s="69"/>
      <c r="O115" t="s">
        <v>177</v>
      </c>
      <c r="P115" s="76">
        <v>45509.603159722225</v>
      </c>
      <c r="Q115" t="s">
        <v>840</v>
      </c>
      <c r="R115" t="b">
        <v>0</v>
      </c>
      <c r="S115">
        <v>1</v>
      </c>
      <c r="T115">
        <v>2</v>
      </c>
      <c r="U115">
        <v>0</v>
      </c>
      <c r="V115">
        <v>0</v>
      </c>
      <c r="W115">
        <v>217</v>
      </c>
      <c r="Y115" t="s">
        <v>1131</v>
      </c>
      <c r="Z115" t="s">
        <v>1152</v>
      </c>
      <c r="AB115" t="s">
        <v>1281</v>
      </c>
      <c r="AC115" t="s">
        <v>1359</v>
      </c>
      <c r="AD115" s="77" t="s">
        <v>1365</v>
      </c>
      <c r="AE115" t="s">
        <v>1385</v>
      </c>
      <c r="AF115" s="78" t="str">
        <f>HYPERLINK("https://twitter.com/admisionescolar/status/1820466928873562317")</f>
        <v>https://twitter.com/admisionescolar/status/1820466928873562317</v>
      </c>
      <c r="AG115" s="76">
        <v>45509.603159722225</v>
      </c>
      <c r="AH115" s="80">
        <v>45509</v>
      </c>
      <c r="AI115" s="77" t="s">
        <v>1522</v>
      </c>
      <c r="AJ115" t="b">
        <v>0</v>
      </c>
      <c r="AR115" t="s">
        <v>1794</v>
      </c>
      <c r="AW115" s="78" t="str">
        <f>HYPERLINK("https://pbs.twimg.com/media/GUOZBgkWUAApQss.jpg")</f>
        <v>https://pbs.twimg.com/media/GUOZBgkWUAApQss.jpg</v>
      </c>
      <c r="AX115" s="77" t="s">
        <v>2006</v>
      </c>
      <c r="AY115" s="77" t="s">
        <v>2006</v>
      </c>
      <c r="BA115" s="77" t="s">
        <v>2494</v>
      </c>
      <c r="BB115" s="77" t="s">
        <v>2494</v>
      </c>
      <c r="BC115" s="77" t="s">
        <v>2494</v>
      </c>
      <c r="BD115" s="77" t="s">
        <v>2006</v>
      </c>
      <c r="BE115" s="77" t="s">
        <v>2553</v>
      </c>
      <c r="BK115" s="112" t="str">
        <f>REPLACE(INDEX(GroupVertices[Group], MATCH("~"&amp;Edges[[#This Row],[Vertex 1]],GroupVertices[Vertex],0)),1,1,"")</f>
        <v>5</v>
      </c>
      <c r="BL115" s="112" t="str">
        <f>REPLACE(INDEX(GroupVertices[Group], MATCH("~"&amp;Edges[[#This Row],[Vertex 2]],GroupVertices[Vertex],0)),1,1,"")</f>
        <v>5</v>
      </c>
    </row>
    <row r="116" spans="1:64" x14ac:dyDescent="0.25">
      <c r="A116" s="61" t="s">
        <v>292</v>
      </c>
      <c r="B116" s="61" t="s">
        <v>572</v>
      </c>
      <c r="C116" s="62"/>
      <c r="D116" s="63"/>
      <c r="E116" s="64"/>
      <c r="F116" s="65"/>
      <c r="G116" s="62"/>
      <c r="H116" s="66"/>
      <c r="I116" s="67"/>
      <c r="J116" s="67"/>
      <c r="K116" s="31"/>
      <c r="L116" s="75">
        <v>116</v>
      </c>
      <c r="M116"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16" s="69"/>
      <c r="O116" t="s">
        <v>703</v>
      </c>
      <c r="P116" s="76">
        <v>45508.28943287037</v>
      </c>
      <c r="Q116" t="s">
        <v>806</v>
      </c>
      <c r="R116" t="b">
        <v>0</v>
      </c>
      <c r="S116">
        <v>0</v>
      </c>
      <c r="T116">
        <v>1</v>
      </c>
      <c r="U116">
        <v>0</v>
      </c>
      <c r="V116">
        <v>0</v>
      </c>
      <c r="W116">
        <v>216</v>
      </c>
      <c r="AA116" t="s">
        <v>1229</v>
      </c>
      <c r="AD116" s="77" t="s">
        <v>1365</v>
      </c>
      <c r="AE116" t="s">
        <v>1385</v>
      </c>
      <c r="AF116" s="78" t="str">
        <f>HYPERLINK("https://twitter.com/atologocito1/status/1819990853084987487")</f>
        <v>https://twitter.com/atologocito1/status/1819990853084987487</v>
      </c>
      <c r="AG116" s="76">
        <v>45508.28943287037</v>
      </c>
      <c r="AH116" s="80">
        <v>45508</v>
      </c>
      <c r="AI116" s="77" t="s">
        <v>1488</v>
      </c>
      <c r="AW116" s="78" t="str">
        <f>HYPERLINK("https://pbs.twimg.com/profile_images/1497222336470298628/AOSxZ6NT_normal.jpg")</f>
        <v>https://pbs.twimg.com/profile_images/1497222336470298628/AOSxZ6NT_normal.jpg</v>
      </c>
      <c r="AX116" s="77" t="s">
        <v>1972</v>
      </c>
      <c r="AY116" s="77" t="s">
        <v>2296</v>
      </c>
      <c r="AZ116" s="77" t="s">
        <v>2415</v>
      </c>
      <c r="BA116" s="77" t="s">
        <v>2507</v>
      </c>
      <c r="BB116" s="77" t="s">
        <v>2494</v>
      </c>
      <c r="BC116" s="77" t="s">
        <v>2494</v>
      </c>
      <c r="BD116" s="77" t="s">
        <v>2507</v>
      </c>
      <c r="BE116" s="77" t="s">
        <v>2565</v>
      </c>
      <c r="BK116" s="112" t="str">
        <f>REPLACE(INDEX(GroupVertices[Group], MATCH("~"&amp;Edges[[#This Row],[Vertex 1]],GroupVertices[Vertex],0)),1,1,"")</f>
        <v>13</v>
      </c>
      <c r="BL116" s="112" t="str">
        <f>REPLACE(INDEX(GroupVertices[Group], MATCH("~"&amp;Edges[[#This Row],[Vertex 2]],GroupVertices[Vertex],0)),1,1,"")</f>
        <v>13</v>
      </c>
    </row>
    <row r="117" spans="1:64" x14ac:dyDescent="0.25">
      <c r="A117" s="61" t="s">
        <v>292</v>
      </c>
      <c r="B117" s="61" t="s">
        <v>573</v>
      </c>
      <c r="C117" s="62"/>
      <c r="D117" s="63"/>
      <c r="E117" s="64"/>
      <c r="F117" s="65"/>
      <c r="G117" s="62"/>
      <c r="H117" s="66"/>
      <c r="I117" s="67"/>
      <c r="J117" s="67"/>
      <c r="K117" s="31"/>
      <c r="L117" s="75">
        <v>117</v>
      </c>
      <c r="M117"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17" s="69"/>
      <c r="O117" t="s">
        <v>701</v>
      </c>
      <c r="P117" s="76">
        <v>45508.28943287037</v>
      </c>
      <c r="Q117" t="s">
        <v>806</v>
      </c>
      <c r="R117" t="b">
        <v>0</v>
      </c>
      <c r="S117">
        <v>0</v>
      </c>
      <c r="T117">
        <v>1</v>
      </c>
      <c r="U117">
        <v>0</v>
      </c>
      <c r="V117">
        <v>0</v>
      </c>
      <c r="W117">
        <v>216</v>
      </c>
      <c r="AA117" t="s">
        <v>1229</v>
      </c>
      <c r="AD117" s="77" t="s">
        <v>1365</v>
      </c>
      <c r="AE117" t="s">
        <v>1385</v>
      </c>
      <c r="AF117" s="78" t="str">
        <f>HYPERLINK("https://twitter.com/atologocito1/status/1819990853084987487")</f>
        <v>https://twitter.com/atologocito1/status/1819990853084987487</v>
      </c>
      <c r="AG117" s="76">
        <v>45508.28943287037</v>
      </c>
      <c r="AH117" s="80">
        <v>45508</v>
      </c>
      <c r="AI117" s="77" t="s">
        <v>1488</v>
      </c>
      <c r="AW117" s="78" t="str">
        <f>HYPERLINK("https://pbs.twimg.com/profile_images/1497222336470298628/AOSxZ6NT_normal.jpg")</f>
        <v>https://pbs.twimg.com/profile_images/1497222336470298628/AOSxZ6NT_normal.jpg</v>
      </c>
      <c r="AX117" s="77" t="s">
        <v>1972</v>
      </c>
      <c r="AY117" s="77" t="s">
        <v>2296</v>
      </c>
      <c r="AZ117" s="77" t="s">
        <v>2415</v>
      </c>
      <c r="BA117" s="77" t="s">
        <v>2507</v>
      </c>
      <c r="BB117" s="77" t="s">
        <v>2494</v>
      </c>
      <c r="BC117" s="77" t="s">
        <v>2494</v>
      </c>
      <c r="BD117" s="77" t="s">
        <v>2507</v>
      </c>
      <c r="BE117" s="77" t="s">
        <v>2565</v>
      </c>
      <c r="BK117" s="112" t="str">
        <f>REPLACE(INDEX(GroupVertices[Group], MATCH("~"&amp;Edges[[#This Row],[Vertex 1]],GroupVertices[Vertex],0)),1,1,"")</f>
        <v>13</v>
      </c>
      <c r="BL117" s="112" t="str">
        <f>REPLACE(INDEX(GroupVertices[Group], MATCH("~"&amp;Edges[[#This Row],[Vertex 2]],GroupVertices[Vertex],0)),1,1,"")</f>
        <v>13</v>
      </c>
    </row>
    <row r="118" spans="1:64" x14ac:dyDescent="0.25">
      <c r="A118" s="61" t="s">
        <v>498</v>
      </c>
      <c r="B118" s="61" t="s">
        <v>497</v>
      </c>
      <c r="C118" s="62"/>
      <c r="D118" s="63"/>
      <c r="E118" s="64"/>
      <c r="F118" s="65"/>
      <c r="G118" s="62"/>
      <c r="H118" s="66"/>
      <c r="I118" s="67"/>
      <c r="J118" s="67"/>
      <c r="K118" s="31"/>
      <c r="L118" s="75">
        <v>118</v>
      </c>
      <c r="M118"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18" s="69"/>
      <c r="O118" t="s">
        <v>701</v>
      </c>
      <c r="P118" s="76">
        <v>45508.545659722222</v>
      </c>
      <c r="Q118" t="s">
        <v>1080</v>
      </c>
      <c r="R118" t="b">
        <v>0</v>
      </c>
      <c r="S118">
        <v>1</v>
      </c>
      <c r="T118">
        <v>2</v>
      </c>
      <c r="U118">
        <v>0</v>
      </c>
      <c r="V118">
        <v>0</v>
      </c>
      <c r="W118">
        <v>212</v>
      </c>
      <c r="AA118" t="s">
        <v>497</v>
      </c>
      <c r="AD118" s="77" t="s">
        <v>1365</v>
      </c>
      <c r="AE118" t="s">
        <v>1385</v>
      </c>
      <c r="AF118" s="78" t="str">
        <f>HYPERLINK("https://twitter.com/ina_manroker/status/1820083706364604763")</f>
        <v>https://twitter.com/ina_manroker/status/1820083706364604763</v>
      </c>
      <c r="AG118" s="76">
        <v>45508.545659722222</v>
      </c>
      <c r="AH118" s="80">
        <v>45508</v>
      </c>
      <c r="AI118" s="77" t="s">
        <v>1756</v>
      </c>
      <c r="AW118" s="78" t="str">
        <f>HYPERLINK("https://pbs.twimg.com/profile_images/1545726193697230848/dmpn-r-I_normal.jpg")</f>
        <v>https://pbs.twimg.com/profile_images/1545726193697230848/dmpn-r-I_normal.jpg</v>
      </c>
      <c r="AX118" s="77" t="s">
        <v>2246</v>
      </c>
      <c r="AY118" s="77" t="s">
        <v>2367</v>
      </c>
      <c r="AZ118" s="77" t="s">
        <v>2469</v>
      </c>
      <c r="BA118" s="77" t="s">
        <v>2367</v>
      </c>
      <c r="BB118" s="77" t="s">
        <v>2494</v>
      </c>
      <c r="BC118" s="77" t="s">
        <v>2494</v>
      </c>
      <c r="BD118" s="77" t="s">
        <v>2367</v>
      </c>
      <c r="BE118" s="77" t="s">
        <v>2639</v>
      </c>
      <c r="BK118" s="112" t="str">
        <f>REPLACE(INDEX(GroupVertices[Group], MATCH("~"&amp;Edges[[#This Row],[Vertex 1]],GroupVertices[Vertex],0)),1,1,"")</f>
        <v>1</v>
      </c>
      <c r="BL118" s="112" t="str">
        <f>REPLACE(INDEX(GroupVertices[Group], MATCH("~"&amp;Edges[[#This Row],[Vertex 2]],GroupVertices[Vertex],0)),1,1,"")</f>
        <v>1</v>
      </c>
    </row>
    <row r="119" spans="1:64" x14ac:dyDescent="0.25">
      <c r="A119" s="61" t="s">
        <v>227</v>
      </c>
      <c r="B119" s="61" t="s">
        <v>227</v>
      </c>
      <c r="C119" s="62"/>
      <c r="D119" s="63"/>
      <c r="E119" s="64"/>
      <c r="F119" s="65"/>
      <c r="G119" s="62"/>
      <c r="H119" s="66"/>
      <c r="I119" s="67"/>
      <c r="J119" s="67"/>
      <c r="K119" s="31"/>
      <c r="L119" s="75">
        <v>119</v>
      </c>
      <c r="M119"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19" s="69"/>
      <c r="O119" t="s">
        <v>177</v>
      </c>
      <c r="P119" s="76">
        <v>45508.448576388888</v>
      </c>
      <c r="Q119" t="s">
        <v>710</v>
      </c>
      <c r="R119" t="b">
        <v>0</v>
      </c>
      <c r="S119">
        <v>0</v>
      </c>
      <c r="T119">
        <v>3</v>
      </c>
      <c r="U119">
        <v>0</v>
      </c>
      <c r="V119">
        <v>0</v>
      </c>
      <c r="W119">
        <v>204</v>
      </c>
      <c r="AD119" s="77" t="s">
        <v>1366</v>
      </c>
      <c r="AE119" t="s">
        <v>1385</v>
      </c>
      <c r="AF119" s="78" t="str">
        <f>HYPERLINK("https://twitter.com/anxooduran/status/1820048525364760844")</f>
        <v>https://twitter.com/anxooduran/status/1820048525364760844</v>
      </c>
      <c r="AG119" s="76">
        <v>45508.448576388888</v>
      </c>
      <c r="AH119" s="80">
        <v>45508</v>
      </c>
      <c r="AI119" s="77" t="s">
        <v>1392</v>
      </c>
      <c r="AW119" s="78" t="str">
        <f>HYPERLINK("https://pbs.twimg.com/profile_images/1927829819292540928/2zUILPqC_normal.jpg")</f>
        <v>https://pbs.twimg.com/profile_images/1927829819292540928/2zUILPqC_normal.jpg</v>
      </c>
      <c r="AX119" s="77" t="s">
        <v>1876</v>
      </c>
      <c r="AY119" s="77" t="s">
        <v>1876</v>
      </c>
      <c r="BA119" s="77" t="s">
        <v>2494</v>
      </c>
      <c r="BB119" s="77" t="s">
        <v>2494</v>
      </c>
      <c r="BC119" s="77" t="s">
        <v>2494</v>
      </c>
      <c r="BD119" s="77" t="s">
        <v>1876</v>
      </c>
      <c r="BE119" s="77" t="s">
        <v>2532</v>
      </c>
      <c r="BK119" s="112" t="str">
        <f>REPLACE(INDEX(GroupVertices[Group], MATCH("~"&amp;Edges[[#This Row],[Vertex 1]],GroupVertices[Vertex],0)),1,1,"")</f>
        <v>175</v>
      </c>
      <c r="BL119" s="112" t="str">
        <f>REPLACE(INDEX(GroupVertices[Group], MATCH("~"&amp;Edges[[#This Row],[Vertex 2]],GroupVertices[Vertex],0)),1,1,"")</f>
        <v>175</v>
      </c>
    </row>
    <row r="120" spans="1:64" x14ac:dyDescent="0.25">
      <c r="A120" s="61" t="s">
        <v>429</v>
      </c>
      <c r="B120" s="61" t="s">
        <v>429</v>
      </c>
      <c r="C120" s="62"/>
      <c r="D120" s="63"/>
      <c r="E120" s="64"/>
      <c r="F120" s="65"/>
      <c r="G120" s="62"/>
      <c r="H120" s="66"/>
      <c r="I120" s="67"/>
      <c r="J120" s="67"/>
      <c r="K120" s="31"/>
      <c r="L120" s="75">
        <v>120</v>
      </c>
      <c r="M120"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20" s="69"/>
      <c r="O120" t="s">
        <v>177</v>
      </c>
      <c r="P120" s="76">
        <v>45505.584097222221</v>
      </c>
      <c r="Q120" t="s">
        <v>1004</v>
      </c>
      <c r="R120" t="b">
        <v>0</v>
      </c>
      <c r="S120">
        <v>0</v>
      </c>
      <c r="T120">
        <v>0</v>
      </c>
      <c r="U120">
        <v>0</v>
      </c>
      <c r="V120">
        <v>0</v>
      </c>
      <c r="W120">
        <v>204</v>
      </c>
      <c r="Y120" s="78" t="str">
        <f>HYPERLINK("https://www.ladiscusion.cl/bravo-y-martinez-piden-tramitar-proyecto-que-elimina-el-sae/")</f>
        <v>https://www.ladiscusion.cl/bravo-y-martinez-piden-tramitar-proyecto-que-elimina-el-sae/</v>
      </c>
      <c r="Z120" t="s">
        <v>1189</v>
      </c>
      <c r="AD120" s="77" t="s">
        <v>1367</v>
      </c>
      <c r="AE120" t="s">
        <v>1385</v>
      </c>
      <c r="AF120" s="78" t="str">
        <f>HYPERLINK("https://twitter.com/ladiscusioncl/status/1819010472009462116")</f>
        <v>https://twitter.com/ladiscusioncl/status/1819010472009462116</v>
      </c>
      <c r="AG120" s="76">
        <v>45505.584097222221</v>
      </c>
      <c r="AH120" s="80">
        <v>45505</v>
      </c>
      <c r="AI120" s="77" t="s">
        <v>1682</v>
      </c>
      <c r="AJ120" t="b">
        <v>0</v>
      </c>
      <c r="AW120" s="78" t="str">
        <f>HYPERLINK("https://pbs.twimg.com/profile_images/1887605732863873025/3yKibnOu_normal.jpg")</f>
        <v>https://pbs.twimg.com/profile_images/1887605732863873025/3yKibnOu_normal.jpg</v>
      </c>
      <c r="AX120" s="77" t="s">
        <v>2170</v>
      </c>
      <c r="AY120" s="77" t="s">
        <v>2170</v>
      </c>
      <c r="BA120" s="77" t="s">
        <v>2494</v>
      </c>
      <c r="BB120" s="77" t="s">
        <v>2494</v>
      </c>
      <c r="BC120" s="77" t="s">
        <v>2494</v>
      </c>
      <c r="BD120" s="77" t="s">
        <v>2170</v>
      </c>
      <c r="BE120">
        <v>64751347</v>
      </c>
      <c r="BK120" s="112" t="str">
        <f>REPLACE(INDEX(GroupVertices[Group], MATCH("~"&amp;Edges[[#This Row],[Vertex 1]],GroupVertices[Vertex],0)),1,1,"")</f>
        <v>174</v>
      </c>
      <c r="BL120" s="112" t="str">
        <f>REPLACE(INDEX(GroupVertices[Group], MATCH("~"&amp;Edges[[#This Row],[Vertex 2]],GroupVertices[Vertex],0)),1,1,"")</f>
        <v>174</v>
      </c>
    </row>
    <row r="121" spans="1:64" x14ac:dyDescent="0.25">
      <c r="A121" s="61" t="s">
        <v>482</v>
      </c>
      <c r="B121" s="61" t="s">
        <v>482</v>
      </c>
      <c r="C121" s="62"/>
      <c r="D121" s="63"/>
      <c r="E121" s="64"/>
      <c r="F121" s="65"/>
      <c r="G121" s="62"/>
      <c r="H121" s="66"/>
      <c r="I121" s="67"/>
      <c r="J121" s="67"/>
      <c r="K121" s="31"/>
      <c r="L121" s="75">
        <v>121</v>
      </c>
      <c r="M121"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21" s="69"/>
      <c r="O121" t="s">
        <v>702</v>
      </c>
      <c r="P121" s="76">
        <v>45510.036377314813</v>
      </c>
      <c r="Q121" t="s">
        <v>1063</v>
      </c>
      <c r="R121" t="b">
        <v>0</v>
      </c>
      <c r="S121">
        <v>0</v>
      </c>
      <c r="T121">
        <v>0</v>
      </c>
      <c r="U121">
        <v>0</v>
      </c>
      <c r="V121">
        <v>0</v>
      </c>
      <c r="W121">
        <v>203</v>
      </c>
      <c r="X121" s="77" t="s">
        <v>1129</v>
      </c>
      <c r="Y121" s="78" t="str">
        <f>HYPERLINK("https://laliguanoticias.cl/2024/08/05/disponen-102-puntos-de-apoyo-en-la-region-para-acompanar-proceso-de-postulacion-del-sistema-de-admision-escolar-2025/")</f>
        <v>https://laliguanoticias.cl/2024/08/05/disponen-102-puntos-de-apoyo-en-la-region-para-acompanar-proceso-de-postulacion-del-sistema-de-admision-escolar-2025/</v>
      </c>
      <c r="Z121" t="s">
        <v>1204</v>
      </c>
      <c r="AA121" t="s">
        <v>482</v>
      </c>
      <c r="AD121" s="77" t="s">
        <v>1367</v>
      </c>
      <c r="AE121" t="s">
        <v>1385</v>
      </c>
      <c r="AF121" s="78" t="str">
        <f>HYPERLINK("https://twitter.com/laliguanoticias/status/1820623921172914268")</f>
        <v>https://twitter.com/laliguanoticias/status/1820623921172914268</v>
      </c>
      <c r="AG121" s="76">
        <v>45510.036377314813</v>
      </c>
      <c r="AH121" s="80">
        <v>45510</v>
      </c>
      <c r="AI121" s="77" t="s">
        <v>1740</v>
      </c>
      <c r="AJ121" t="b">
        <v>0</v>
      </c>
      <c r="AW121" s="78" t="str">
        <f>HYPERLINK("https://pbs.twimg.com/profile_images/1705662226701369344/YS5FpkLw_normal.jpg")</f>
        <v>https://pbs.twimg.com/profile_images/1705662226701369344/YS5FpkLw_normal.jpg</v>
      </c>
      <c r="AX121" s="77" t="s">
        <v>2229</v>
      </c>
      <c r="AY121" s="77" t="s">
        <v>2229</v>
      </c>
      <c r="BA121" s="77" t="s">
        <v>2494</v>
      </c>
      <c r="BB121" s="77" t="s">
        <v>2494</v>
      </c>
      <c r="BC121" s="77" t="s">
        <v>2494</v>
      </c>
      <c r="BD121" s="77" t="s">
        <v>2229</v>
      </c>
      <c r="BE121">
        <v>2923886627</v>
      </c>
      <c r="BK121" s="112" t="str">
        <f>REPLACE(INDEX(GroupVertices[Group], MATCH("~"&amp;Edges[[#This Row],[Vertex 1]],GroupVertices[Vertex],0)),1,1,"")</f>
        <v>173</v>
      </c>
      <c r="BL121" s="112" t="str">
        <f>REPLACE(INDEX(GroupVertices[Group], MATCH("~"&amp;Edges[[#This Row],[Vertex 2]],GroupVertices[Vertex],0)),1,1,"")</f>
        <v>173</v>
      </c>
    </row>
    <row r="122" spans="1:64" x14ac:dyDescent="0.25">
      <c r="A122" s="61" t="s">
        <v>269</v>
      </c>
      <c r="B122" s="61" t="s">
        <v>269</v>
      </c>
      <c r="C122" s="62"/>
      <c r="D122" s="63"/>
      <c r="E122" s="64"/>
      <c r="F122" s="65"/>
      <c r="G122" s="62"/>
      <c r="H122" s="66"/>
      <c r="I122" s="67"/>
      <c r="J122" s="67"/>
      <c r="K122" s="31"/>
      <c r="L122" s="75">
        <v>122</v>
      </c>
      <c r="M122"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22" s="69"/>
      <c r="O122" t="s">
        <v>177</v>
      </c>
      <c r="P122" s="76">
        <v>45511.008900462963</v>
      </c>
      <c r="Q122" t="s">
        <v>771</v>
      </c>
      <c r="R122" t="b">
        <v>0</v>
      </c>
      <c r="S122">
        <v>6</v>
      </c>
      <c r="T122">
        <v>8</v>
      </c>
      <c r="U122">
        <v>2</v>
      </c>
      <c r="V122">
        <v>0</v>
      </c>
      <c r="W122">
        <v>201</v>
      </c>
      <c r="AD122" s="77" t="s">
        <v>1366</v>
      </c>
      <c r="AE122" t="s">
        <v>1385</v>
      </c>
      <c r="AF122" s="78" t="str">
        <f>HYPERLINK("https://twitter.com/aleoglez/status/1820976353224913049")</f>
        <v>https://twitter.com/aleoglez/status/1820976353224913049</v>
      </c>
      <c r="AG122" s="76">
        <v>45511.008900462963</v>
      </c>
      <c r="AH122" s="80">
        <v>45511</v>
      </c>
      <c r="AI122" s="77" t="s">
        <v>1453</v>
      </c>
      <c r="AW122" s="78" t="str">
        <f>HYPERLINK("https://pbs.twimg.com/profile_images/1797852636001046528/5dP7-URO_normal.jpg")</f>
        <v>https://pbs.twimg.com/profile_images/1797852636001046528/5dP7-URO_normal.jpg</v>
      </c>
      <c r="AX122" s="77" t="s">
        <v>1937</v>
      </c>
      <c r="AY122" s="77" t="s">
        <v>1937</v>
      </c>
      <c r="BA122" s="77" t="s">
        <v>2494</v>
      </c>
      <c r="BB122" s="77" t="s">
        <v>2494</v>
      </c>
      <c r="BC122" s="77" t="s">
        <v>2494</v>
      </c>
      <c r="BD122" s="77" t="s">
        <v>1937</v>
      </c>
      <c r="BE122">
        <v>39057749</v>
      </c>
      <c r="BK122" s="112" t="str">
        <f>REPLACE(INDEX(GroupVertices[Group], MATCH("~"&amp;Edges[[#This Row],[Vertex 1]],GroupVertices[Vertex],0)),1,1,"")</f>
        <v>172</v>
      </c>
      <c r="BL122" s="112" t="str">
        <f>REPLACE(INDEX(GroupVertices[Group], MATCH("~"&amp;Edges[[#This Row],[Vertex 2]],GroupVertices[Vertex],0)),1,1,"")</f>
        <v>172</v>
      </c>
    </row>
    <row r="123" spans="1:64" x14ac:dyDescent="0.25">
      <c r="A123" s="61" t="s">
        <v>266</v>
      </c>
      <c r="B123" s="61" t="s">
        <v>266</v>
      </c>
      <c r="C123" s="62"/>
      <c r="D123" s="63"/>
      <c r="E123" s="64"/>
      <c r="F123" s="65"/>
      <c r="G123" s="62"/>
      <c r="H123" s="66"/>
      <c r="I123" s="67"/>
      <c r="J123" s="67"/>
      <c r="K123" s="31"/>
      <c r="L123" s="75">
        <v>123</v>
      </c>
      <c r="M123"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23" s="69"/>
      <c r="O123" t="s">
        <v>177</v>
      </c>
      <c r="P123" s="76">
        <v>45510.809108796297</v>
      </c>
      <c r="Q123" t="s">
        <v>842</v>
      </c>
      <c r="R123" t="b">
        <v>0</v>
      </c>
      <c r="S123">
        <v>2</v>
      </c>
      <c r="T123">
        <v>3</v>
      </c>
      <c r="U123">
        <v>0</v>
      </c>
      <c r="V123">
        <v>0</v>
      </c>
      <c r="W123">
        <v>199</v>
      </c>
      <c r="X123" s="77" t="s">
        <v>1102</v>
      </c>
      <c r="Y123" s="78" t="str">
        <f>HYPERLINK("http://www.sistemadeadmisionescolar.cl")</f>
        <v>http://www.sistemadeadmisionescolar.cl</v>
      </c>
      <c r="Z123" t="s">
        <v>1137</v>
      </c>
      <c r="AB123" t="s">
        <v>1283</v>
      </c>
      <c r="AC123" t="s">
        <v>1359</v>
      </c>
      <c r="AD123" s="77" t="s">
        <v>1365</v>
      </c>
      <c r="AE123" t="s">
        <v>1385</v>
      </c>
      <c r="AF123" s="78" t="str">
        <f>HYPERLINK("https://twitter.com/admisionescolar/status/1820903953514594564")</f>
        <v>https://twitter.com/admisionescolar/status/1820903953514594564</v>
      </c>
      <c r="AG123" s="76">
        <v>45510.809108796297</v>
      </c>
      <c r="AH123" s="80">
        <v>45510</v>
      </c>
      <c r="AI123" s="77" t="s">
        <v>1524</v>
      </c>
      <c r="AJ123" t="b">
        <v>0</v>
      </c>
      <c r="AR123" t="s">
        <v>1796</v>
      </c>
      <c r="AW123" s="78" t="str">
        <f>HYPERLINK("https://pbs.twimg.com/media/GUUmfrlW8AAwg9U.jpg")</f>
        <v>https://pbs.twimg.com/media/GUUmfrlW8AAwg9U.jpg</v>
      </c>
      <c r="AX123" s="77" t="s">
        <v>2008</v>
      </c>
      <c r="AY123" s="77" t="s">
        <v>2008</v>
      </c>
      <c r="BA123" s="77" t="s">
        <v>2494</v>
      </c>
      <c r="BB123" s="77" t="s">
        <v>2494</v>
      </c>
      <c r="BC123" s="77" t="s">
        <v>2494</v>
      </c>
      <c r="BD123" s="77" t="s">
        <v>2008</v>
      </c>
      <c r="BE123" s="77" t="s">
        <v>2553</v>
      </c>
      <c r="BK123" s="112" t="str">
        <f>REPLACE(INDEX(GroupVertices[Group], MATCH("~"&amp;Edges[[#This Row],[Vertex 1]],GroupVertices[Vertex],0)),1,1,"")</f>
        <v>5</v>
      </c>
      <c r="BL123" s="112" t="str">
        <f>REPLACE(INDEX(GroupVertices[Group], MATCH("~"&amp;Edges[[#This Row],[Vertex 2]],GroupVertices[Vertex],0)),1,1,"")</f>
        <v>5</v>
      </c>
    </row>
    <row r="124" spans="1:64" x14ac:dyDescent="0.25">
      <c r="A124" s="61" t="s">
        <v>483</v>
      </c>
      <c r="B124" s="61" t="s">
        <v>483</v>
      </c>
      <c r="C124" s="62"/>
      <c r="D124" s="63"/>
      <c r="E124" s="64"/>
      <c r="F124" s="65"/>
      <c r="G124" s="62"/>
      <c r="H124" s="66"/>
      <c r="I124" s="67"/>
      <c r="J124" s="67"/>
      <c r="K124" s="31"/>
      <c r="L124" s="75">
        <v>124</v>
      </c>
      <c r="M124"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24" s="69"/>
      <c r="O124" t="s">
        <v>177</v>
      </c>
      <c r="P124" s="76">
        <v>45508.430555555555</v>
      </c>
      <c r="Q124" t="s">
        <v>1064</v>
      </c>
      <c r="R124" t="b">
        <v>0</v>
      </c>
      <c r="S124">
        <v>0</v>
      </c>
      <c r="T124">
        <v>0</v>
      </c>
      <c r="U124">
        <v>0</v>
      </c>
      <c r="V124">
        <v>0</v>
      </c>
      <c r="W124">
        <v>199</v>
      </c>
      <c r="Y124" s="78" t="str">
        <f>HYPERLINK("https://www.lavozdelsur.es/vida/sabor-del-sur/gran-fiesta-donde-se-degustan-cientos-pimientos-gratis-se-juega-tombola-en-sanlucar_319340_102.html")</f>
        <v>https://www.lavozdelsur.es/vida/sabor-del-sur/gran-fiesta-donde-se-degustan-cientos-pimientos-gratis-se-juega-tombola-en-sanlucar_319340_102.html</v>
      </c>
      <c r="Z124" t="s">
        <v>1205</v>
      </c>
      <c r="AD124" s="77" t="s">
        <v>1367</v>
      </c>
      <c r="AE124" t="s">
        <v>1385</v>
      </c>
      <c r="AF124" s="78" t="str">
        <f>HYPERLINK("https://twitter.com/lavozdelsures/status/1820041991608000644")</f>
        <v>https://twitter.com/lavozdelsures/status/1820041991608000644</v>
      </c>
      <c r="AG124" s="76">
        <v>45508.430555555555</v>
      </c>
      <c r="AH124" s="80">
        <v>45508</v>
      </c>
      <c r="AI124" s="77" t="s">
        <v>1741</v>
      </c>
      <c r="AJ124" t="b">
        <v>0</v>
      </c>
      <c r="AW124" s="78" t="str">
        <f>HYPERLINK("https://pbs.twimg.com/profile_images/1877018598201286656/8DfI2OxY_normal.jpg")</f>
        <v>https://pbs.twimg.com/profile_images/1877018598201286656/8DfI2OxY_normal.jpg</v>
      </c>
      <c r="AX124" s="77" t="s">
        <v>2230</v>
      </c>
      <c r="AY124" s="77" t="s">
        <v>2230</v>
      </c>
      <c r="BA124" s="77" t="s">
        <v>2494</v>
      </c>
      <c r="BB124" s="77" t="s">
        <v>2494</v>
      </c>
      <c r="BC124" s="77" t="s">
        <v>2494</v>
      </c>
      <c r="BD124" s="77" t="s">
        <v>2230</v>
      </c>
      <c r="BE124">
        <v>597380069</v>
      </c>
      <c r="BK124" s="112" t="str">
        <f>REPLACE(INDEX(GroupVertices[Group], MATCH("~"&amp;Edges[[#This Row],[Vertex 1]],GroupVertices[Vertex],0)),1,1,"")</f>
        <v>171</v>
      </c>
      <c r="BL124" s="112" t="str">
        <f>REPLACE(INDEX(GroupVertices[Group], MATCH("~"&amp;Edges[[#This Row],[Vertex 2]],GroupVertices[Vertex],0)),1,1,"")</f>
        <v>171</v>
      </c>
    </row>
    <row r="125" spans="1:64" x14ac:dyDescent="0.25">
      <c r="A125" s="61" t="s">
        <v>249</v>
      </c>
      <c r="B125" s="61" t="s">
        <v>328</v>
      </c>
      <c r="C125" s="62"/>
      <c r="D125" s="63"/>
      <c r="E125" s="64"/>
      <c r="F125" s="65"/>
      <c r="G125" s="62"/>
      <c r="H125" s="66"/>
      <c r="I125" s="67"/>
      <c r="J125" s="67"/>
      <c r="K125" s="31"/>
      <c r="L125" s="75">
        <v>125</v>
      </c>
      <c r="M125"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25" s="69"/>
      <c r="O125" t="s">
        <v>704</v>
      </c>
      <c r="P125" s="76">
        <v>45510.675000000003</v>
      </c>
      <c r="Q125" t="s">
        <v>740</v>
      </c>
      <c r="R125" t="b">
        <v>0</v>
      </c>
      <c r="S125">
        <v>0</v>
      </c>
      <c r="T125">
        <v>2</v>
      </c>
      <c r="U125">
        <v>0</v>
      </c>
      <c r="V125">
        <v>0</v>
      </c>
      <c r="W125">
        <v>185</v>
      </c>
      <c r="AD125" s="77" t="s">
        <v>1367</v>
      </c>
      <c r="AE125" t="s">
        <v>1385</v>
      </c>
      <c r="AF125" s="78" t="str">
        <f>HYPERLINK("https://twitter.com/sibaritastur/status/1820855351123578964")</f>
        <v>https://twitter.com/sibaritastur/status/1820855351123578964</v>
      </c>
      <c r="AG125" s="76">
        <v>45510.675000000003</v>
      </c>
      <c r="AH125" s="80">
        <v>45510</v>
      </c>
      <c r="AI125" s="77" t="s">
        <v>1422</v>
      </c>
      <c r="AW125" s="78" t="str">
        <f>HYPERLINK("https://pbs.twimg.com/profile_images/755574146688487425/mWGvzfb3_normal.jpg")</f>
        <v>https://pbs.twimg.com/profile_images/755574146688487425/mWGvzfb3_normal.jpg</v>
      </c>
      <c r="AX125" s="77" t="s">
        <v>1906</v>
      </c>
      <c r="AY125" s="77" t="s">
        <v>1906</v>
      </c>
      <c r="BA125" s="77" t="s">
        <v>2494</v>
      </c>
      <c r="BB125" s="77" t="s">
        <v>2046</v>
      </c>
      <c r="BC125" s="77" t="s">
        <v>2494</v>
      </c>
      <c r="BD125" s="77" t="s">
        <v>2046</v>
      </c>
      <c r="BE125">
        <v>89679388</v>
      </c>
      <c r="BK125" s="112" t="str">
        <f>REPLACE(INDEX(GroupVertices[Group], MATCH("~"&amp;Edges[[#This Row],[Vertex 1]],GroupVertices[Vertex],0)),1,1,"")</f>
        <v>96</v>
      </c>
      <c r="BL125" s="112" t="str">
        <f>REPLACE(INDEX(GroupVertices[Group], MATCH("~"&amp;Edges[[#This Row],[Vertex 2]],GroupVertices[Vertex],0)),1,1,"")</f>
        <v>96</v>
      </c>
    </row>
    <row r="126" spans="1:64" x14ac:dyDescent="0.25">
      <c r="A126" s="61" t="s">
        <v>258</v>
      </c>
      <c r="B126" s="61" t="s">
        <v>535</v>
      </c>
      <c r="C126" s="62"/>
      <c r="D126" s="63"/>
      <c r="E126" s="64"/>
      <c r="F126" s="65"/>
      <c r="G126" s="62"/>
      <c r="H126" s="66"/>
      <c r="I126" s="67"/>
      <c r="J126" s="67"/>
      <c r="K126" s="31"/>
      <c r="L126" s="75">
        <v>126</v>
      </c>
      <c r="M126"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26" s="69"/>
      <c r="O126" t="s">
        <v>701</v>
      </c>
      <c r="P126" s="76">
        <v>45509.862488425926</v>
      </c>
      <c r="Q126" t="s">
        <v>751</v>
      </c>
      <c r="R126" t="b">
        <v>0</v>
      </c>
      <c r="S126">
        <v>0</v>
      </c>
      <c r="T126">
        <v>4</v>
      </c>
      <c r="U126">
        <v>0</v>
      </c>
      <c r="V126">
        <v>0</v>
      </c>
      <c r="W126">
        <v>177</v>
      </c>
      <c r="AA126" t="s">
        <v>535</v>
      </c>
      <c r="AD126" s="77" t="s">
        <v>1366</v>
      </c>
      <c r="AE126" t="s">
        <v>1385</v>
      </c>
      <c r="AF126" s="78" t="str">
        <f>HYPERLINK("https://twitter.com/mirna_marta/status/1820560906520006924")</f>
        <v>https://twitter.com/mirna_marta/status/1820560906520006924</v>
      </c>
      <c r="AG126" s="76">
        <v>45509.862488425926</v>
      </c>
      <c r="AH126" s="80">
        <v>45509</v>
      </c>
      <c r="AI126" s="77" t="s">
        <v>1433</v>
      </c>
      <c r="AW126" s="78" t="str">
        <f>HYPERLINK("https://abs.twimg.com/sticky/default_profile_images/default_profile_normal.png")</f>
        <v>https://abs.twimg.com/sticky/default_profile_images/default_profile_normal.png</v>
      </c>
      <c r="AX126" s="77" t="s">
        <v>1917</v>
      </c>
      <c r="AY126" s="77" t="s">
        <v>2272</v>
      </c>
      <c r="AZ126" s="77" t="s">
        <v>2386</v>
      </c>
      <c r="BA126" s="77" t="s">
        <v>2272</v>
      </c>
      <c r="BB126" s="77" t="s">
        <v>2494</v>
      </c>
      <c r="BC126" s="77" t="s">
        <v>2494</v>
      </c>
      <c r="BD126" s="77" t="s">
        <v>2272</v>
      </c>
      <c r="BE126" s="77" t="s">
        <v>2547</v>
      </c>
      <c r="BK126" s="112" t="str">
        <f>REPLACE(INDEX(GroupVertices[Group], MATCH("~"&amp;Edges[[#This Row],[Vertex 1]],GroupVertices[Vertex],0)),1,1,"")</f>
        <v>95</v>
      </c>
      <c r="BL126" s="112" t="str">
        <f>REPLACE(INDEX(GroupVertices[Group], MATCH("~"&amp;Edges[[#This Row],[Vertex 2]],GroupVertices[Vertex],0)),1,1,"")</f>
        <v>95</v>
      </c>
    </row>
    <row r="127" spans="1:64" x14ac:dyDescent="0.25">
      <c r="A127" s="61" t="s">
        <v>449</v>
      </c>
      <c r="B127" s="61" t="s">
        <v>449</v>
      </c>
      <c r="C127" s="62"/>
      <c r="D127" s="63"/>
      <c r="E127" s="64"/>
      <c r="F127" s="65"/>
      <c r="G127" s="62"/>
      <c r="H127" s="66"/>
      <c r="I127" s="67"/>
      <c r="J127" s="67"/>
      <c r="K127" s="31"/>
      <c r="L127" s="75">
        <v>127</v>
      </c>
      <c r="M127"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27" s="69"/>
      <c r="O127" t="s">
        <v>177</v>
      </c>
      <c r="P127" s="76">
        <v>45505.624537037038</v>
      </c>
      <c r="Q127" t="s">
        <v>1024</v>
      </c>
      <c r="R127" t="b">
        <v>0</v>
      </c>
      <c r="S127">
        <v>0</v>
      </c>
      <c r="T127">
        <v>0</v>
      </c>
      <c r="U127">
        <v>0</v>
      </c>
      <c r="V127">
        <v>0</v>
      </c>
      <c r="W127">
        <v>173</v>
      </c>
      <c r="Y127" s="78" t="str">
        <f>HYPERLINK("https://www.encancha.cl/enlahora/servicios/2024/08/01/este-viernes-comienzan-las-postulaciones-al-sistema-de-admision-escolar-2025-como-postular/")</f>
        <v>https://www.encancha.cl/enlahora/servicios/2024/08/01/este-viernes-comienzan-las-postulaciones-al-sistema-de-admision-escolar-2025-como-postular/</v>
      </c>
      <c r="Z127" t="s">
        <v>1196</v>
      </c>
      <c r="AD127" s="77" t="s">
        <v>1367</v>
      </c>
      <c r="AE127" t="s">
        <v>1385</v>
      </c>
      <c r="AF127" s="78" t="str">
        <f>HYPERLINK("https://twitter.com/enlahoracl/status/1819025124319728101")</f>
        <v>https://twitter.com/enlahoracl/status/1819025124319728101</v>
      </c>
      <c r="AG127" s="76">
        <v>45505.624537037038</v>
      </c>
      <c r="AH127" s="80">
        <v>45505</v>
      </c>
      <c r="AI127" s="77" t="s">
        <v>1702</v>
      </c>
      <c r="AJ127" t="b">
        <v>0</v>
      </c>
      <c r="AW127" s="78" t="str">
        <f>HYPERLINK("https://pbs.twimg.com/profile_images/1377357480322289669/zFO40nD__normal.jpg")</f>
        <v>https://pbs.twimg.com/profile_images/1377357480322289669/zFO40nD__normal.jpg</v>
      </c>
      <c r="AX127" s="77" t="s">
        <v>2190</v>
      </c>
      <c r="AY127" s="77" t="s">
        <v>2190</v>
      </c>
      <c r="BA127" s="77" t="s">
        <v>2494</v>
      </c>
      <c r="BB127" s="77" t="s">
        <v>2494</v>
      </c>
      <c r="BC127" s="77" t="s">
        <v>2494</v>
      </c>
      <c r="BD127" s="77" t="s">
        <v>2190</v>
      </c>
      <c r="BE127" s="77" t="s">
        <v>2623</v>
      </c>
      <c r="BK127" s="112" t="str">
        <f>REPLACE(INDEX(GroupVertices[Group], MATCH("~"&amp;Edges[[#This Row],[Vertex 1]],GroupVertices[Vertex],0)),1,1,"")</f>
        <v>170</v>
      </c>
      <c r="BL127" s="112" t="str">
        <f>REPLACE(INDEX(GroupVertices[Group], MATCH("~"&amp;Edges[[#This Row],[Vertex 2]],GroupVertices[Vertex],0)),1,1,"")</f>
        <v>170</v>
      </c>
    </row>
    <row r="128" spans="1:64" x14ac:dyDescent="0.25">
      <c r="A128" s="61" t="s">
        <v>236</v>
      </c>
      <c r="B128" s="61" t="s">
        <v>236</v>
      </c>
      <c r="C128" s="62"/>
      <c r="D128" s="63"/>
      <c r="E128" s="64"/>
      <c r="F128" s="65"/>
      <c r="G128" s="62"/>
      <c r="H128" s="66"/>
      <c r="I128" s="67"/>
      <c r="J128" s="67"/>
      <c r="K128" s="31"/>
      <c r="L128" s="75">
        <v>128</v>
      </c>
      <c r="M128"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28" s="69"/>
      <c r="O128" t="s">
        <v>177</v>
      </c>
      <c r="P128" s="76">
        <v>45507.687256944446</v>
      </c>
      <c r="Q128" t="s">
        <v>719</v>
      </c>
      <c r="R128" t="b">
        <v>0</v>
      </c>
      <c r="S128">
        <v>0</v>
      </c>
      <c r="T128">
        <v>9</v>
      </c>
      <c r="U128">
        <v>0</v>
      </c>
      <c r="V128">
        <v>0</v>
      </c>
      <c r="W128">
        <v>172</v>
      </c>
      <c r="AD128" s="77" t="s">
        <v>1365</v>
      </c>
      <c r="AE128" t="s">
        <v>1385</v>
      </c>
      <c r="AF128" s="78" t="str">
        <f>HYPERLINK("https://twitter.com/fridomessi/status/1819772630125224068")</f>
        <v>https://twitter.com/fridomessi/status/1819772630125224068</v>
      </c>
      <c r="AG128" s="76">
        <v>45507.687256944446</v>
      </c>
      <c r="AH128" s="80">
        <v>45507</v>
      </c>
      <c r="AI128" s="77" t="s">
        <v>1401</v>
      </c>
      <c r="AW128" s="78" t="str">
        <f>HYPERLINK("https://pbs.twimg.com/profile_images/1925109894241243136/UMtjvxHI_normal.jpg")</f>
        <v>https://pbs.twimg.com/profile_images/1925109894241243136/UMtjvxHI_normal.jpg</v>
      </c>
      <c r="AX128" s="77" t="s">
        <v>1885</v>
      </c>
      <c r="AY128" s="77" t="s">
        <v>1885</v>
      </c>
      <c r="BA128" s="77" t="s">
        <v>2494</v>
      </c>
      <c r="BB128" s="77" t="s">
        <v>2494</v>
      </c>
      <c r="BC128" s="77" t="s">
        <v>2494</v>
      </c>
      <c r="BD128" s="77" t="s">
        <v>1885</v>
      </c>
      <c r="BE128" s="77" t="s">
        <v>2538</v>
      </c>
      <c r="BK128" s="112" t="str">
        <f>REPLACE(INDEX(GroupVertices[Group], MATCH("~"&amp;Edges[[#This Row],[Vertex 1]],GroupVertices[Vertex],0)),1,1,"")</f>
        <v>169</v>
      </c>
      <c r="BL128" s="112" t="str">
        <f>REPLACE(INDEX(GroupVertices[Group], MATCH("~"&amp;Edges[[#This Row],[Vertex 2]],GroupVertices[Vertex],0)),1,1,"")</f>
        <v>169</v>
      </c>
    </row>
    <row r="129" spans="1:64" x14ac:dyDescent="0.25">
      <c r="A129" s="61" t="s">
        <v>505</v>
      </c>
      <c r="B129" s="61" t="s">
        <v>514</v>
      </c>
      <c r="C129" s="62"/>
      <c r="D129" s="63"/>
      <c r="E129" s="64"/>
      <c r="F129" s="65"/>
      <c r="G129" s="62"/>
      <c r="H129" s="66"/>
      <c r="I129" s="67"/>
      <c r="J129" s="67"/>
      <c r="K129" s="31"/>
      <c r="L129" s="75">
        <v>129</v>
      </c>
      <c r="M129"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29" s="69"/>
      <c r="O129" t="s">
        <v>701</v>
      </c>
      <c r="P129" s="76">
        <v>45506.150949074072</v>
      </c>
      <c r="Q129" t="s">
        <v>1087</v>
      </c>
      <c r="R129" t="b">
        <v>0</v>
      </c>
      <c r="S129">
        <v>6</v>
      </c>
      <c r="T129">
        <v>7</v>
      </c>
      <c r="U129">
        <v>1</v>
      </c>
      <c r="V129">
        <v>0</v>
      </c>
      <c r="W129">
        <v>170</v>
      </c>
      <c r="AA129" t="s">
        <v>514</v>
      </c>
      <c r="AD129" s="77" t="s">
        <v>1366</v>
      </c>
      <c r="AE129" t="s">
        <v>1385</v>
      </c>
      <c r="AF129" s="78" t="str">
        <f>HYPERLINK("https://twitter.com/becasess/status/1819215891772363065")</f>
        <v>https://twitter.com/becasess/status/1819215891772363065</v>
      </c>
      <c r="AG129" s="76">
        <v>45506.150949074072</v>
      </c>
      <c r="AH129" s="80">
        <v>45506</v>
      </c>
      <c r="AI129" s="77" t="s">
        <v>1763</v>
      </c>
      <c r="AW129" s="78" t="str">
        <f>HYPERLINK("https://pbs.twimg.com/profile_images/1602688302787661824/RyXy7zMy_normal.jpg")</f>
        <v>https://pbs.twimg.com/profile_images/1602688302787661824/RyXy7zMy_normal.jpg</v>
      </c>
      <c r="AX129" s="77" t="s">
        <v>2253</v>
      </c>
      <c r="AY129" s="77" t="s">
        <v>2259</v>
      </c>
      <c r="AZ129" s="77" t="s">
        <v>2373</v>
      </c>
      <c r="BA129" s="77" t="s">
        <v>2259</v>
      </c>
      <c r="BB129" s="77" t="s">
        <v>2494</v>
      </c>
      <c r="BC129" s="77" t="s">
        <v>2494</v>
      </c>
      <c r="BD129" s="77" t="s">
        <v>2259</v>
      </c>
      <c r="BE129" s="77" t="s">
        <v>2644</v>
      </c>
      <c r="BK129" s="112" t="str">
        <f>REPLACE(INDEX(GroupVertices[Group], MATCH("~"&amp;Edges[[#This Row],[Vertex 1]],GroupVertices[Vertex],0)),1,1,"")</f>
        <v>7</v>
      </c>
      <c r="BL129" s="112" t="str">
        <f>REPLACE(INDEX(GroupVertices[Group], MATCH("~"&amp;Edges[[#This Row],[Vertex 2]],GroupVertices[Vertex],0)),1,1,"")</f>
        <v>7</v>
      </c>
    </row>
    <row r="130" spans="1:64" x14ac:dyDescent="0.25">
      <c r="A130" s="61" t="s">
        <v>377</v>
      </c>
      <c r="B130" s="61" t="s">
        <v>637</v>
      </c>
      <c r="C130" s="62"/>
      <c r="D130" s="63"/>
      <c r="E130" s="64"/>
      <c r="F130" s="65"/>
      <c r="G130" s="62"/>
      <c r="H130" s="66"/>
      <c r="I130" s="67"/>
      <c r="J130" s="67"/>
      <c r="K130" s="31"/>
      <c r="L130" s="75">
        <v>130</v>
      </c>
      <c r="M130"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30" s="69"/>
      <c r="O130" t="s">
        <v>702</v>
      </c>
      <c r="P130" s="76">
        <v>45509.480555555558</v>
      </c>
      <c r="Q130" t="s">
        <v>941</v>
      </c>
      <c r="R130" t="b">
        <v>0</v>
      </c>
      <c r="S130">
        <v>1</v>
      </c>
      <c r="T130">
        <v>2</v>
      </c>
      <c r="U130">
        <v>0</v>
      </c>
      <c r="V130">
        <v>0</v>
      </c>
      <c r="W130">
        <v>166</v>
      </c>
      <c r="Y130" s="78" t="str">
        <f>HYPERLINK("https://www.olimerca.com//noticiadet/ofertas-y-demandas-de-empleo-para-la-recoleccion-de-aceituna-sevillana/48b654cb99302b009de9baf80825845b")</f>
        <v>https://www.olimerca.com//noticiadet/ofertas-y-demandas-de-empleo-para-la-recoleccion-de-aceituna-sevillana/48b654cb99302b009de9baf80825845b</v>
      </c>
      <c r="Z130" t="s">
        <v>1178</v>
      </c>
      <c r="AA130" t="s">
        <v>637</v>
      </c>
      <c r="AD130" s="77" t="s">
        <v>1367</v>
      </c>
      <c r="AE130" t="s">
        <v>1385</v>
      </c>
      <c r="AF130" s="78" t="str">
        <f>HYPERLINK("https://twitter.com/revistaolimerca/status/1820422499823460603")</f>
        <v>https://twitter.com/revistaolimerca/status/1820422499823460603</v>
      </c>
      <c r="AG130" s="76">
        <v>45509.480555555558</v>
      </c>
      <c r="AH130" s="80">
        <v>45509</v>
      </c>
      <c r="AI130" s="77" t="s">
        <v>1621</v>
      </c>
      <c r="AJ130" t="b">
        <v>0</v>
      </c>
      <c r="AW130" s="78" t="str">
        <f>HYPERLINK("https://pbs.twimg.com/profile_images/1247544606268575745/EqWteYCg_normal.jpg")</f>
        <v>https://pbs.twimg.com/profile_images/1247544606268575745/EqWteYCg_normal.jpg</v>
      </c>
      <c r="AX130" s="77" t="s">
        <v>2107</v>
      </c>
      <c r="AY130" s="77" t="s">
        <v>2107</v>
      </c>
      <c r="BA130" s="77" t="s">
        <v>2494</v>
      </c>
      <c r="BB130" s="77" t="s">
        <v>2494</v>
      </c>
      <c r="BC130" s="77" t="s">
        <v>2494</v>
      </c>
      <c r="BD130" s="77" t="s">
        <v>2107</v>
      </c>
      <c r="BE130">
        <v>541828362</v>
      </c>
      <c r="BK130" s="112" t="str">
        <f>REPLACE(INDEX(GroupVertices[Group], MATCH("~"&amp;Edges[[#This Row],[Vertex 1]],GroupVertices[Vertex],0)),1,1,"")</f>
        <v>94</v>
      </c>
      <c r="BL130" s="112" t="str">
        <f>REPLACE(INDEX(GroupVertices[Group], MATCH("~"&amp;Edges[[#This Row],[Vertex 2]],GroupVertices[Vertex],0)),1,1,"")</f>
        <v>94</v>
      </c>
    </row>
    <row r="131" spans="1:64" x14ac:dyDescent="0.25">
      <c r="A131" s="61" t="s">
        <v>250</v>
      </c>
      <c r="B131" s="61" t="s">
        <v>250</v>
      </c>
      <c r="C131" s="62"/>
      <c r="D131" s="63"/>
      <c r="E131" s="64"/>
      <c r="F131" s="65"/>
      <c r="G131" s="62"/>
      <c r="H131" s="66"/>
      <c r="I131" s="67"/>
      <c r="J131" s="67"/>
      <c r="K131" s="31"/>
      <c r="L131" s="75">
        <v>131</v>
      </c>
      <c r="M131"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31" s="69"/>
      <c r="O131" t="s">
        <v>702</v>
      </c>
      <c r="P131" s="76">
        <v>45506.670138888891</v>
      </c>
      <c r="Q131" t="s">
        <v>741</v>
      </c>
      <c r="R131" t="b">
        <v>0</v>
      </c>
      <c r="S131">
        <v>0</v>
      </c>
      <c r="T131">
        <v>0</v>
      </c>
      <c r="U131">
        <v>0</v>
      </c>
      <c r="V131">
        <v>0</v>
      </c>
      <c r="W131">
        <v>153</v>
      </c>
      <c r="Y131" s="78" t="str">
        <f>HYPERLINK("https://www.preludioradio.cl/entrevista-exclusiva-con-el-seremi-de-educacion-consejos-clave-para-el-proceso-de-admision-escolar-2025/")</f>
        <v>https://www.preludioradio.cl/entrevista-exclusiva-con-el-seremi-de-educacion-consejos-clave-para-el-proceso-de-admision-escolar-2025/</v>
      </c>
      <c r="Z131" t="s">
        <v>1139</v>
      </c>
      <c r="AA131" t="s">
        <v>250</v>
      </c>
      <c r="AD131" s="77" t="s">
        <v>1367</v>
      </c>
      <c r="AE131" t="s">
        <v>1385</v>
      </c>
      <c r="AF131" s="78" t="str">
        <f>HYPERLINK("https://twitter.com/preludioradio/status/1819404038569402862")</f>
        <v>https://twitter.com/preludioradio/status/1819404038569402862</v>
      </c>
      <c r="AG131" s="76">
        <v>45506.670138888891</v>
      </c>
      <c r="AH131" s="80">
        <v>45506</v>
      </c>
      <c r="AI131" s="77" t="s">
        <v>1423</v>
      </c>
      <c r="AJ131" t="b">
        <v>0</v>
      </c>
      <c r="AW131" s="78" t="str">
        <f>HYPERLINK("https://pbs.twimg.com/profile_images/1796270293335343104/6hULqnAh_normal.jpg")</f>
        <v>https://pbs.twimg.com/profile_images/1796270293335343104/6hULqnAh_normal.jpg</v>
      </c>
      <c r="AX131" s="77" t="s">
        <v>1907</v>
      </c>
      <c r="AY131" s="77" t="s">
        <v>1907</v>
      </c>
      <c r="BA131" s="77" t="s">
        <v>2494</v>
      </c>
      <c r="BB131" s="77" t="s">
        <v>2494</v>
      </c>
      <c r="BC131" s="77" t="s">
        <v>2494</v>
      </c>
      <c r="BD131" s="77" t="s">
        <v>1907</v>
      </c>
      <c r="BE131">
        <v>1241464651</v>
      </c>
      <c r="BK131" s="112" t="str">
        <f>REPLACE(INDEX(GroupVertices[Group], MATCH("~"&amp;Edges[[#This Row],[Vertex 1]],GroupVertices[Vertex],0)),1,1,"")</f>
        <v>168</v>
      </c>
      <c r="BL131" s="112" t="str">
        <f>REPLACE(INDEX(GroupVertices[Group], MATCH("~"&amp;Edges[[#This Row],[Vertex 2]],GroupVertices[Vertex],0)),1,1,"")</f>
        <v>168</v>
      </c>
    </row>
    <row r="132" spans="1:64" x14ac:dyDescent="0.25">
      <c r="A132" s="61" t="s">
        <v>333</v>
      </c>
      <c r="B132" s="61" t="s">
        <v>333</v>
      </c>
      <c r="C132" s="62"/>
      <c r="D132" s="63"/>
      <c r="E132" s="64"/>
      <c r="F132" s="65"/>
      <c r="G132" s="62"/>
      <c r="H132" s="66"/>
      <c r="I132" s="67"/>
      <c r="J132" s="67"/>
      <c r="K132" s="31"/>
      <c r="L132" s="75">
        <v>132</v>
      </c>
      <c r="M132"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32" s="69"/>
      <c r="O132" t="s">
        <v>177</v>
      </c>
      <c r="P132" s="76">
        <v>45509.790613425925</v>
      </c>
      <c r="Q132" t="s">
        <v>886</v>
      </c>
      <c r="R132" t="b">
        <v>0</v>
      </c>
      <c r="S132">
        <v>0</v>
      </c>
      <c r="T132">
        <v>1</v>
      </c>
      <c r="U132">
        <v>0</v>
      </c>
      <c r="V132">
        <v>0</v>
      </c>
      <c r="W132">
        <v>153</v>
      </c>
      <c r="AB132" t="s">
        <v>1299</v>
      </c>
      <c r="AC132" t="s">
        <v>1359</v>
      </c>
      <c r="AD132" s="77" t="s">
        <v>1367</v>
      </c>
      <c r="AE132" t="s">
        <v>1385</v>
      </c>
      <c r="AF132" s="78" t="str">
        <f>HYPERLINK("https://twitter.com/tombolauy/status/1820534859737244083")</f>
        <v>https://twitter.com/tombolauy/status/1820534859737244083</v>
      </c>
      <c r="AG132" s="76">
        <v>45509.790613425925</v>
      </c>
      <c r="AH132" s="80">
        <v>45509</v>
      </c>
      <c r="AI132" s="77" t="s">
        <v>1566</v>
      </c>
      <c r="AJ132" t="b">
        <v>0</v>
      </c>
      <c r="AR132" t="s">
        <v>1812</v>
      </c>
      <c r="AW132" s="78" t="str">
        <f>HYPERLINK("https://pbs.twimg.com/media/GUPWzVhWkAAPw6j.jpg")</f>
        <v>https://pbs.twimg.com/media/GUPWzVhWkAAPw6j.jpg</v>
      </c>
      <c r="AX132" s="77" t="s">
        <v>2052</v>
      </c>
      <c r="AY132" s="77" t="s">
        <v>2052</v>
      </c>
      <c r="BA132" s="77" t="s">
        <v>2494</v>
      </c>
      <c r="BB132" s="77" t="s">
        <v>2494</v>
      </c>
      <c r="BC132" s="77" t="s">
        <v>2494</v>
      </c>
      <c r="BD132" s="77" t="s">
        <v>2052</v>
      </c>
      <c r="BE132" s="77" t="s">
        <v>2579</v>
      </c>
      <c r="BK132" s="112" t="str">
        <f>REPLACE(INDEX(GroupVertices[Group], MATCH("~"&amp;Edges[[#This Row],[Vertex 1]],GroupVertices[Vertex],0)),1,1,"")</f>
        <v>167</v>
      </c>
      <c r="BL132" s="112" t="str">
        <f>REPLACE(INDEX(GroupVertices[Group], MATCH("~"&amp;Edges[[#This Row],[Vertex 2]],GroupVertices[Vertex],0)),1,1,"")</f>
        <v>167</v>
      </c>
    </row>
    <row r="133" spans="1:64" x14ac:dyDescent="0.25">
      <c r="A133" s="61" t="s">
        <v>367</v>
      </c>
      <c r="B133" s="61" t="s">
        <v>624</v>
      </c>
      <c r="C133" s="62"/>
      <c r="D133" s="63"/>
      <c r="E133" s="64"/>
      <c r="F133" s="65"/>
      <c r="G133" s="62"/>
      <c r="H133" s="66"/>
      <c r="I133" s="67"/>
      <c r="J133" s="67"/>
      <c r="K133" s="31"/>
      <c r="L133" s="75">
        <v>133</v>
      </c>
      <c r="M133"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33" s="69"/>
      <c r="O133" t="s">
        <v>702</v>
      </c>
      <c r="P133" s="76">
        <v>45505.594976851855</v>
      </c>
      <c r="Q133" t="s">
        <v>928</v>
      </c>
      <c r="R133" t="b">
        <v>0</v>
      </c>
      <c r="S133">
        <v>0</v>
      </c>
      <c r="T133">
        <v>0</v>
      </c>
      <c r="U133">
        <v>0</v>
      </c>
      <c r="V133">
        <v>0</v>
      </c>
      <c r="W133">
        <v>151</v>
      </c>
      <c r="Y133" s="78" t="str">
        <f>HYPERLINK("https://youtu.be/beu4FjEJY2Y?si=YT-GSZ0hhhgHs67G")</f>
        <v>https://youtu.be/beu4FjEJY2Y?si=YT-GSZ0hhhgHs67G</v>
      </c>
      <c r="Z133" t="s">
        <v>1174</v>
      </c>
      <c r="AA133" t="s">
        <v>624</v>
      </c>
      <c r="AD133" s="77" t="s">
        <v>1366</v>
      </c>
      <c r="AE133" t="s">
        <v>1385</v>
      </c>
      <c r="AF133" s="78" t="str">
        <f>HYPERLINK("https://twitter.com/estandartese16/status/1819014411475915241")</f>
        <v>https://twitter.com/estandartese16/status/1819014411475915241</v>
      </c>
      <c r="AG133" s="76">
        <v>45505.594976851855</v>
      </c>
      <c r="AH133" s="80">
        <v>45505</v>
      </c>
      <c r="AI133" s="77" t="s">
        <v>1608</v>
      </c>
      <c r="AJ133" t="b">
        <v>0</v>
      </c>
      <c r="AW133" s="78" t="str">
        <f>HYPERLINK("https://pbs.twimg.com/profile_images/1633062575637254144/EiN7pgvv_normal.jpg")</f>
        <v>https://pbs.twimg.com/profile_images/1633062575637254144/EiN7pgvv_normal.jpg</v>
      </c>
      <c r="AX133" s="77" t="s">
        <v>2094</v>
      </c>
      <c r="AY133" s="77" t="s">
        <v>2094</v>
      </c>
      <c r="BA133" s="77" t="s">
        <v>2494</v>
      </c>
      <c r="BB133" s="77" t="s">
        <v>2494</v>
      </c>
      <c r="BC133" s="77" t="s">
        <v>2494</v>
      </c>
      <c r="BD133" s="77" t="s">
        <v>2094</v>
      </c>
      <c r="BE133" s="77" t="s">
        <v>2592</v>
      </c>
      <c r="BK133" s="112" t="str">
        <f>REPLACE(INDEX(GroupVertices[Group], MATCH("~"&amp;Edges[[#This Row],[Vertex 1]],GroupVertices[Vertex],0)),1,1,"")</f>
        <v>93</v>
      </c>
      <c r="BL133" s="112" t="str">
        <f>REPLACE(INDEX(GroupVertices[Group], MATCH("~"&amp;Edges[[#This Row],[Vertex 2]],GroupVertices[Vertex],0)),1,1,"")</f>
        <v>93</v>
      </c>
    </row>
    <row r="134" spans="1:64" x14ac:dyDescent="0.25">
      <c r="A134" s="61" t="s">
        <v>361</v>
      </c>
      <c r="B134" s="61" t="s">
        <v>361</v>
      </c>
      <c r="C134" s="62"/>
      <c r="D134" s="63"/>
      <c r="E134" s="64"/>
      <c r="F134" s="65"/>
      <c r="G134" s="62"/>
      <c r="H134" s="66"/>
      <c r="I134" s="67"/>
      <c r="J134" s="67"/>
      <c r="K134" s="31"/>
      <c r="L134" s="75">
        <v>134</v>
      </c>
      <c r="M134"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34" s="69"/>
      <c r="O134" t="s">
        <v>177</v>
      </c>
      <c r="P134" s="76">
        <v>45509.006493055553</v>
      </c>
      <c r="Q134" t="s">
        <v>922</v>
      </c>
      <c r="R134" t="b">
        <v>0</v>
      </c>
      <c r="S134">
        <v>0</v>
      </c>
      <c r="T134">
        <v>3</v>
      </c>
      <c r="U134">
        <v>0</v>
      </c>
      <c r="V134">
        <v>0</v>
      </c>
      <c r="W134">
        <v>145</v>
      </c>
      <c r="X134" s="77" t="s">
        <v>1113</v>
      </c>
      <c r="Y134" s="78" t="str">
        <f>HYPERLINK("https://www.instagram.com/reel/C-QpCwxSiZk/?igsh=cWs0bG02Z2xrZHBs")</f>
        <v>https://www.instagram.com/reel/C-QpCwxSiZk/?igsh=cWs0bG02Z2xrZHBs</v>
      </c>
      <c r="Z134" t="s">
        <v>1171</v>
      </c>
      <c r="AD134" s="77" t="s">
        <v>1365</v>
      </c>
      <c r="AE134" t="s">
        <v>1385</v>
      </c>
      <c r="AF134" s="78" t="str">
        <f>HYPERLINK("https://twitter.com/pjgs40/status/1820250707267571890")</f>
        <v>https://twitter.com/pjgs40/status/1820250707267571890</v>
      </c>
      <c r="AG134" s="76">
        <v>45509.006493055553</v>
      </c>
      <c r="AH134" s="80">
        <v>45509</v>
      </c>
      <c r="AI134" s="77" t="s">
        <v>1602</v>
      </c>
      <c r="AJ134" t="b">
        <v>0</v>
      </c>
      <c r="AW134" s="78" t="str">
        <f>HYPERLINK("https://pbs.twimg.com/profile_images/1530649160/184767_1908800483264_1339386563_2217898_3155795_n_normal.jpg")</f>
        <v>https://pbs.twimg.com/profile_images/1530649160/184767_1908800483264_1339386563_2217898_3155795_n_normal.jpg</v>
      </c>
      <c r="AX134" s="77" t="s">
        <v>2088</v>
      </c>
      <c r="AY134" s="77" t="s">
        <v>2088</v>
      </c>
      <c r="BA134" s="77" t="s">
        <v>2494</v>
      </c>
      <c r="BB134" s="77" t="s">
        <v>2494</v>
      </c>
      <c r="BC134" s="77" t="s">
        <v>2494</v>
      </c>
      <c r="BD134" s="77" t="s">
        <v>2088</v>
      </c>
      <c r="BE134">
        <v>260408604</v>
      </c>
      <c r="BK134" s="112" t="str">
        <f>REPLACE(INDEX(GroupVertices[Group], MATCH("~"&amp;Edges[[#This Row],[Vertex 1]],GroupVertices[Vertex],0)),1,1,"")</f>
        <v>166</v>
      </c>
      <c r="BL134" s="112" t="str">
        <f>REPLACE(INDEX(GroupVertices[Group], MATCH("~"&amp;Edges[[#This Row],[Vertex 2]],GroupVertices[Vertex],0)),1,1,"")</f>
        <v>166</v>
      </c>
    </row>
    <row r="135" spans="1:64" x14ac:dyDescent="0.25">
      <c r="A135" s="61" t="s">
        <v>379</v>
      </c>
      <c r="B135" s="61" t="s">
        <v>379</v>
      </c>
      <c r="C135" s="62"/>
      <c r="D135" s="63"/>
      <c r="E135" s="64"/>
      <c r="F135" s="65"/>
      <c r="G135" s="62"/>
      <c r="H135" s="66"/>
      <c r="I135" s="67"/>
      <c r="J135" s="67"/>
      <c r="K135" s="31"/>
      <c r="L135" s="75">
        <v>135</v>
      </c>
      <c r="M135"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35" s="69"/>
      <c r="O135" t="s">
        <v>177</v>
      </c>
      <c r="P135" s="76">
        <v>45506.548275462963</v>
      </c>
      <c r="Q135" t="s">
        <v>943</v>
      </c>
      <c r="R135" t="b">
        <v>0</v>
      </c>
      <c r="S135">
        <v>0</v>
      </c>
      <c r="T135">
        <v>0</v>
      </c>
      <c r="U135">
        <v>0</v>
      </c>
      <c r="V135">
        <v>0</v>
      </c>
      <c r="W135">
        <v>144</v>
      </c>
      <c r="Y135" s="78" t="str">
        <f>HYPERLINK("https://elresumen.cl/7976-el-sistema-de-admision-escolar-abre-su-periodo-de-postulaciones-el-2-de-agosto")</f>
        <v>https://elresumen.cl/7976-el-sistema-de-admision-escolar-abre-su-periodo-de-postulaciones-el-2-de-agosto</v>
      </c>
      <c r="Z135" t="s">
        <v>1179</v>
      </c>
      <c r="AD135" s="77" t="s">
        <v>1381</v>
      </c>
      <c r="AE135" t="s">
        <v>1385</v>
      </c>
      <c r="AF135" s="78" t="str">
        <f>HYPERLINK("https://twitter.com/elresumencl/status/1819359876348314082")</f>
        <v>https://twitter.com/elresumencl/status/1819359876348314082</v>
      </c>
      <c r="AG135" s="76">
        <v>45506.548275462963</v>
      </c>
      <c r="AH135" s="80">
        <v>45506</v>
      </c>
      <c r="AI135" s="77" t="s">
        <v>1623</v>
      </c>
      <c r="AJ135" t="b">
        <v>0</v>
      </c>
      <c r="AW135" s="78" t="str">
        <f>HYPERLINK("https://pbs.twimg.com/profile_images/1657646001451159553/1U3T8bT9_normal.jpg")</f>
        <v>https://pbs.twimg.com/profile_images/1657646001451159553/1U3T8bT9_normal.jpg</v>
      </c>
      <c r="AX135" s="77" t="s">
        <v>2109</v>
      </c>
      <c r="AY135" s="77" t="s">
        <v>2109</v>
      </c>
      <c r="BA135" s="77" t="s">
        <v>2494</v>
      </c>
      <c r="BB135" s="77" t="s">
        <v>2494</v>
      </c>
      <c r="BC135" s="77" t="s">
        <v>2494</v>
      </c>
      <c r="BD135" s="77" t="s">
        <v>2109</v>
      </c>
      <c r="BE135" s="77" t="s">
        <v>2598</v>
      </c>
      <c r="BK135" s="112" t="str">
        <f>REPLACE(INDEX(GroupVertices[Group], MATCH("~"&amp;Edges[[#This Row],[Vertex 1]],GroupVertices[Vertex],0)),1,1,"")</f>
        <v>165</v>
      </c>
      <c r="BL135" s="112" t="str">
        <f>REPLACE(INDEX(GroupVertices[Group], MATCH("~"&amp;Edges[[#This Row],[Vertex 2]],GroupVertices[Vertex],0)),1,1,"")</f>
        <v>165</v>
      </c>
    </row>
    <row r="136" spans="1:64" x14ac:dyDescent="0.25">
      <c r="A136" s="61" t="s">
        <v>243</v>
      </c>
      <c r="B136" s="61" t="s">
        <v>519</v>
      </c>
      <c r="C136" s="62"/>
      <c r="D136" s="63"/>
      <c r="E136" s="64"/>
      <c r="F136" s="65"/>
      <c r="G136" s="62"/>
      <c r="H136" s="66"/>
      <c r="I136" s="67"/>
      <c r="J136" s="67"/>
      <c r="K136" s="31"/>
      <c r="L136" s="75">
        <v>136</v>
      </c>
      <c r="M136"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36" s="69"/>
      <c r="O136" t="s">
        <v>701</v>
      </c>
      <c r="P136" s="76">
        <v>45510.823599537034</v>
      </c>
      <c r="Q136" t="s">
        <v>726</v>
      </c>
      <c r="R136" t="b">
        <v>0</v>
      </c>
      <c r="S136">
        <v>0</v>
      </c>
      <c r="T136">
        <v>0</v>
      </c>
      <c r="U136">
        <v>1</v>
      </c>
      <c r="V136">
        <v>0</v>
      </c>
      <c r="W136">
        <v>140</v>
      </c>
      <c r="AA136" t="s">
        <v>519</v>
      </c>
      <c r="AD136" s="77" t="s">
        <v>1365</v>
      </c>
      <c r="AE136" t="s">
        <v>1385</v>
      </c>
      <c r="AF136" s="78" t="str">
        <f>HYPERLINK("https://twitter.com/lozan_sierra/status/1820909201050497411")</f>
        <v>https://twitter.com/lozan_sierra/status/1820909201050497411</v>
      </c>
      <c r="AG136" s="76">
        <v>45510.823599537034</v>
      </c>
      <c r="AH136" s="80">
        <v>45510</v>
      </c>
      <c r="AI136" s="77" t="s">
        <v>1408</v>
      </c>
      <c r="AW136" s="78" t="str">
        <f>HYPERLINK("https://pbs.twimg.com/profile_images/1915724557937192960/lxYCnMTe_normal.jpg")</f>
        <v>https://pbs.twimg.com/profile_images/1915724557937192960/lxYCnMTe_normal.jpg</v>
      </c>
      <c r="AX136" s="77" t="s">
        <v>1892</v>
      </c>
      <c r="AY136" s="77" t="s">
        <v>2263</v>
      </c>
      <c r="AZ136" s="77" t="s">
        <v>2377</v>
      </c>
      <c r="BA136" s="77" t="s">
        <v>2263</v>
      </c>
      <c r="BB136" s="77" t="s">
        <v>2494</v>
      </c>
      <c r="BC136" s="77" t="s">
        <v>2494</v>
      </c>
      <c r="BD136" s="77" t="s">
        <v>2263</v>
      </c>
      <c r="BE136">
        <v>2275069247</v>
      </c>
      <c r="BK136" s="112" t="str">
        <f>REPLACE(INDEX(GroupVertices[Group], MATCH("~"&amp;Edges[[#This Row],[Vertex 1]],GroupVertices[Vertex],0)),1,1,"")</f>
        <v>92</v>
      </c>
      <c r="BL136" s="112" t="str">
        <f>REPLACE(INDEX(GroupVertices[Group], MATCH("~"&amp;Edges[[#This Row],[Vertex 2]],GroupVertices[Vertex],0)),1,1,"")</f>
        <v>92</v>
      </c>
    </row>
    <row r="137" spans="1:64" x14ac:dyDescent="0.25">
      <c r="A137" s="61" t="s">
        <v>250</v>
      </c>
      <c r="B137" s="61" t="s">
        <v>250</v>
      </c>
      <c r="C137" s="62"/>
      <c r="D137" s="63"/>
      <c r="E137" s="64"/>
      <c r="F137" s="65"/>
      <c r="G137" s="62"/>
      <c r="H137" s="66"/>
      <c r="I137" s="67"/>
      <c r="J137" s="67"/>
      <c r="K137" s="31"/>
      <c r="L137" s="75">
        <v>137</v>
      </c>
      <c r="M137"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37" s="69"/>
      <c r="O137" t="s">
        <v>702</v>
      </c>
      <c r="P137" s="76">
        <v>45506.657708333332</v>
      </c>
      <c r="Q137" t="s">
        <v>742</v>
      </c>
      <c r="R137" t="b">
        <v>0</v>
      </c>
      <c r="S137">
        <v>0</v>
      </c>
      <c r="T137">
        <v>0</v>
      </c>
      <c r="U137">
        <v>0</v>
      </c>
      <c r="V137">
        <v>0</v>
      </c>
      <c r="W137">
        <v>140</v>
      </c>
      <c r="Y137" s="78" t="str">
        <f>HYPERLINK("https://www.preludioradio.cl/entrevista-exclusiva-con-el-seremi-de-educacion-consejos-clave-para-el-proceso-de-admision-escolar-2025/")</f>
        <v>https://www.preludioradio.cl/entrevista-exclusiva-con-el-seremi-de-educacion-consejos-clave-para-el-proceso-de-admision-escolar-2025/</v>
      </c>
      <c r="Z137" t="s">
        <v>1139</v>
      </c>
      <c r="AA137" t="s">
        <v>250</v>
      </c>
      <c r="AD137" s="77" t="s">
        <v>1367</v>
      </c>
      <c r="AE137" t="s">
        <v>1385</v>
      </c>
      <c r="AF137" s="78" t="str">
        <f>HYPERLINK("https://twitter.com/preludioradio/status/1819399534336004197")</f>
        <v>https://twitter.com/preludioradio/status/1819399534336004197</v>
      </c>
      <c r="AG137" s="76">
        <v>45506.657708333332</v>
      </c>
      <c r="AH137" s="80">
        <v>45506</v>
      </c>
      <c r="AI137" s="77" t="s">
        <v>1424</v>
      </c>
      <c r="AJ137" t="b">
        <v>0</v>
      </c>
      <c r="AW137" s="78" t="str">
        <f>HYPERLINK("https://pbs.twimg.com/profile_images/1796270293335343104/6hULqnAh_normal.jpg")</f>
        <v>https://pbs.twimg.com/profile_images/1796270293335343104/6hULqnAh_normal.jpg</v>
      </c>
      <c r="AX137" s="77" t="s">
        <v>1908</v>
      </c>
      <c r="AY137" s="77" t="s">
        <v>1908</v>
      </c>
      <c r="BA137" s="77" t="s">
        <v>2494</v>
      </c>
      <c r="BB137" s="77" t="s">
        <v>2494</v>
      </c>
      <c r="BC137" s="77" t="s">
        <v>2494</v>
      </c>
      <c r="BD137" s="77" t="s">
        <v>1908</v>
      </c>
      <c r="BE137">
        <v>1241464651</v>
      </c>
      <c r="BK137" s="112" t="str">
        <f>REPLACE(INDEX(GroupVertices[Group], MATCH("~"&amp;Edges[[#This Row],[Vertex 1]],GroupVertices[Vertex],0)),1,1,"")</f>
        <v>168</v>
      </c>
      <c r="BL137" s="112" t="str">
        <f>REPLACE(INDEX(GroupVertices[Group], MATCH("~"&amp;Edges[[#This Row],[Vertex 2]],GroupVertices[Vertex],0)),1,1,"")</f>
        <v>168</v>
      </c>
    </row>
    <row r="138" spans="1:64" x14ac:dyDescent="0.25">
      <c r="A138" s="61" t="s">
        <v>345</v>
      </c>
      <c r="B138" s="61" t="s">
        <v>345</v>
      </c>
      <c r="C138" s="62"/>
      <c r="D138" s="63"/>
      <c r="E138" s="64"/>
      <c r="F138" s="65"/>
      <c r="G138" s="62"/>
      <c r="H138" s="66"/>
      <c r="I138" s="67"/>
      <c r="J138" s="67"/>
      <c r="K138" s="31"/>
      <c r="L138" s="75">
        <v>138</v>
      </c>
      <c r="M138"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38" s="69"/>
      <c r="O138" t="s">
        <v>704</v>
      </c>
      <c r="P138" s="76">
        <v>45509.106817129628</v>
      </c>
      <c r="Q138" t="s">
        <v>905</v>
      </c>
      <c r="R138" t="b">
        <v>0</v>
      </c>
      <c r="S138">
        <v>0</v>
      </c>
      <c r="T138">
        <v>3</v>
      </c>
      <c r="U138">
        <v>0</v>
      </c>
      <c r="V138">
        <v>0</v>
      </c>
      <c r="W138">
        <v>138</v>
      </c>
      <c r="AD138" s="77" t="s">
        <v>1366</v>
      </c>
      <c r="AE138" t="s">
        <v>1385</v>
      </c>
      <c r="AF138" s="78" t="str">
        <f>HYPERLINK("https://twitter.com/nrsefobia/status/1820287063238820003")</f>
        <v>https://twitter.com/nrsefobia/status/1820287063238820003</v>
      </c>
      <c r="AG138" s="76">
        <v>45509.106817129628</v>
      </c>
      <c r="AH138" s="80">
        <v>45509</v>
      </c>
      <c r="AI138" s="77" t="s">
        <v>1585</v>
      </c>
      <c r="AW138" s="78" t="str">
        <f>HYPERLINK("https://pbs.twimg.com/profile_images/1923078047525228544/GK_l1uLL_normal.png")</f>
        <v>https://pbs.twimg.com/profile_images/1923078047525228544/GK_l1uLL_normal.png</v>
      </c>
      <c r="AX138" s="77" t="s">
        <v>2071</v>
      </c>
      <c r="AY138" s="77" t="s">
        <v>2071</v>
      </c>
      <c r="BA138" s="77" t="s">
        <v>2494</v>
      </c>
      <c r="BB138" s="77" t="s">
        <v>2070</v>
      </c>
      <c r="BC138" s="77" t="s">
        <v>2494</v>
      </c>
      <c r="BD138" s="77" t="s">
        <v>2070</v>
      </c>
      <c r="BE138" s="77" t="s">
        <v>2581</v>
      </c>
      <c r="BK138" s="112" t="str">
        <f>REPLACE(INDEX(GroupVertices[Group], MATCH("~"&amp;Edges[[#This Row],[Vertex 1]],GroupVertices[Vertex],0)),1,1,"")</f>
        <v>191</v>
      </c>
      <c r="BL138" s="112" t="str">
        <f>REPLACE(INDEX(GroupVertices[Group], MATCH("~"&amp;Edges[[#This Row],[Vertex 2]],GroupVertices[Vertex],0)),1,1,"")</f>
        <v>191</v>
      </c>
    </row>
    <row r="139" spans="1:64" x14ac:dyDescent="0.25">
      <c r="A139" s="61" t="s">
        <v>247</v>
      </c>
      <c r="B139" s="61" t="s">
        <v>526</v>
      </c>
      <c r="C139" s="62"/>
      <c r="D139" s="63"/>
      <c r="E139" s="64"/>
      <c r="F139" s="65"/>
      <c r="G139" s="62"/>
      <c r="H139" s="66"/>
      <c r="I139" s="67"/>
      <c r="J139" s="67"/>
      <c r="K139" s="31"/>
      <c r="L139" s="75">
        <v>139</v>
      </c>
      <c r="M139"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39" s="69"/>
      <c r="O139" t="s">
        <v>701</v>
      </c>
      <c r="P139" s="76">
        <v>45509.572789351849</v>
      </c>
      <c r="Q139" t="s">
        <v>736</v>
      </c>
      <c r="R139" t="b">
        <v>0</v>
      </c>
      <c r="S139">
        <v>0</v>
      </c>
      <c r="T139">
        <v>0</v>
      </c>
      <c r="U139">
        <v>0</v>
      </c>
      <c r="V139">
        <v>0</v>
      </c>
      <c r="W139">
        <v>135</v>
      </c>
      <c r="AA139" t="s">
        <v>526</v>
      </c>
      <c r="AD139" s="77" t="s">
        <v>1365</v>
      </c>
      <c r="AE139" t="s">
        <v>1385</v>
      </c>
      <c r="AF139" s="78" t="str">
        <f>HYPERLINK("https://twitter.com/vinibelli15/status/1820455924445671777")</f>
        <v>https://twitter.com/vinibelli15/status/1820455924445671777</v>
      </c>
      <c r="AG139" s="76">
        <v>45509.572789351849</v>
      </c>
      <c r="AH139" s="80">
        <v>45509</v>
      </c>
      <c r="AI139" s="77" t="s">
        <v>1418</v>
      </c>
      <c r="AW139" s="78" t="str">
        <f>HYPERLINK("https://pbs.twimg.com/profile_images/1579580968574279708/f-HheTly_normal.png")</f>
        <v>https://pbs.twimg.com/profile_images/1579580968574279708/f-HheTly_normal.png</v>
      </c>
      <c r="AX139" s="77" t="s">
        <v>1902</v>
      </c>
      <c r="AY139" s="77" t="s">
        <v>2267</v>
      </c>
      <c r="AZ139" s="77" t="s">
        <v>2381</v>
      </c>
      <c r="BA139" s="77" t="s">
        <v>2267</v>
      </c>
      <c r="BB139" s="77" t="s">
        <v>2494</v>
      </c>
      <c r="BC139" s="77" t="s">
        <v>2494</v>
      </c>
      <c r="BD139" s="77" t="s">
        <v>2267</v>
      </c>
      <c r="BE139" s="77" t="s">
        <v>2543</v>
      </c>
      <c r="BK139" s="112" t="str">
        <f>REPLACE(INDEX(GroupVertices[Group], MATCH("~"&amp;Edges[[#This Row],[Vertex 1]],GroupVertices[Vertex],0)),1,1,"")</f>
        <v>23</v>
      </c>
      <c r="BL139" s="112" t="str">
        <f>REPLACE(INDEX(GroupVertices[Group], MATCH("~"&amp;Edges[[#This Row],[Vertex 2]],GroupVertices[Vertex],0)),1,1,"")</f>
        <v>23</v>
      </c>
    </row>
    <row r="140" spans="1:64" x14ac:dyDescent="0.25">
      <c r="A140" s="61" t="s">
        <v>324</v>
      </c>
      <c r="B140" s="61" t="s">
        <v>324</v>
      </c>
      <c r="C140" s="62"/>
      <c r="D140" s="63"/>
      <c r="E140" s="64"/>
      <c r="F140" s="65"/>
      <c r="G140" s="62"/>
      <c r="H140" s="66"/>
      <c r="I140" s="67"/>
      <c r="J140" s="67"/>
      <c r="K140" s="31"/>
      <c r="L140" s="75">
        <v>140</v>
      </c>
      <c r="M140"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40" s="69"/>
      <c r="O140" t="s">
        <v>177</v>
      </c>
      <c r="P140" s="76">
        <v>45507.609953703701</v>
      </c>
      <c r="Q140" t="s">
        <v>875</v>
      </c>
      <c r="R140" t="b">
        <v>0</v>
      </c>
      <c r="S140">
        <v>0</v>
      </c>
      <c r="T140">
        <v>1</v>
      </c>
      <c r="U140">
        <v>1</v>
      </c>
      <c r="V140">
        <v>0</v>
      </c>
      <c r="W140">
        <v>135</v>
      </c>
      <c r="AD140" s="77" t="s">
        <v>1366</v>
      </c>
      <c r="AE140" t="s">
        <v>1385</v>
      </c>
      <c r="AF140" s="78" t="str">
        <f>HYPERLINK("https://twitter.com/cristygm90/status/1819744615915823117")</f>
        <v>https://twitter.com/cristygm90/status/1819744615915823117</v>
      </c>
      <c r="AG140" s="76">
        <v>45507.609953703701</v>
      </c>
      <c r="AH140" s="80">
        <v>45507</v>
      </c>
      <c r="AI140" s="77" t="s">
        <v>1556</v>
      </c>
      <c r="AW140" s="78" t="str">
        <f>HYPERLINK("https://pbs.twimg.com/profile_images/1914422201710694400/99QarxcO_normal.jpg")</f>
        <v>https://pbs.twimg.com/profile_images/1914422201710694400/99QarxcO_normal.jpg</v>
      </c>
      <c r="AX140" s="77" t="s">
        <v>2041</v>
      </c>
      <c r="AY140" s="77" t="s">
        <v>2041</v>
      </c>
      <c r="BA140" s="77" t="s">
        <v>2494</v>
      </c>
      <c r="BB140" s="77" t="s">
        <v>2494</v>
      </c>
      <c r="BC140" s="77" t="s">
        <v>2494</v>
      </c>
      <c r="BD140" s="77" t="s">
        <v>2041</v>
      </c>
      <c r="BE140">
        <v>418217836</v>
      </c>
      <c r="BK140" s="112" t="str">
        <f>REPLACE(INDEX(GroupVertices[Group], MATCH("~"&amp;Edges[[#This Row],[Vertex 1]],GroupVertices[Vertex],0)),1,1,"")</f>
        <v>164</v>
      </c>
      <c r="BL140" s="112" t="str">
        <f>REPLACE(INDEX(GroupVertices[Group], MATCH("~"&amp;Edges[[#This Row],[Vertex 2]],GroupVertices[Vertex],0)),1,1,"")</f>
        <v>164</v>
      </c>
    </row>
    <row r="141" spans="1:64" x14ac:dyDescent="0.25">
      <c r="A141" s="61" t="s">
        <v>288</v>
      </c>
      <c r="B141" s="61" t="s">
        <v>561</v>
      </c>
      <c r="C141" s="62"/>
      <c r="D141" s="63"/>
      <c r="E141" s="64"/>
      <c r="F141" s="65"/>
      <c r="G141" s="62"/>
      <c r="H141" s="66"/>
      <c r="I141" s="67"/>
      <c r="J141" s="67"/>
      <c r="K141" s="31"/>
      <c r="L141" s="75">
        <v>141</v>
      </c>
      <c r="M141"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41" s="69"/>
      <c r="O141" t="s">
        <v>703</v>
      </c>
      <c r="P141" s="76">
        <v>45505.51703703704</v>
      </c>
      <c r="Q141" t="s">
        <v>792</v>
      </c>
      <c r="R141" t="b">
        <v>0</v>
      </c>
      <c r="S141">
        <v>0</v>
      </c>
      <c r="T141">
        <v>7</v>
      </c>
      <c r="U141">
        <v>0</v>
      </c>
      <c r="V141">
        <v>0</v>
      </c>
      <c r="W141">
        <v>131</v>
      </c>
      <c r="AA141" t="s">
        <v>1225</v>
      </c>
      <c r="AD141" s="77" t="s">
        <v>1365</v>
      </c>
      <c r="AE141" t="s">
        <v>1385</v>
      </c>
      <c r="AF141" s="78" t="str">
        <f>HYPERLINK("https://twitter.com/alex_alic/status/1818986169599762439")</f>
        <v>https://twitter.com/alex_alic/status/1818986169599762439</v>
      </c>
      <c r="AG141" s="76">
        <v>45505.51703703704</v>
      </c>
      <c r="AH141" s="80">
        <v>45505</v>
      </c>
      <c r="AI141" s="77" t="s">
        <v>1474</v>
      </c>
      <c r="AW141" s="78" t="str">
        <f>HYPERLINK("https://pbs.twimg.com/profile_images/1787466031830585344/rmOMQzGH_normal.jpg")</f>
        <v>https://pbs.twimg.com/profile_images/1787466031830585344/rmOMQzGH_normal.jpg</v>
      </c>
      <c r="AX141" s="77" t="s">
        <v>1958</v>
      </c>
      <c r="AY141" s="77" t="s">
        <v>2290</v>
      </c>
      <c r="AZ141" s="77" t="s">
        <v>2409</v>
      </c>
      <c r="BA141" s="77" t="s">
        <v>2290</v>
      </c>
      <c r="BB141" s="77" t="s">
        <v>2494</v>
      </c>
      <c r="BC141" s="77" t="s">
        <v>2494</v>
      </c>
      <c r="BD141" s="77" t="s">
        <v>2290</v>
      </c>
      <c r="BE141">
        <v>282930614</v>
      </c>
      <c r="BK141" s="112" t="str">
        <f>REPLACE(INDEX(GroupVertices[Group], MATCH("~"&amp;Edges[[#This Row],[Vertex 1]],GroupVertices[Vertex],0)),1,1,"")</f>
        <v>8</v>
      </c>
      <c r="BL141" s="112" t="str">
        <f>REPLACE(INDEX(GroupVertices[Group], MATCH("~"&amp;Edges[[#This Row],[Vertex 2]],GroupVertices[Vertex],0)),1,1,"")</f>
        <v>8</v>
      </c>
    </row>
    <row r="142" spans="1:64" x14ac:dyDescent="0.25">
      <c r="A142" s="61" t="s">
        <v>288</v>
      </c>
      <c r="B142" s="61" t="s">
        <v>562</v>
      </c>
      <c r="C142" s="62"/>
      <c r="D142" s="63"/>
      <c r="E142" s="64"/>
      <c r="F142" s="65"/>
      <c r="G142" s="62"/>
      <c r="H142" s="66"/>
      <c r="I142" s="67"/>
      <c r="J142" s="67"/>
      <c r="K142" s="31"/>
      <c r="L142" s="75">
        <v>142</v>
      </c>
      <c r="M142"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42" s="69"/>
      <c r="O142" t="s">
        <v>701</v>
      </c>
      <c r="P142" s="76">
        <v>45505.51703703704</v>
      </c>
      <c r="Q142" t="s">
        <v>792</v>
      </c>
      <c r="R142" t="b">
        <v>0</v>
      </c>
      <c r="S142">
        <v>0</v>
      </c>
      <c r="T142">
        <v>7</v>
      </c>
      <c r="U142">
        <v>0</v>
      </c>
      <c r="V142">
        <v>0</v>
      </c>
      <c r="W142">
        <v>131</v>
      </c>
      <c r="AA142" t="s">
        <v>1225</v>
      </c>
      <c r="AD142" s="77" t="s">
        <v>1365</v>
      </c>
      <c r="AE142" t="s">
        <v>1385</v>
      </c>
      <c r="AF142" s="78" t="str">
        <f>HYPERLINK("https://twitter.com/alex_alic/status/1818986169599762439")</f>
        <v>https://twitter.com/alex_alic/status/1818986169599762439</v>
      </c>
      <c r="AG142" s="76">
        <v>45505.51703703704</v>
      </c>
      <c r="AH142" s="80">
        <v>45505</v>
      </c>
      <c r="AI142" s="77" t="s">
        <v>1474</v>
      </c>
      <c r="AW142" s="78" t="str">
        <f>HYPERLINK("https://pbs.twimg.com/profile_images/1787466031830585344/rmOMQzGH_normal.jpg")</f>
        <v>https://pbs.twimg.com/profile_images/1787466031830585344/rmOMQzGH_normal.jpg</v>
      </c>
      <c r="AX142" s="77" t="s">
        <v>1958</v>
      </c>
      <c r="AY142" s="77" t="s">
        <v>2290</v>
      </c>
      <c r="AZ142" s="77" t="s">
        <v>2409</v>
      </c>
      <c r="BA142" s="77" t="s">
        <v>2290</v>
      </c>
      <c r="BB142" s="77" t="s">
        <v>2494</v>
      </c>
      <c r="BC142" s="77" t="s">
        <v>2494</v>
      </c>
      <c r="BD142" s="77" t="s">
        <v>2290</v>
      </c>
      <c r="BE142">
        <v>282930614</v>
      </c>
      <c r="BK142" s="112" t="str">
        <f>REPLACE(INDEX(GroupVertices[Group], MATCH("~"&amp;Edges[[#This Row],[Vertex 1]],GroupVertices[Vertex],0)),1,1,"")</f>
        <v>8</v>
      </c>
      <c r="BL142" s="112" t="str">
        <f>REPLACE(INDEX(GroupVertices[Group], MATCH("~"&amp;Edges[[#This Row],[Vertex 2]],GroupVertices[Vertex],0)),1,1,"")</f>
        <v>8</v>
      </c>
    </row>
    <row r="143" spans="1:64" x14ac:dyDescent="0.25">
      <c r="A143" s="61" t="s">
        <v>389</v>
      </c>
      <c r="B143" s="61" t="s">
        <v>648</v>
      </c>
      <c r="C143" s="62"/>
      <c r="D143" s="63"/>
      <c r="E143" s="64"/>
      <c r="F143" s="65"/>
      <c r="G143" s="62"/>
      <c r="H143" s="66"/>
      <c r="I143" s="67"/>
      <c r="J143" s="67"/>
      <c r="K143" s="31"/>
      <c r="L143" s="75">
        <v>143</v>
      </c>
      <c r="M143"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43" s="69"/>
      <c r="O143" t="s">
        <v>701</v>
      </c>
      <c r="P143" s="76">
        <v>45510.904756944445</v>
      </c>
      <c r="Q143" t="s">
        <v>954</v>
      </c>
      <c r="R143" t="b">
        <v>0</v>
      </c>
      <c r="S143">
        <v>0</v>
      </c>
      <c r="T143">
        <v>0</v>
      </c>
      <c r="U143">
        <v>0</v>
      </c>
      <c r="V143">
        <v>0</v>
      </c>
      <c r="W143">
        <v>129</v>
      </c>
      <c r="AA143" t="s">
        <v>648</v>
      </c>
      <c r="AD143" s="77" t="s">
        <v>1366</v>
      </c>
      <c r="AE143" t="s">
        <v>1385</v>
      </c>
      <c r="AF143" s="78" t="str">
        <f>HYPERLINK("https://twitter.com/rehtafdogeht/status/1820938612252213302")</f>
        <v>https://twitter.com/rehtafdogeht/status/1820938612252213302</v>
      </c>
      <c r="AG143" s="76">
        <v>45510.904756944445</v>
      </c>
      <c r="AH143" s="80">
        <v>45510</v>
      </c>
      <c r="AI143" s="77" t="s">
        <v>1634</v>
      </c>
      <c r="AW143" s="78" t="str">
        <f>HYPERLINK("https://pbs.twimg.com/profile_images/1568891669591855104/ESv7D8AK_normal.jpg")</f>
        <v>https://pbs.twimg.com/profile_images/1568891669591855104/ESv7D8AK_normal.jpg</v>
      </c>
      <c r="AX143" s="77" t="s">
        <v>2120</v>
      </c>
      <c r="AY143" s="77" t="s">
        <v>2335</v>
      </c>
      <c r="AZ143" s="77" t="s">
        <v>2454</v>
      </c>
      <c r="BA143" s="77" t="s">
        <v>2335</v>
      </c>
      <c r="BB143" s="77" t="s">
        <v>2494</v>
      </c>
      <c r="BC143" s="77" t="s">
        <v>2494</v>
      </c>
      <c r="BD143" s="77" t="s">
        <v>2335</v>
      </c>
      <c r="BE143">
        <v>223907679</v>
      </c>
      <c r="BK143" s="112" t="str">
        <f>REPLACE(INDEX(GroupVertices[Group], MATCH("~"&amp;Edges[[#This Row],[Vertex 1]],GroupVertices[Vertex],0)),1,1,"")</f>
        <v>91</v>
      </c>
      <c r="BL143" s="112" t="str">
        <f>REPLACE(INDEX(GroupVertices[Group], MATCH("~"&amp;Edges[[#This Row],[Vertex 2]],GroupVertices[Vertex],0)),1,1,"")</f>
        <v>91</v>
      </c>
    </row>
    <row r="144" spans="1:64" x14ac:dyDescent="0.25">
      <c r="A144" s="61" t="s">
        <v>360</v>
      </c>
      <c r="B144" s="61" t="s">
        <v>459</v>
      </c>
      <c r="C144" s="62"/>
      <c r="D144" s="63"/>
      <c r="E144" s="64"/>
      <c r="F144" s="65"/>
      <c r="G144" s="62"/>
      <c r="H144" s="66"/>
      <c r="I144" s="67"/>
      <c r="J144" s="67"/>
      <c r="K144" s="31"/>
      <c r="L144" s="75">
        <v>144</v>
      </c>
      <c r="M144"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44" s="69"/>
      <c r="O144" t="s">
        <v>702</v>
      </c>
      <c r="P144" s="76">
        <v>45508.707928240743</v>
      </c>
      <c r="Q144" t="s">
        <v>921</v>
      </c>
      <c r="R144" t="b">
        <v>0</v>
      </c>
      <c r="S144">
        <v>0</v>
      </c>
      <c r="T144">
        <v>2</v>
      </c>
      <c r="U144">
        <v>0</v>
      </c>
      <c r="V144">
        <v>0</v>
      </c>
      <c r="W144">
        <v>124</v>
      </c>
      <c r="Y144" s="78" t="str">
        <f>HYPERLINK("https://radionuevomundo.cl/2024/08/04/sistema-de-admision-escolar-sae-mitos-y-verdades-de-la-plataforma-de-postulacion-a-colegios/")</f>
        <v>https://radionuevomundo.cl/2024/08/04/sistema-de-admision-escolar-sae-mitos-y-verdades-de-la-plataforma-de-postulacion-a-colegios/</v>
      </c>
      <c r="Z144" t="s">
        <v>1170</v>
      </c>
      <c r="AA144" t="s">
        <v>1239</v>
      </c>
      <c r="AD144" s="77" t="s">
        <v>1367</v>
      </c>
      <c r="AE144" t="s">
        <v>1385</v>
      </c>
      <c r="AF144" s="78" t="str">
        <f>HYPERLINK("https://twitter.com/rnuevomundo/status/1820142509471027296")</f>
        <v>https://twitter.com/rnuevomundo/status/1820142509471027296</v>
      </c>
      <c r="AG144" s="76">
        <v>45508.707928240743</v>
      </c>
      <c r="AH144" s="80">
        <v>45508</v>
      </c>
      <c r="AI144" s="77" t="s">
        <v>1601</v>
      </c>
      <c r="AJ144" t="b">
        <v>0</v>
      </c>
      <c r="AW144" s="78" t="str">
        <f>HYPERLINK("https://pbs.twimg.com/profile_images/1555384736754929673/ajPOWKtc_normal.jpg")</f>
        <v>https://pbs.twimg.com/profile_images/1555384736754929673/ajPOWKtc_normal.jpg</v>
      </c>
      <c r="AX144" s="77" t="s">
        <v>2087</v>
      </c>
      <c r="AY144" s="77" t="s">
        <v>2087</v>
      </c>
      <c r="BA144" s="77" t="s">
        <v>2494</v>
      </c>
      <c r="BB144" s="77" t="s">
        <v>2494</v>
      </c>
      <c r="BC144" s="77" t="s">
        <v>2494</v>
      </c>
      <c r="BD144" s="77" t="s">
        <v>2087</v>
      </c>
      <c r="BE144">
        <v>324447694</v>
      </c>
      <c r="BK144" s="112" t="str">
        <f>REPLACE(INDEX(GroupVertices[Group], MATCH("~"&amp;Edges[[#This Row],[Vertex 1]],GroupVertices[Vertex],0)),1,1,"")</f>
        <v>1</v>
      </c>
      <c r="BL144" s="112" t="str">
        <f>REPLACE(INDEX(GroupVertices[Group], MATCH("~"&amp;Edges[[#This Row],[Vertex 2]],GroupVertices[Vertex],0)),1,1,"")</f>
        <v>1</v>
      </c>
    </row>
    <row r="145" spans="1:64" x14ac:dyDescent="0.25">
      <c r="A145" s="61" t="s">
        <v>360</v>
      </c>
      <c r="B145" s="61" t="s">
        <v>497</v>
      </c>
      <c r="C145" s="62"/>
      <c r="D145" s="63"/>
      <c r="E145" s="64"/>
      <c r="F145" s="65"/>
      <c r="G145" s="62"/>
      <c r="H145" s="66"/>
      <c r="I145" s="67"/>
      <c r="J145" s="67"/>
      <c r="K145" s="31"/>
      <c r="L145" s="75">
        <v>145</v>
      </c>
      <c r="M145"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45" s="69"/>
      <c r="O145" t="s">
        <v>702</v>
      </c>
      <c r="P145" s="76">
        <v>45508.707928240743</v>
      </c>
      <c r="Q145" t="s">
        <v>921</v>
      </c>
      <c r="R145" t="b">
        <v>0</v>
      </c>
      <c r="S145">
        <v>0</v>
      </c>
      <c r="T145">
        <v>2</v>
      </c>
      <c r="U145">
        <v>0</v>
      </c>
      <c r="V145">
        <v>0</v>
      </c>
      <c r="W145">
        <v>124</v>
      </c>
      <c r="Y145" s="78" t="str">
        <f>HYPERLINK("https://radionuevomundo.cl/2024/08/04/sistema-de-admision-escolar-sae-mitos-y-verdades-de-la-plataforma-de-postulacion-a-colegios/")</f>
        <v>https://radionuevomundo.cl/2024/08/04/sistema-de-admision-escolar-sae-mitos-y-verdades-de-la-plataforma-de-postulacion-a-colegios/</v>
      </c>
      <c r="Z145" t="s">
        <v>1170</v>
      </c>
      <c r="AA145" t="s">
        <v>1239</v>
      </c>
      <c r="AD145" s="77" t="s">
        <v>1367</v>
      </c>
      <c r="AE145" t="s">
        <v>1385</v>
      </c>
      <c r="AF145" s="78" t="str">
        <f>HYPERLINK("https://twitter.com/rnuevomundo/status/1820142509471027296")</f>
        <v>https://twitter.com/rnuevomundo/status/1820142509471027296</v>
      </c>
      <c r="AG145" s="76">
        <v>45508.707928240743</v>
      </c>
      <c r="AH145" s="80">
        <v>45508</v>
      </c>
      <c r="AI145" s="77" t="s">
        <v>1601</v>
      </c>
      <c r="AJ145" t="b">
        <v>0</v>
      </c>
      <c r="AW145" s="78" t="str">
        <f>HYPERLINK("https://pbs.twimg.com/profile_images/1555384736754929673/ajPOWKtc_normal.jpg")</f>
        <v>https://pbs.twimg.com/profile_images/1555384736754929673/ajPOWKtc_normal.jpg</v>
      </c>
      <c r="AX145" s="77" t="s">
        <v>2087</v>
      </c>
      <c r="AY145" s="77" t="s">
        <v>2087</v>
      </c>
      <c r="BA145" s="77" t="s">
        <v>2494</v>
      </c>
      <c r="BB145" s="77" t="s">
        <v>2494</v>
      </c>
      <c r="BC145" s="77" t="s">
        <v>2494</v>
      </c>
      <c r="BD145" s="77" t="s">
        <v>2087</v>
      </c>
      <c r="BE145">
        <v>324447694</v>
      </c>
      <c r="BK145" s="112" t="str">
        <f>REPLACE(INDEX(GroupVertices[Group], MATCH("~"&amp;Edges[[#This Row],[Vertex 1]],GroupVertices[Vertex],0)),1,1,"")</f>
        <v>1</v>
      </c>
      <c r="BL145" s="112" t="str">
        <f>REPLACE(INDEX(GroupVertices[Group], MATCH("~"&amp;Edges[[#This Row],[Vertex 2]],GroupVertices[Vertex],0)),1,1,"")</f>
        <v>1</v>
      </c>
    </row>
    <row r="146" spans="1:64" x14ac:dyDescent="0.25">
      <c r="A146" s="61" t="s">
        <v>360</v>
      </c>
      <c r="B146" s="61" t="s">
        <v>360</v>
      </c>
      <c r="C146" s="62"/>
      <c r="D146" s="63"/>
      <c r="E146" s="64"/>
      <c r="F146" s="65"/>
      <c r="G146" s="62"/>
      <c r="H146" s="66"/>
      <c r="I146" s="67"/>
      <c r="J146" s="67"/>
      <c r="K146" s="31"/>
      <c r="L146" s="75">
        <v>146</v>
      </c>
      <c r="M146"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46" s="69"/>
      <c r="O146" t="s">
        <v>702</v>
      </c>
      <c r="P146" s="76">
        <v>45508.707928240743</v>
      </c>
      <c r="Q146" t="s">
        <v>921</v>
      </c>
      <c r="R146" t="b">
        <v>0</v>
      </c>
      <c r="S146">
        <v>0</v>
      </c>
      <c r="T146">
        <v>2</v>
      </c>
      <c r="U146">
        <v>0</v>
      </c>
      <c r="V146">
        <v>0</v>
      </c>
      <c r="W146">
        <v>124</v>
      </c>
      <c r="Y146" s="78" t="str">
        <f>HYPERLINK("https://radionuevomundo.cl/2024/08/04/sistema-de-admision-escolar-sae-mitos-y-verdades-de-la-plataforma-de-postulacion-a-colegios/")</f>
        <v>https://radionuevomundo.cl/2024/08/04/sistema-de-admision-escolar-sae-mitos-y-verdades-de-la-plataforma-de-postulacion-a-colegios/</v>
      </c>
      <c r="Z146" t="s">
        <v>1170</v>
      </c>
      <c r="AA146" t="s">
        <v>1239</v>
      </c>
      <c r="AD146" s="77" t="s">
        <v>1367</v>
      </c>
      <c r="AE146" t="s">
        <v>1385</v>
      </c>
      <c r="AF146" s="78" t="str">
        <f>HYPERLINK("https://twitter.com/rnuevomundo/status/1820142509471027296")</f>
        <v>https://twitter.com/rnuevomundo/status/1820142509471027296</v>
      </c>
      <c r="AG146" s="76">
        <v>45508.707928240743</v>
      </c>
      <c r="AH146" s="80">
        <v>45508</v>
      </c>
      <c r="AI146" s="77" t="s">
        <v>1601</v>
      </c>
      <c r="AJ146" t="b">
        <v>0</v>
      </c>
      <c r="AW146" s="78" t="str">
        <f>HYPERLINK("https://pbs.twimg.com/profile_images/1555384736754929673/ajPOWKtc_normal.jpg")</f>
        <v>https://pbs.twimg.com/profile_images/1555384736754929673/ajPOWKtc_normal.jpg</v>
      </c>
      <c r="AX146" s="77" t="s">
        <v>2087</v>
      </c>
      <c r="AY146" s="77" t="s">
        <v>2087</v>
      </c>
      <c r="BA146" s="77" t="s">
        <v>2494</v>
      </c>
      <c r="BB146" s="77" t="s">
        <v>2494</v>
      </c>
      <c r="BC146" s="77" t="s">
        <v>2494</v>
      </c>
      <c r="BD146" s="77" t="s">
        <v>2087</v>
      </c>
      <c r="BE146">
        <v>324447694</v>
      </c>
      <c r="BK146" s="112" t="str">
        <f>REPLACE(INDEX(GroupVertices[Group], MATCH("~"&amp;Edges[[#This Row],[Vertex 1]],GroupVertices[Vertex],0)),1,1,"")</f>
        <v>1</v>
      </c>
      <c r="BL146" s="112" t="str">
        <f>REPLACE(INDEX(GroupVertices[Group], MATCH("~"&amp;Edges[[#This Row],[Vertex 2]],GroupVertices[Vertex],0)),1,1,"")</f>
        <v>1</v>
      </c>
    </row>
    <row r="147" spans="1:64" x14ac:dyDescent="0.25">
      <c r="A147" s="61" t="s">
        <v>396</v>
      </c>
      <c r="B147" s="61" t="s">
        <v>396</v>
      </c>
      <c r="C147" s="62"/>
      <c r="D147" s="63"/>
      <c r="E147" s="64"/>
      <c r="F147" s="65"/>
      <c r="G147" s="62"/>
      <c r="H147" s="66"/>
      <c r="I147" s="67"/>
      <c r="J147" s="67"/>
      <c r="K147" s="31"/>
      <c r="L147" s="75">
        <v>147</v>
      </c>
      <c r="M147"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47" s="69"/>
      <c r="O147" t="s">
        <v>701</v>
      </c>
      <c r="P147" s="76">
        <v>45507.992627314816</v>
      </c>
      <c r="Q147" t="s">
        <v>963</v>
      </c>
      <c r="R147" t="b">
        <v>0</v>
      </c>
      <c r="S147">
        <v>0</v>
      </c>
      <c r="T147">
        <v>1</v>
      </c>
      <c r="U147">
        <v>0</v>
      </c>
      <c r="V147">
        <v>0</v>
      </c>
      <c r="W147">
        <v>122</v>
      </c>
      <c r="AD147" s="77" t="s">
        <v>1366</v>
      </c>
      <c r="AE147" t="s">
        <v>1385</v>
      </c>
      <c r="AF147" s="78" t="str">
        <f>HYPERLINK("https://twitter.com/aitaneta_/status/1819883294751916454")</f>
        <v>https://twitter.com/aitaneta_/status/1819883294751916454</v>
      </c>
      <c r="AG147" s="76">
        <v>45507.992627314816</v>
      </c>
      <c r="AH147" s="80">
        <v>45507</v>
      </c>
      <c r="AI147" s="77" t="s">
        <v>1643</v>
      </c>
      <c r="AW147" s="78" t="str">
        <f>HYPERLINK("https://pbs.twimg.com/profile_images/1625937350340579328/ClQEFpkP_normal.jpg")</f>
        <v>https://pbs.twimg.com/profile_images/1625937350340579328/ClQEFpkP_normal.jpg</v>
      </c>
      <c r="AX147" s="77" t="s">
        <v>2129</v>
      </c>
      <c r="AY147" s="77" t="s">
        <v>2339</v>
      </c>
      <c r="AZ147" s="77" t="s">
        <v>2457</v>
      </c>
      <c r="BA147" s="77" t="s">
        <v>2339</v>
      </c>
      <c r="BB147" s="77" t="s">
        <v>2494</v>
      </c>
      <c r="BC147" s="77" t="s">
        <v>2494</v>
      </c>
      <c r="BD147" s="77" t="s">
        <v>2339</v>
      </c>
      <c r="BE147" s="77" t="s">
        <v>2457</v>
      </c>
      <c r="BK147" s="112" t="str">
        <f>REPLACE(INDEX(GroupVertices[Group], MATCH("~"&amp;Edges[[#This Row],[Vertex 1]],GroupVertices[Vertex],0)),1,1,"")</f>
        <v>163</v>
      </c>
      <c r="BL147" s="112" t="str">
        <f>REPLACE(INDEX(GroupVertices[Group], MATCH("~"&amp;Edges[[#This Row],[Vertex 2]],GroupVertices[Vertex],0)),1,1,"")</f>
        <v>163</v>
      </c>
    </row>
    <row r="148" spans="1:64" x14ac:dyDescent="0.25">
      <c r="A148" s="61" t="s">
        <v>315</v>
      </c>
      <c r="B148" s="61" t="s">
        <v>315</v>
      </c>
      <c r="C148" s="62"/>
      <c r="D148" s="63"/>
      <c r="E148" s="64"/>
      <c r="F148" s="65"/>
      <c r="G148" s="62"/>
      <c r="H148" s="66"/>
      <c r="I148" s="67"/>
      <c r="J148" s="67"/>
      <c r="K148" s="31"/>
      <c r="L148" s="75">
        <v>148</v>
      </c>
      <c r="M148"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48" s="69"/>
      <c r="O148" t="s">
        <v>177</v>
      </c>
      <c r="P148" s="76">
        <v>45505.578773148147</v>
      </c>
      <c r="Q148" t="s">
        <v>865</v>
      </c>
      <c r="R148" t="b">
        <v>0</v>
      </c>
      <c r="S148">
        <v>4</v>
      </c>
      <c r="T148">
        <v>4</v>
      </c>
      <c r="U148">
        <v>1</v>
      </c>
      <c r="V148">
        <v>0</v>
      </c>
      <c r="W148">
        <v>116</v>
      </c>
      <c r="AB148" t="s">
        <v>1292</v>
      </c>
      <c r="AC148" t="s">
        <v>1359</v>
      </c>
      <c r="AD148" s="77" t="s">
        <v>1365</v>
      </c>
      <c r="AE148" t="s">
        <v>1385</v>
      </c>
      <c r="AF148" s="78" t="str">
        <f>HYPERLINK("https://twitter.com/carmeng734/status/1819008543036510210")</f>
        <v>https://twitter.com/carmeng734/status/1819008543036510210</v>
      </c>
      <c r="AG148" s="76">
        <v>45505.578773148147</v>
      </c>
      <c r="AH148" s="80">
        <v>45505</v>
      </c>
      <c r="AI148" s="77" t="s">
        <v>1546</v>
      </c>
      <c r="AJ148" t="b">
        <v>0</v>
      </c>
      <c r="AR148" t="s">
        <v>1805</v>
      </c>
      <c r="AW148" s="78" t="str">
        <f>HYPERLINK("https://pbs.twimg.com/media/GT5qoStW4AEUbYf.jpg")</f>
        <v>https://pbs.twimg.com/media/GT5qoStW4AEUbYf.jpg</v>
      </c>
      <c r="AX148" s="77" t="s">
        <v>2031</v>
      </c>
      <c r="AY148" s="77" t="s">
        <v>2031</v>
      </c>
      <c r="BA148" s="77" t="s">
        <v>2494</v>
      </c>
      <c r="BB148" s="77" t="s">
        <v>2494</v>
      </c>
      <c r="BC148" s="77" t="s">
        <v>2494</v>
      </c>
      <c r="BD148" s="77" t="s">
        <v>2031</v>
      </c>
      <c r="BE148" s="77" t="s">
        <v>2574</v>
      </c>
      <c r="BK148" s="112" t="str">
        <f>REPLACE(INDEX(GroupVertices[Group], MATCH("~"&amp;Edges[[#This Row],[Vertex 1]],GroupVertices[Vertex],0)),1,1,"")</f>
        <v>7</v>
      </c>
      <c r="BL148" s="112" t="str">
        <f>REPLACE(INDEX(GroupVertices[Group], MATCH("~"&amp;Edges[[#This Row],[Vertex 2]],GroupVertices[Vertex],0)),1,1,"")</f>
        <v>7</v>
      </c>
    </row>
    <row r="149" spans="1:64" x14ac:dyDescent="0.25">
      <c r="A149" s="61" t="s">
        <v>502</v>
      </c>
      <c r="B149" s="61" t="s">
        <v>502</v>
      </c>
      <c r="C149" s="62"/>
      <c r="D149" s="63"/>
      <c r="E149" s="64"/>
      <c r="F149" s="65"/>
      <c r="G149" s="62"/>
      <c r="H149" s="66"/>
      <c r="I149" s="67"/>
      <c r="J149" s="67"/>
      <c r="K149" s="31"/>
      <c r="L149" s="75">
        <v>149</v>
      </c>
      <c r="M149"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49" s="69"/>
      <c r="O149" t="s">
        <v>177</v>
      </c>
      <c r="P149" s="76">
        <v>45509.885370370372</v>
      </c>
      <c r="Q149" t="s">
        <v>1084</v>
      </c>
      <c r="R149" t="b">
        <v>0</v>
      </c>
      <c r="S149">
        <v>0</v>
      </c>
      <c r="T149">
        <v>3</v>
      </c>
      <c r="U149">
        <v>1</v>
      </c>
      <c r="V149">
        <v>0</v>
      </c>
      <c r="W149">
        <v>115</v>
      </c>
      <c r="AB149" t="s">
        <v>1357</v>
      </c>
      <c r="AC149" t="s">
        <v>1364</v>
      </c>
      <c r="AD149" s="77" t="s">
        <v>1366</v>
      </c>
      <c r="AE149" t="s">
        <v>1385</v>
      </c>
      <c r="AF149" s="78" t="str">
        <f>HYPERLINK("https://twitter.com/tsxjaeger/status/1820569201779806411")</f>
        <v>https://twitter.com/tsxjaeger/status/1820569201779806411</v>
      </c>
      <c r="AG149" s="76">
        <v>45509.885370370372</v>
      </c>
      <c r="AH149" s="80">
        <v>45509</v>
      </c>
      <c r="AI149" s="77" t="s">
        <v>1760</v>
      </c>
      <c r="AJ149" t="b">
        <v>0</v>
      </c>
      <c r="AR149" t="s">
        <v>1870</v>
      </c>
      <c r="AW149" s="78" t="str">
        <f>HYPERLINK("https://pbs.twimg.com/media/GUP2CjoXcAE9w-2.jpg")</f>
        <v>https://pbs.twimg.com/media/GUP2CjoXcAE9w-2.jpg</v>
      </c>
      <c r="AX149" s="77" t="s">
        <v>2250</v>
      </c>
      <c r="AY149" s="77" t="s">
        <v>2250</v>
      </c>
      <c r="BA149" s="77" t="s">
        <v>2494</v>
      </c>
      <c r="BB149" s="77" t="s">
        <v>2494</v>
      </c>
      <c r="BC149" s="77" t="s">
        <v>2494</v>
      </c>
      <c r="BD149" s="77" t="s">
        <v>2250</v>
      </c>
      <c r="BE149" s="77" t="s">
        <v>2642</v>
      </c>
      <c r="BK149" s="112" t="str">
        <f>REPLACE(INDEX(GroupVertices[Group], MATCH("~"&amp;Edges[[#This Row],[Vertex 1]],GroupVertices[Vertex],0)),1,1,"")</f>
        <v>162</v>
      </c>
      <c r="BL149" s="112" t="str">
        <f>REPLACE(INDEX(GroupVertices[Group], MATCH("~"&amp;Edges[[#This Row],[Vertex 2]],GroupVertices[Vertex],0)),1,1,"")</f>
        <v>162</v>
      </c>
    </row>
    <row r="150" spans="1:64" x14ac:dyDescent="0.25">
      <c r="A150" s="61" t="s">
        <v>275</v>
      </c>
      <c r="B150" s="61" t="s">
        <v>275</v>
      </c>
      <c r="C150" s="62"/>
      <c r="D150" s="63"/>
      <c r="E150" s="64"/>
      <c r="F150" s="65"/>
      <c r="G150" s="62"/>
      <c r="H150" s="66"/>
      <c r="I150" s="67"/>
      <c r="J150" s="67"/>
      <c r="K150" s="31"/>
      <c r="L150" s="75">
        <v>150</v>
      </c>
      <c r="M150"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50" s="69"/>
      <c r="O150" t="s">
        <v>177</v>
      </c>
      <c r="P150" s="76">
        <v>45506.695474537039</v>
      </c>
      <c r="Q150" t="s">
        <v>777</v>
      </c>
      <c r="R150" t="b">
        <v>0</v>
      </c>
      <c r="S150">
        <v>0</v>
      </c>
      <c r="T150">
        <v>0</v>
      </c>
      <c r="U150">
        <v>0</v>
      </c>
      <c r="V150">
        <v>0</v>
      </c>
      <c r="W150">
        <v>112</v>
      </c>
      <c r="AD150" s="77" t="s">
        <v>1365</v>
      </c>
      <c r="AE150" t="s">
        <v>1385</v>
      </c>
      <c r="AF150" s="78" t="str">
        <f>HYPERLINK("https://twitter.com/patri86381/status/1819413222585139650")</f>
        <v>https://twitter.com/patri86381/status/1819413222585139650</v>
      </c>
      <c r="AG150" s="76">
        <v>45506.695474537039</v>
      </c>
      <c r="AH150" s="80">
        <v>45506</v>
      </c>
      <c r="AI150" s="77" t="s">
        <v>1459</v>
      </c>
      <c r="AW150" s="78" t="str">
        <f>HYPERLINK("https://pbs.twimg.com/profile_images/1753494120054562816/CtxZI_zW_normal.jpg")</f>
        <v>https://pbs.twimg.com/profile_images/1753494120054562816/CtxZI_zW_normal.jpg</v>
      </c>
      <c r="AX150" s="77" t="s">
        <v>1943</v>
      </c>
      <c r="AY150" s="77" t="s">
        <v>1943</v>
      </c>
      <c r="BA150" s="77" t="s">
        <v>2494</v>
      </c>
      <c r="BB150" s="77" t="s">
        <v>2494</v>
      </c>
      <c r="BC150" s="77" t="s">
        <v>2494</v>
      </c>
      <c r="BD150" s="77" t="s">
        <v>1943</v>
      </c>
      <c r="BE150" s="77" t="s">
        <v>2558</v>
      </c>
      <c r="BK150" s="112" t="str">
        <f>REPLACE(INDEX(GroupVertices[Group], MATCH("~"&amp;Edges[[#This Row],[Vertex 1]],GroupVertices[Vertex],0)),1,1,"")</f>
        <v>161</v>
      </c>
      <c r="BL150" s="112" t="str">
        <f>REPLACE(INDEX(GroupVertices[Group], MATCH("~"&amp;Edges[[#This Row],[Vertex 2]],GroupVertices[Vertex],0)),1,1,"")</f>
        <v>161</v>
      </c>
    </row>
    <row r="151" spans="1:64" x14ac:dyDescent="0.25">
      <c r="A151" s="61" t="s">
        <v>485</v>
      </c>
      <c r="B151" s="61" t="s">
        <v>485</v>
      </c>
      <c r="C151" s="62"/>
      <c r="D151" s="63"/>
      <c r="E151" s="64"/>
      <c r="F151" s="65"/>
      <c r="G151" s="62"/>
      <c r="H151" s="66"/>
      <c r="I151" s="67"/>
      <c r="J151" s="67"/>
      <c r="K151" s="31"/>
      <c r="L151" s="75">
        <v>151</v>
      </c>
      <c r="M151"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51" s="69"/>
      <c r="O151" t="s">
        <v>177</v>
      </c>
      <c r="P151" s="76">
        <v>45506.626828703702</v>
      </c>
      <c r="Q151" t="s">
        <v>1066</v>
      </c>
      <c r="R151" t="b">
        <v>0</v>
      </c>
      <c r="S151">
        <v>0</v>
      </c>
      <c r="T151">
        <v>0</v>
      </c>
      <c r="U151">
        <v>0</v>
      </c>
      <c r="V151">
        <v>0</v>
      </c>
      <c r="W151">
        <v>112</v>
      </c>
      <c r="Y151" s="78" t="str">
        <f>HYPERLINK("https://www.radiopolar.com/sistema-admision-escolar-sae-secreduc-entrega-consejos-familias-ano-postular-establecimiento-educativo")</f>
        <v>https://www.radiopolar.com/sistema-admision-escolar-sae-secreduc-entrega-consejos-familias-ano-postular-establecimiento-educativo</v>
      </c>
      <c r="Z151" t="s">
        <v>1207</v>
      </c>
      <c r="AD151" s="77" t="s">
        <v>1367</v>
      </c>
      <c r="AE151" t="s">
        <v>1385</v>
      </c>
      <c r="AF151" s="78" t="str">
        <f>HYPERLINK("https://twitter.com/radiopolar/status/1819388343433535560")</f>
        <v>https://twitter.com/radiopolar/status/1819388343433535560</v>
      </c>
      <c r="AG151" s="76">
        <v>45506.626828703702</v>
      </c>
      <c r="AH151" s="80">
        <v>45506</v>
      </c>
      <c r="AI151" s="77" t="s">
        <v>1743</v>
      </c>
      <c r="AJ151" t="b">
        <v>0</v>
      </c>
      <c r="AW151" s="78" t="str">
        <f>HYPERLINK("https://pbs.twimg.com/profile_images/1343569368777687040/t5zlKMYn_normal.jpg")</f>
        <v>https://pbs.twimg.com/profile_images/1343569368777687040/t5zlKMYn_normal.jpg</v>
      </c>
      <c r="AX151" s="77" t="s">
        <v>2232</v>
      </c>
      <c r="AY151" s="77" t="s">
        <v>2232</v>
      </c>
      <c r="BA151" s="77" t="s">
        <v>2494</v>
      </c>
      <c r="BB151" s="77" t="s">
        <v>2494</v>
      </c>
      <c r="BC151" s="77" t="s">
        <v>2494</v>
      </c>
      <c r="BD151" s="77" t="s">
        <v>2232</v>
      </c>
      <c r="BE151">
        <v>109692058</v>
      </c>
      <c r="BK151" s="112" t="str">
        <f>REPLACE(INDEX(GroupVertices[Group], MATCH("~"&amp;Edges[[#This Row],[Vertex 1]],GroupVertices[Vertex],0)),1,1,"")</f>
        <v>160</v>
      </c>
      <c r="BL151" s="112" t="str">
        <f>REPLACE(INDEX(GroupVertices[Group], MATCH("~"&amp;Edges[[#This Row],[Vertex 2]],GroupVertices[Vertex],0)),1,1,"")</f>
        <v>160</v>
      </c>
    </row>
    <row r="152" spans="1:64" x14ac:dyDescent="0.25">
      <c r="A152" s="61" t="s">
        <v>252</v>
      </c>
      <c r="B152" s="61" t="s">
        <v>532</v>
      </c>
      <c r="C152" s="62"/>
      <c r="D152" s="63"/>
      <c r="E152" s="64"/>
      <c r="F152" s="65"/>
      <c r="G152" s="62"/>
      <c r="H152" s="66"/>
      <c r="I152" s="67"/>
      <c r="J152" s="67"/>
      <c r="K152" s="31"/>
      <c r="L152" s="75">
        <v>152</v>
      </c>
      <c r="M152"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52" s="69"/>
      <c r="O152" t="s">
        <v>702</v>
      </c>
      <c r="P152" s="76">
        <v>45509.73060185185</v>
      </c>
      <c r="Q152" t="s">
        <v>744</v>
      </c>
      <c r="R152" t="b">
        <v>0</v>
      </c>
      <c r="S152">
        <v>1</v>
      </c>
      <c r="T152">
        <v>1</v>
      </c>
      <c r="U152">
        <v>0</v>
      </c>
      <c r="V152">
        <v>0</v>
      </c>
      <c r="W152">
        <v>109</v>
      </c>
      <c r="AA152" t="s">
        <v>532</v>
      </c>
      <c r="AB152" t="s">
        <v>1269</v>
      </c>
      <c r="AC152" t="s">
        <v>1360</v>
      </c>
      <c r="AD152" s="77" t="s">
        <v>1367</v>
      </c>
      <c r="AE152" t="s">
        <v>1385</v>
      </c>
      <c r="AF152" s="78" t="str">
        <f>HYPERLINK("https://twitter.com/accioneducar/status/1820513113562546562")</f>
        <v>https://twitter.com/accioneducar/status/1820513113562546562</v>
      </c>
      <c r="AG152" s="76">
        <v>45509.73060185185</v>
      </c>
      <c r="AH152" s="80">
        <v>45509</v>
      </c>
      <c r="AI152" s="77" t="s">
        <v>1426</v>
      </c>
      <c r="AJ152" t="b">
        <v>0</v>
      </c>
      <c r="AR152" t="s">
        <v>1782</v>
      </c>
      <c r="AS152">
        <v>35000</v>
      </c>
      <c r="AW152" s="78" t="str">
        <f>HYPERLINK("https://pbs.twimg.com/ext_tw_video_thumb/1820512276106907649/pu/img/m8dDd3-Dsw0QwUcn.jpg")</f>
        <v>https://pbs.twimg.com/ext_tw_video_thumb/1820512276106907649/pu/img/m8dDd3-Dsw0QwUcn.jpg</v>
      </c>
      <c r="AX152" s="77" t="s">
        <v>1910</v>
      </c>
      <c r="AY152" s="77" t="s">
        <v>1910</v>
      </c>
      <c r="BA152" s="77" t="s">
        <v>2494</v>
      </c>
      <c r="BB152" s="77" t="s">
        <v>2494</v>
      </c>
      <c r="BC152" s="77" t="s">
        <v>2494</v>
      </c>
      <c r="BD152" s="77" t="s">
        <v>1910</v>
      </c>
      <c r="BE152">
        <v>2412504692</v>
      </c>
      <c r="BK152" s="112" t="str">
        <f>REPLACE(INDEX(GroupVertices[Group], MATCH("~"&amp;Edges[[#This Row],[Vertex 1]],GroupVertices[Vertex],0)),1,1,"")</f>
        <v>90</v>
      </c>
      <c r="BL152" s="112" t="str">
        <f>REPLACE(INDEX(GroupVertices[Group], MATCH("~"&amp;Edges[[#This Row],[Vertex 2]],GroupVertices[Vertex],0)),1,1,"")</f>
        <v>90</v>
      </c>
    </row>
    <row r="153" spans="1:64" x14ac:dyDescent="0.25">
      <c r="A153" s="61" t="s">
        <v>349</v>
      </c>
      <c r="B153" s="61" t="s">
        <v>349</v>
      </c>
      <c r="C153" s="62"/>
      <c r="D153" s="63"/>
      <c r="E153" s="64"/>
      <c r="F153" s="65"/>
      <c r="G153" s="62"/>
      <c r="H153" s="66"/>
      <c r="I153" s="67"/>
      <c r="J153" s="67"/>
      <c r="K153" s="31"/>
      <c r="L153" s="75">
        <v>153</v>
      </c>
      <c r="M153"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53" s="69"/>
      <c r="O153" t="s">
        <v>177</v>
      </c>
      <c r="P153" s="76">
        <v>45508.119027777779</v>
      </c>
      <c r="Q153" t="s">
        <v>909</v>
      </c>
      <c r="R153" t="b">
        <v>0</v>
      </c>
      <c r="S153">
        <v>0</v>
      </c>
      <c r="T153">
        <v>5</v>
      </c>
      <c r="U153">
        <v>2</v>
      </c>
      <c r="V153">
        <v>0</v>
      </c>
      <c r="W153">
        <v>109</v>
      </c>
      <c r="AD153" s="77" t="s">
        <v>1365</v>
      </c>
      <c r="AE153" t="s">
        <v>1385</v>
      </c>
      <c r="AF153" s="78" t="str">
        <f>HYPERLINK("https://twitter.com/zeerecitas/status/1819929100632445378")</f>
        <v>https://twitter.com/zeerecitas/status/1819929100632445378</v>
      </c>
      <c r="AG153" s="76">
        <v>45508.119027777779</v>
      </c>
      <c r="AH153" s="80">
        <v>45508</v>
      </c>
      <c r="AI153" s="77" t="s">
        <v>1589</v>
      </c>
      <c r="AW153" s="78" t="str">
        <f>HYPERLINK("https://pbs.twimg.com/profile_images/1898796549066330112/xLi84bhd_normal.jpg")</f>
        <v>https://pbs.twimg.com/profile_images/1898796549066330112/xLi84bhd_normal.jpg</v>
      </c>
      <c r="AX153" s="77" t="s">
        <v>2075</v>
      </c>
      <c r="AY153" s="77" t="s">
        <v>2075</v>
      </c>
      <c r="BA153" s="77" t="s">
        <v>2494</v>
      </c>
      <c r="BB153" s="77" t="s">
        <v>2494</v>
      </c>
      <c r="BC153" s="77" t="s">
        <v>2494</v>
      </c>
      <c r="BD153" s="77" t="s">
        <v>2075</v>
      </c>
      <c r="BE153" s="77" t="s">
        <v>2583</v>
      </c>
      <c r="BK153" s="112" t="str">
        <f>REPLACE(INDEX(GroupVertices[Group], MATCH("~"&amp;Edges[[#This Row],[Vertex 1]],GroupVertices[Vertex],0)),1,1,"")</f>
        <v>159</v>
      </c>
      <c r="BL153" s="112" t="str">
        <f>REPLACE(INDEX(GroupVertices[Group], MATCH("~"&amp;Edges[[#This Row],[Vertex 2]],GroupVertices[Vertex],0)),1,1,"")</f>
        <v>159</v>
      </c>
    </row>
    <row r="154" spans="1:64" x14ac:dyDescent="0.25">
      <c r="A154" s="61" t="s">
        <v>343</v>
      </c>
      <c r="B154" s="61" t="s">
        <v>343</v>
      </c>
      <c r="C154" s="62"/>
      <c r="D154" s="63"/>
      <c r="E154" s="64"/>
      <c r="F154" s="65"/>
      <c r="G154" s="62"/>
      <c r="H154" s="66"/>
      <c r="I154" s="67"/>
      <c r="J154" s="67"/>
      <c r="K154" s="31"/>
      <c r="L154" s="75">
        <v>154</v>
      </c>
      <c r="M154"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54" s="69"/>
      <c r="O154" t="s">
        <v>701</v>
      </c>
      <c r="P154" s="76">
        <v>45509.816689814812</v>
      </c>
      <c r="Q154" t="s">
        <v>902</v>
      </c>
      <c r="R154" t="b">
        <v>0</v>
      </c>
      <c r="S154">
        <v>0</v>
      </c>
      <c r="T154">
        <v>1</v>
      </c>
      <c r="U154">
        <v>1</v>
      </c>
      <c r="V154">
        <v>0</v>
      </c>
      <c r="W154">
        <v>107</v>
      </c>
      <c r="AD154" s="77" t="s">
        <v>1365</v>
      </c>
      <c r="AE154" t="s">
        <v>1385</v>
      </c>
      <c r="AF154" s="78" t="str">
        <f>HYPERLINK("https://twitter.com/barrio_tuetano/status/1820544312809058318")</f>
        <v>https://twitter.com/barrio_tuetano/status/1820544312809058318</v>
      </c>
      <c r="AG154" s="76">
        <v>45509.816689814812</v>
      </c>
      <c r="AH154" s="80">
        <v>45509</v>
      </c>
      <c r="AI154" s="77" t="s">
        <v>1582</v>
      </c>
      <c r="AW154" s="78" t="str">
        <f>HYPERLINK("https://pbs.twimg.com/profile_images/1322233156062355456/RTVclyHr_normal.jpg")</f>
        <v>https://pbs.twimg.com/profile_images/1322233156062355456/RTVclyHr_normal.jpg</v>
      </c>
      <c r="AX154" s="77" t="s">
        <v>2068</v>
      </c>
      <c r="AY154" s="77" t="s">
        <v>2316</v>
      </c>
      <c r="AZ154" s="77" t="s">
        <v>2435</v>
      </c>
      <c r="BA154" s="77" t="s">
        <v>2316</v>
      </c>
      <c r="BB154" s="77" t="s">
        <v>2494</v>
      </c>
      <c r="BC154" s="77" t="s">
        <v>2494</v>
      </c>
      <c r="BD154" s="77" t="s">
        <v>2316</v>
      </c>
      <c r="BE154" s="77" t="s">
        <v>2435</v>
      </c>
      <c r="BK154" s="112" t="str">
        <f>REPLACE(INDEX(GroupVertices[Group], MATCH("~"&amp;Edges[[#This Row],[Vertex 1]],GroupVertices[Vertex],0)),1,1,"")</f>
        <v>158</v>
      </c>
      <c r="BL154" s="112" t="str">
        <f>REPLACE(INDEX(GroupVertices[Group], MATCH("~"&amp;Edges[[#This Row],[Vertex 2]],GroupVertices[Vertex],0)),1,1,"")</f>
        <v>158</v>
      </c>
    </row>
    <row r="155" spans="1:64" x14ac:dyDescent="0.25">
      <c r="A155" s="61" t="s">
        <v>400</v>
      </c>
      <c r="B155" s="61" t="s">
        <v>399</v>
      </c>
      <c r="C155" s="62"/>
      <c r="D155" s="63"/>
      <c r="E155" s="64"/>
      <c r="F155" s="65"/>
      <c r="G155" s="62"/>
      <c r="H155" s="66"/>
      <c r="I155" s="67"/>
      <c r="J155" s="67"/>
      <c r="K155" s="31"/>
      <c r="L155" s="75">
        <v>155</v>
      </c>
      <c r="M155"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55" s="69"/>
      <c r="O155" t="s">
        <v>704</v>
      </c>
      <c r="P155" s="76">
        <v>45509.675057870372</v>
      </c>
      <c r="Q155" t="s">
        <v>968</v>
      </c>
      <c r="R155" t="b">
        <v>0</v>
      </c>
      <c r="S155">
        <v>0</v>
      </c>
      <c r="T155">
        <v>1</v>
      </c>
      <c r="U155">
        <v>0</v>
      </c>
      <c r="V155">
        <v>0</v>
      </c>
      <c r="W155">
        <v>107</v>
      </c>
      <c r="AB155" t="s">
        <v>1329</v>
      </c>
      <c r="AC155" t="s">
        <v>1359</v>
      </c>
      <c r="AD155" s="77" t="s">
        <v>1367</v>
      </c>
      <c r="AE155" t="s">
        <v>1385</v>
      </c>
      <c r="AF155" s="78" t="str">
        <f>HYPERLINK("https://twitter.com/gastudillos/status/1820492986473717807")</f>
        <v>https://twitter.com/gastudillos/status/1820492986473717807</v>
      </c>
      <c r="AG155" s="76">
        <v>45509.675057870372</v>
      </c>
      <c r="AH155" s="80">
        <v>45509</v>
      </c>
      <c r="AI155" s="77" t="s">
        <v>1648</v>
      </c>
      <c r="AJ155" t="b">
        <v>0</v>
      </c>
      <c r="AR155" t="s">
        <v>1842</v>
      </c>
      <c r="AW155" s="78" t="str">
        <f>HYPERLINK("https://pbs.twimg.com/media/GUOwm09WUAAFBEd.jpg")</f>
        <v>https://pbs.twimg.com/media/GUOwm09WUAAFBEd.jpg</v>
      </c>
      <c r="AX155" s="77" t="s">
        <v>2134</v>
      </c>
      <c r="AY155" s="77" t="s">
        <v>2134</v>
      </c>
      <c r="BA155" s="77" t="s">
        <v>2494</v>
      </c>
      <c r="BB155" s="77" t="s">
        <v>2133</v>
      </c>
      <c r="BC155" s="77" t="s">
        <v>2494</v>
      </c>
      <c r="BD155" s="77" t="s">
        <v>2133</v>
      </c>
      <c r="BE155">
        <v>101785967</v>
      </c>
      <c r="BK155" s="112" t="str">
        <f>REPLACE(INDEX(GroupVertices[Group], MATCH("~"&amp;Edges[[#This Row],[Vertex 1]],GroupVertices[Vertex],0)),1,1,"")</f>
        <v>89</v>
      </c>
      <c r="BL155" s="112" t="str">
        <f>REPLACE(INDEX(GroupVertices[Group], MATCH("~"&amp;Edges[[#This Row],[Vertex 2]],GroupVertices[Vertex],0)),1,1,"")</f>
        <v>89</v>
      </c>
    </row>
    <row r="156" spans="1:64" x14ac:dyDescent="0.25">
      <c r="A156" s="61" t="s">
        <v>447</v>
      </c>
      <c r="B156" s="61" t="s">
        <v>446</v>
      </c>
      <c r="C156" s="62"/>
      <c r="D156" s="63"/>
      <c r="E156" s="64"/>
      <c r="F156" s="65"/>
      <c r="G156" s="62"/>
      <c r="H156" s="66"/>
      <c r="I156" s="67"/>
      <c r="J156" s="67"/>
      <c r="K156" s="31"/>
      <c r="L156" s="75">
        <v>156</v>
      </c>
      <c r="M156"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56" s="69"/>
      <c r="O156" t="s">
        <v>701</v>
      </c>
      <c r="P156" s="76">
        <v>45510.328900462962</v>
      </c>
      <c r="Q156" t="s">
        <v>1022</v>
      </c>
      <c r="R156" t="b">
        <v>0</v>
      </c>
      <c r="S156">
        <v>0</v>
      </c>
      <c r="T156">
        <v>2</v>
      </c>
      <c r="U156">
        <v>1</v>
      </c>
      <c r="V156">
        <v>0</v>
      </c>
      <c r="W156">
        <v>105</v>
      </c>
      <c r="X156" s="77" t="s">
        <v>1121</v>
      </c>
      <c r="AA156" t="s">
        <v>446</v>
      </c>
      <c r="AB156" t="s">
        <v>1344</v>
      </c>
      <c r="AC156" t="s">
        <v>1362</v>
      </c>
      <c r="AD156" s="77" t="s">
        <v>1365</v>
      </c>
      <c r="AE156" t="s">
        <v>1385</v>
      </c>
      <c r="AF156" s="78" t="str">
        <f>HYPERLINK("https://twitter.com/kiroleros/status/1820729931690660105")</f>
        <v>https://twitter.com/kiroleros/status/1820729931690660105</v>
      </c>
      <c r="AG156" s="76">
        <v>45510.328900462962</v>
      </c>
      <c r="AH156" s="80">
        <v>45510</v>
      </c>
      <c r="AI156" s="77" t="s">
        <v>1700</v>
      </c>
      <c r="AJ156" t="b">
        <v>0</v>
      </c>
      <c r="AR156" t="s">
        <v>1857</v>
      </c>
      <c r="AW156" s="78" t="str">
        <f>HYPERLINK("https://pbs.twimg.com/tweet_video_thumb/GUSINuSWoAA6IWq.jpg")</f>
        <v>https://pbs.twimg.com/tweet_video_thumb/GUSINuSWoAA6IWq.jpg</v>
      </c>
      <c r="AX156" s="77" t="s">
        <v>2188</v>
      </c>
      <c r="AY156" s="77" t="s">
        <v>2187</v>
      </c>
      <c r="AZ156" s="77" t="s">
        <v>2474</v>
      </c>
      <c r="BA156" s="77" t="s">
        <v>2187</v>
      </c>
      <c r="BB156" s="77" t="s">
        <v>2494</v>
      </c>
      <c r="BC156" s="77" t="s">
        <v>2494</v>
      </c>
      <c r="BD156" s="77" t="s">
        <v>2187</v>
      </c>
      <c r="BE156" s="77" t="s">
        <v>2622</v>
      </c>
      <c r="BK156" s="112" t="str">
        <f>REPLACE(INDEX(GroupVertices[Group], MATCH("~"&amp;Edges[[#This Row],[Vertex 1]],GroupVertices[Vertex],0)),1,1,"")</f>
        <v>111</v>
      </c>
      <c r="BL156" s="112" t="str">
        <f>REPLACE(INDEX(GroupVertices[Group], MATCH("~"&amp;Edges[[#This Row],[Vertex 2]],GroupVertices[Vertex],0)),1,1,"")</f>
        <v>111</v>
      </c>
    </row>
    <row r="157" spans="1:64" x14ac:dyDescent="0.25">
      <c r="A157" s="61" t="s">
        <v>430</v>
      </c>
      <c r="B157" s="61" t="s">
        <v>497</v>
      </c>
      <c r="C157" s="62"/>
      <c r="D157" s="63"/>
      <c r="E157" s="64"/>
      <c r="F157" s="65"/>
      <c r="G157" s="62"/>
      <c r="H157" s="66"/>
      <c r="I157" s="67"/>
      <c r="J157" s="67"/>
      <c r="K157" s="31"/>
      <c r="L157" s="75">
        <v>157</v>
      </c>
      <c r="M157"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57" s="69"/>
      <c r="O157" t="s">
        <v>701</v>
      </c>
      <c r="P157" s="76">
        <v>45506.585902777777</v>
      </c>
      <c r="Q157" t="s">
        <v>1005</v>
      </c>
      <c r="R157" t="b">
        <v>0</v>
      </c>
      <c r="S157">
        <v>1</v>
      </c>
      <c r="T157">
        <v>4</v>
      </c>
      <c r="U157">
        <v>0</v>
      </c>
      <c r="V157">
        <v>0</v>
      </c>
      <c r="W157">
        <v>99</v>
      </c>
      <c r="AA157" t="s">
        <v>497</v>
      </c>
      <c r="AD157" s="77" t="s">
        <v>1365</v>
      </c>
      <c r="AE157" t="s">
        <v>1385</v>
      </c>
      <c r="AF157" s="78" t="str">
        <f>HYPERLINK("https://twitter.com/koobambis/status/1819373511258825016")</f>
        <v>https://twitter.com/koobambis/status/1819373511258825016</v>
      </c>
      <c r="AG157" s="76">
        <v>45506.585902777777</v>
      </c>
      <c r="AH157" s="80">
        <v>45506</v>
      </c>
      <c r="AI157" s="77" t="s">
        <v>1683</v>
      </c>
      <c r="AW157" s="78" t="str">
        <f>HYPERLINK("https://pbs.twimg.com/profile_images/1929299125423501312/Q3EF-X1t_normal.jpg")</f>
        <v>https://pbs.twimg.com/profile_images/1929299125423501312/Q3EF-X1t_normal.jpg</v>
      </c>
      <c r="AX157" s="77" t="s">
        <v>2171</v>
      </c>
      <c r="AY157" s="77" t="s">
        <v>2245</v>
      </c>
      <c r="AZ157" s="77" t="s">
        <v>2469</v>
      </c>
      <c r="BA157" s="77" t="s">
        <v>2245</v>
      </c>
      <c r="BB157" s="77" t="s">
        <v>2494</v>
      </c>
      <c r="BC157" s="77" t="s">
        <v>2494</v>
      </c>
      <c r="BD157" s="77" t="s">
        <v>2245</v>
      </c>
      <c r="BE157">
        <v>3724564216</v>
      </c>
      <c r="BK157" s="112" t="str">
        <f>REPLACE(INDEX(GroupVertices[Group], MATCH("~"&amp;Edges[[#This Row],[Vertex 1]],GroupVertices[Vertex],0)),1,1,"")</f>
        <v>1</v>
      </c>
      <c r="BL157" s="112" t="str">
        <f>REPLACE(INDEX(GroupVertices[Group], MATCH("~"&amp;Edges[[#This Row],[Vertex 2]],GroupVertices[Vertex],0)),1,1,"")</f>
        <v>1</v>
      </c>
    </row>
    <row r="158" spans="1:64" x14ac:dyDescent="0.25">
      <c r="A158" s="61" t="s">
        <v>260</v>
      </c>
      <c r="B158" s="61" t="s">
        <v>537</v>
      </c>
      <c r="C158" s="62"/>
      <c r="D158" s="63"/>
      <c r="E158" s="64"/>
      <c r="F158" s="65"/>
      <c r="G158" s="62"/>
      <c r="H158" s="66"/>
      <c r="I158" s="67"/>
      <c r="J158" s="67"/>
      <c r="K158" s="31"/>
      <c r="L158" s="75">
        <v>158</v>
      </c>
      <c r="M158"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58" s="69"/>
      <c r="O158" t="s">
        <v>703</v>
      </c>
      <c r="P158" s="76">
        <v>45506.57471064815</v>
      </c>
      <c r="Q158" t="s">
        <v>753</v>
      </c>
      <c r="R158" t="b">
        <v>0</v>
      </c>
      <c r="S158">
        <v>0</v>
      </c>
      <c r="T158">
        <v>0</v>
      </c>
      <c r="U158">
        <v>0</v>
      </c>
      <c r="V158">
        <v>0</v>
      </c>
      <c r="W158">
        <v>96</v>
      </c>
      <c r="AA158" t="s">
        <v>1216</v>
      </c>
      <c r="AD158" s="77" t="s">
        <v>1366</v>
      </c>
      <c r="AE158" t="s">
        <v>1385</v>
      </c>
      <c r="AF158" s="78" t="str">
        <f>HYPERLINK("https://twitter.com/inohino365/status/1819369456566427759")</f>
        <v>https://twitter.com/inohino365/status/1819369456566427759</v>
      </c>
      <c r="AG158" s="76">
        <v>45506.57471064815</v>
      </c>
      <c r="AH158" s="80">
        <v>45506</v>
      </c>
      <c r="AI158" s="77" t="s">
        <v>1435</v>
      </c>
      <c r="AW158" s="78" t="str">
        <f>HYPERLINK("https://pbs.twimg.com/profile_images/1893051635103838208/G65URaur_normal.jpg")</f>
        <v>https://pbs.twimg.com/profile_images/1893051635103838208/G65URaur_normal.jpg</v>
      </c>
      <c r="AX158" s="77" t="s">
        <v>1919</v>
      </c>
      <c r="AY158" s="77" t="s">
        <v>2274</v>
      </c>
      <c r="AZ158" s="77" t="s">
        <v>2388</v>
      </c>
      <c r="BA158" s="77" t="s">
        <v>2274</v>
      </c>
      <c r="BB158" s="77" t="s">
        <v>2494</v>
      </c>
      <c r="BC158" s="77" t="s">
        <v>2494</v>
      </c>
      <c r="BD158" s="77" t="s">
        <v>2274</v>
      </c>
      <c r="BE158" s="77" t="s">
        <v>2549</v>
      </c>
      <c r="BK158" s="112" t="str">
        <f>REPLACE(INDEX(GroupVertices[Group], MATCH("~"&amp;Edges[[#This Row],[Vertex 1]],GroupVertices[Vertex],0)),1,1,"")</f>
        <v>1</v>
      </c>
      <c r="BL158" s="112" t="str">
        <f>REPLACE(INDEX(GroupVertices[Group], MATCH("~"&amp;Edges[[#This Row],[Vertex 2]],GroupVertices[Vertex],0)),1,1,"")</f>
        <v>1</v>
      </c>
    </row>
    <row r="159" spans="1:64" x14ac:dyDescent="0.25">
      <c r="A159" s="61" t="s">
        <v>260</v>
      </c>
      <c r="B159" s="61" t="s">
        <v>538</v>
      </c>
      <c r="C159" s="62"/>
      <c r="D159" s="63"/>
      <c r="E159" s="64"/>
      <c r="F159" s="65"/>
      <c r="G159" s="62"/>
      <c r="H159" s="66"/>
      <c r="I159" s="67"/>
      <c r="J159" s="67"/>
      <c r="K159" s="31"/>
      <c r="L159" s="75">
        <v>159</v>
      </c>
      <c r="M159"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59" s="69"/>
      <c r="O159" t="s">
        <v>701</v>
      </c>
      <c r="P159" s="76">
        <v>45506.57471064815</v>
      </c>
      <c r="Q159" t="s">
        <v>753</v>
      </c>
      <c r="R159" t="b">
        <v>0</v>
      </c>
      <c r="S159">
        <v>0</v>
      </c>
      <c r="T159">
        <v>0</v>
      </c>
      <c r="U159">
        <v>0</v>
      </c>
      <c r="V159">
        <v>0</v>
      </c>
      <c r="W159">
        <v>96</v>
      </c>
      <c r="AA159" t="s">
        <v>1216</v>
      </c>
      <c r="AD159" s="77" t="s">
        <v>1366</v>
      </c>
      <c r="AE159" t="s">
        <v>1385</v>
      </c>
      <c r="AF159" s="78" t="str">
        <f>HYPERLINK("https://twitter.com/inohino365/status/1819369456566427759")</f>
        <v>https://twitter.com/inohino365/status/1819369456566427759</v>
      </c>
      <c r="AG159" s="76">
        <v>45506.57471064815</v>
      </c>
      <c r="AH159" s="80">
        <v>45506</v>
      </c>
      <c r="AI159" s="77" t="s">
        <v>1435</v>
      </c>
      <c r="AW159" s="78" t="str">
        <f>HYPERLINK("https://pbs.twimg.com/profile_images/1893051635103838208/G65URaur_normal.jpg")</f>
        <v>https://pbs.twimg.com/profile_images/1893051635103838208/G65URaur_normal.jpg</v>
      </c>
      <c r="AX159" s="77" t="s">
        <v>1919</v>
      </c>
      <c r="AY159" s="77" t="s">
        <v>2274</v>
      </c>
      <c r="AZ159" s="77" t="s">
        <v>2388</v>
      </c>
      <c r="BA159" s="77" t="s">
        <v>2274</v>
      </c>
      <c r="BB159" s="77" t="s">
        <v>2494</v>
      </c>
      <c r="BC159" s="77" t="s">
        <v>2494</v>
      </c>
      <c r="BD159" s="77" t="s">
        <v>2274</v>
      </c>
      <c r="BE159" s="77" t="s">
        <v>2549</v>
      </c>
      <c r="BK159" s="112" t="str">
        <f>REPLACE(INDEX(GroupVertices[Group], MATCH("~"&amp;Edges[[#This Row],[Vertex 1]],GroupVertices[Vertex],0)),1,1,"")</f>
        <v>1</v>
      </c>
      <c r="BL159" s="112" t="str">
        <f>REPLACE(INDEX(GroupVertices[Group], MATCH("~"&amp;Edges[[#This Row],[Vertex 2]],GroupVertices[Vertex],0)),1,1,"")</f>
        <v>1</v>
      </c>
    </row>
    <row r="160" spans="1:64" x14ac:dyDescent="0.25">
      <c r="A160" s="61" t="s">
        <v>260</v>
      </c>
      <c r="B160" s="61" t="s">
        <v>497</v>
      </c>
      <c r="C160" s="62"/>
      <c r="D160" s="63"/>
      <c r="E160" s="64"/>
      <c r="F160" s="65"/>
      <c r="G160" s="62"/>
      <c r="H160" s="66"/>
      <c r="I160" s="67"/>
      <c r="J160" s="67"/>
      <c r="K160" s="31"/>
      <c r="L160" s="75">
        <v>160</v>
      </c>
      <c r="M160"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60" s="69"/>
      <c r="O160" t="s">
        <v>703</v>
      </c>
      <c r="P160" s="76">
        <v>45506.57471064815</v>
      </c>
      <c r="Q160" t="s">
        <v>753</v>
      </c>
      <c r="R160" t="b">
        <v>0</v>
      </c>
      <c r="S160">
        <v>0</v>
      </c>
      <c r="T160">
        <v>0</v>
      </c>
      <c r="U160">
        <v>0</v>
      </c>
      <c r="V160">
        <v>0</v>
      </c>
      <c r="W160">
        <v>96</v>
      </c>
      <c r="AA160" t="s">
        <v>1216</v>
      </c>
      <c r="AD160" s="77" t="s">
        <v>1366</v>
      </c>
      <c r="AE160" t="s">
        <v>1385</v>
      </c>
      <c r="AF160" s="78" t="str">
        <f>HYPERLINK("https://twitter.com/inohino365/status/1819369456566427759")</f>
        <v>https://twitter.com/inohino365/status/1819369456566427759</v>
      </c>
      <c r="AG160" s="76">
        <v>45506.57471064815</v>
      </c>
      <c r="AH160" s="80">
        <v>45506</v>
      </c>
      <c r="AI160" s="77" t="s">
        <v>1435</v>
      </c>
      <c r="AW160" s="78" t="str">
        <f>HYPERLINK("https://pbs.twimg.com/profile_images/1893051635103838208/G65URaur_normal.jpg")</f>
        <v>https://pbs.twimg.com/profile_images/1893051635103838208/G65URaur_normal.jpg</v>
      </c>
      <c r="AX160" s="77" t="s">
        <v>1919</v>
      </c>
      <c r="AY160" s="77" t="s">
        <v>2274</v>
      </c>
      <c r="AZ160" s="77" t="s">
        <v>2388</v>
      </c>
      <c r="BA160" s="77" t="s">
        <v>2274</v>
      </c>
      <c r="BB160" s="77" t="s">
        <v>2494</v>
      </c>
      <c r="BC160" s="77" t="s">
        <v>2494</v>
      </c>
      <c r="BD160" s="77" t="s">
        <v>2274</v>
      </c>
      <c r="BE160" s="77" t="s">
        <v>2549</v>
      </c>
      <c r="BK160" s="112" t="str">
        <f>REPLACE(INDEX(GroupVertices[Group], MATCH("~"&amp;Edges[[#This Row],[Vertex 1]],GroupVertices[Vertex],0)),1,1,"")</f>
        <v>1</v>
      </c>
      <c r="BL160" s="112" t="str">
        <f>REPLACE(INDEX(GroupVertices[Group], MATCH("~"&amp;Edges[[#This Row],[Vertex 2]],GroupVertices[Vertex],0)),1,1,"")</f>
        <v>1</v>
      </c>
    </row>
    <row r="161" spans="1:64" x14ac:dyDescent="0.25">
      <c r="A161" s="61" t="s">
        <v>260</v>
      </c>
      <c r="B161" s="61" t="s">
        <v>459</v>
      </c>
      <c r="C161" s="62"/>
      <c r="D161" s="63"/>
      <c r="E161" s="64"/>
      <c r="F161" s="65"/>
      <c r="G161" s="62"/>
      <c r="H161" s="66"/>
      <c r="I161" s="67"/>
      <c r="J161" s="67"/>
      <c r="K161" s="31"/>
      <c r="L161" s="75">
        <v>161</v>
      </c>
      <c r="M161"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61" s="69"/>
      <c r="O161" t="s">
        <v>703</v>
      </c>
      <c r="P161" s="76">
        <v>45506.57471064815</v>
      </c>
      <c r="Q161" t="s">
        <v>753</v>
      </c>
      <c r="R161" t="b">
        <v>0</v>
      </c>
      <c r="S161">
        <v>0</v>
      </c>
      <c r="T161">
        <v>0</v>
      </c>
      <c r="U161">
        <v>0</v>
      </c>
      <c r="V161">
        <v>0</v>
      </c>
      <c r="W161">
        <v>96</v>
      </c>
      <c r="AA161" t="s">
        <v>1216</v>
      </c>
      <c r="AD161" s="77" t="s">
        <v>1366</v>
      </c>
      <c r="AE161" t="s">
        <v>1385</v>
      </c>
      <c r="AF161" s="78" t="str">
        <f>HYPERLINK("https://twitter.com/inohino365/status/1819369456566427759")</f>
        <v>https://twitter.com/inohino365/status/1819369456566427759</v>
      </c>
      <c r="AG161" s="76">
        <v>45506.57471064815</v>
      </c>
      <c r="AH161" s="80">
        <v>45506</v>
      </c>
      <c r="AI161" s="77" t="s">
        <v>1435</v>
      </c>
      <c r="AW161" s="78" t="str">
        <f>HYPERLINK("https://pbs.twimg.com/profile_images/1893051635103838208/G65URaur_normal.jpg")</f>
        <v>https://pbs.twimg.com/profile_images/1893051635103838208/G65URaur_normal.jpg</v>
      </c>
      <c r="AX161" s="77" t="s">
        <v>1919</v>
      </c>
      <c r="AY161" s="77" t="s">
        <v>2274</v>
      </c>
      <c r="AZ161" s="77" t="s">
        <v>2388</v>
      </c>
      <c r="BA161" s="77" t="s">
        <v>2274</v>
      </c>
      <c r="BB161" s="77" t="s">
        <v>2494</v>
      </c>
      <c r="BC161" s="77" t="s">
        <v>2494</v>
      </c>
      <c r="BD161" s="77" t="s">
        <v>2274</v>
      </c>
      <c r="BE161" s="77" t="s">
        <v>2549</v>
      </c>
      <c r="BK161" s="112" t="str">
        <f>REPLACE(INDEX(GroupVertices[Group], MATCH("~"&amp;Edges[[#This Row],[Vertex 1]],GroupVertices[Vertex],0)),1,1,"")</f>
        <v>1</v>
      </c>
      <c r="BL161" s="112" t="str">
        <f>REPLACE(INDEX(GroupVertices[Group], MATCH("~"&amp;Edges[[#This Row],[Vertex 2]],GroupVertices[Vertex],0)),1,1,"")</f>
        <v>1</v>
      </c>
    </row>
    <row r="162" spans="1:64" x14ac:dyDescent="0.25">
      <c r="A162" s="61" t="s">
        <v>391</v>
      </c>
      <c r="B162" s="61" t="s">
        <v>391</v>
      </c>
      <c r="C162" s="62"/>
      <c r="D162" s="63"/>
      <c r="E162" s="64"/>
      <c r="F162" s="65"/>
      <c r="G162" s="62"/>
      <c r="H162" s="66"/>
      <c r="I162" s="67"/>
      <c r="J162" s="67"/>
      <c r="K162" s="31"/>
      <c r="L162" s="75">
        <v>162</v>
      </c>
      <c r="M162"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62" s="69"/>
      <c r="O162" t="s">
        <v>177</v>
      </c>
      <c r="P162" s="76">
        <v>45506.840717592589</v>
      </c>
      <c r="Q162" t="s">
        <v>957</v>
      </c>
      <c r="R162" t="b">
        <v>0</v>
      </c>
      <c r="S162">
        <v>0</v>
      </c>
      <c r="T162">
        <v>0</v>
      </c>
      <c r="U162">
        <v>0</v>
      </c>
      <c r="V162">
        <v>0</v>
      </c>
      <c r="W162">
        <v>96</v>
      </c>
      <c r="Y162" s="78" t="str">
        <f>HYPERLINK("https://www.itvpatagonia.com/noticias/regional/02-08-2024/sistema-de-admision-escolar-secreduc-orienta-a-familias-para-postular-a-establecimientos-educativos/")</f>
        <v>https://www.itvpatagonia.com/noticias/regional/02-08-2024/sistema-de-admision-escolar-secreduc-orienta-a-familias-para-postular-a-establecimientos-educativos/</v>
      </c>
      <c r="Z162" t="s">
        <v>1181</v>
      </c>
      <c r="AD162" s="77" t="s">
        <v>1367</v>
      </c>
      <c r="AE162" t="s">
        <v>1385</v>
      </c>
      <c r="AF162" s="78" t="str">
        <f>HYPERLINK("https://twitter.com/itvnoticias/status/1819465853613887951")</f>
        <v>https://twitter.com/itvnoticias/status/1819465853613887951</v>
      </c>
      <c r="AG162" s="76">
        <v>45506.840717592589</v>
      </c>
      <c r="AH162" s="80">
        <v>45506</v>
      </c>
      <c r="AI162" s="77" t="s">
        <v>1637</v>
      </c>
      <c r="AJ162" t="b">
        <v>0</v>
      </c>
      <c r="AW162" s="78" t="str">
        <f>HYPERLINK("https://pbs.twimg.com/profile_images/1353736383018504196/TsP8Y9B9_normal.jpg")</f>
        <v>https://pbs.twimg.com/profile_images/1353736383018504196/TsP8Y9B9_normal.jpg</v>
      </c>
      <c r="AX162" s="77" t="s">
        <v>2123</v>
      </c>
      <c r="AY162" s="77" t="s">
        <v>2123</v>
      </c>
      <c r="BA162" s="77" t="s">
        <v>2494</v>
      </c>
      <c r="BB162" s="77" t="s">
        <v>2494</v>
      </c>
      <c r="BC162" s="77" t="s">
        <v>2494</v>
      </c>
      <c r="BD162" s="77" t="s">
        <v>2123</v>
      </c>
      <c r="BE162">
        <v>267243319</v>
      </c>
      <c r="BK162" s="112" t="str">
        <f>REPLACE(INDEX(GroupVertices[Group], MATCH("~"&amp;Edges[[#This Row],[Vertex 1]],GroupVertices[Vertex],0)),1,1,"")</f>
        <v>157</v>
      </c>
      <c r="BL162" s="112" t="str">
        <f>REPLACE(INDEX(GroupVertices[Group], MATCH("~"&amp;Edges[[#This Row],[Vertex 2]],GroupVertices[Vertex],0)),1,1,"")</f>
        <v>157</v>
      </c>
    </row>
    <row r="163" spans="1:64" x14ac:dyDescent="0.25">
      <c r="A163" s="61" t="s">
        <v>407</v>
      </c>
      <c r="B163" s="61" t="s">
        <v>407</v>
      </c>
      <c r="C163" s="62"/>
      <c r="D163" s="63"/>
      <c r="E163" s="64"/>
      <c r="F163" s="65"/>
      <c r="G163" s="62"/>
      <c r="H163" s="66"/>
      <c r="I163" s="67"/>
      <c r="J163" s="67"/>
      <c r="K163" s="31"/>
      <c r="L163" s="75">
        <v>163</v>
      </c>
      <c r="M163"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63" s="69"/>
      <c r="O163" t="s">
        <v>177</v>
      </c>
      <c r="P163" s="76">
        <v>45505.924849537034</v>
      </c>
      <c r="Q163" t="s">
        <v>975</v>
      </c>
      <c r="R163" t="b">
        <v>0</v>
      </c>
      <c r="S163">
        <v>0</v>
      </c>
      <c r="T163">
        <v>0</v>
      </c>
      <c r="U163">
        <v>0</v>
      </c>
      <c r="V163">
        <v>0</v>
      </c>
      <c r="W163">
        <v>96</v>
      </c>
      <c r="AD163" s="77" t="s">
        <v>1366</v>
      </c>
      <c r="AE163" t="s">
        <v>1385</v>
      </c>
      <c r="AF163" s="78" t="str">
        <f>HYPERLINK("https://twitter.com/palancopaola/status/1819133954126909630")</f>
        <v>https://twitter.com/palancopaola/status/1819133954126909630</v>
      </c>
      <c r="AG163" s="76">
        <v>45505.924849537034</v>
      </c>
      <c r="AH163" s="80">
        <v>45505</v>
      </c>
      <c r="AI163" s="77" t="s">
        <v>1655</v>
      </c>
      <c r="AW163" s="78" t="str">
        <f>HYPERLINK("https://pbs.twimg.com/profile_images/1846893762015887360/dHJmR5Xm_normal.jpg")</f>
        <v>https://pbs.twimg.com/profile_images/1846893762015887360/dHJmR5Xm_normal.jpg</v>
      </c>
      <c r="AX163" s="77" t="s">
        <v>2141</v>
      </c>
      <c r="AY163" s="77" t="s">
        <v>2141</v>
      </c>
      <c r="BA163" s="77" t="s">
        <v>2494</v>
      </c>
      <c r="BB163" s="77" t="s">
        <v>2494</v>
      </c>
      <c r="BC163" s="77" t="s">
        <v>2494</v>
      </c>
      <c r="BD163" s="77" t="s">
        <v>2141</v>
      </c>
      <c r="BE163" s="77" t="s">
        <v>2608</v>
      </c>
      <c r="BK163" s="112" t="str">
        <f>REPLACE(INDEX(GroupVertices[Group], MATCH("~"&amp;Edges[[#This Row],[Vertex 1]],GroupVertices[Vertex],0)),1,1,"")</f>
        <v>156</v>
      </c>
      <c r="BL163" s="112" t="str">
        <f>REPLACE(INDEX(GroupVertices[Group], MATCH("~"&amp;Edges[[#This Row],[Vertex 2]],GroupVertices[Vertex],0)),1,1,"")</f>
        <v>156</v>
      </c>
    </row>
    <row r="164" spans="1:64" x14ac:dyDescent="0.25">
      <c r="A164" s="61" t="s">
        <v>411</v>
      </c>
      <c r="B164" s="61" t="s">
        <v>514</v>
      </c>
      <c r="C164" s="62"/>
      <c r="D164" s="63"/>
      <c r="E164" s="64"/>
      <c r="F164" s="65"/>
      <c r="G164" s="62"/>
      <c r="H164" s="66"/>
      <c r="I164" s="67"/>
      <c r="J164" s="67"/>
      <c r="K164" s="31"/>
      <c r="L164" s="75">
        <v>164</v>
      </c>
      <c r="M164"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64" s="69"/>
      <c r="O164" t="s">
        <v>701</v>
      </c>
      <c r="P164" s="76">
        <v>45505.578541666669</v>
      </c>
      <c r="Q164" t="s">
        <v>979</v>
      </c>
      <c r="R164" t="b">
        <v>0</v>
      </c>
      <c r="S164">
        <v>0</v>
      </c>
      <c r="T164">
        <v>0</v>
      </c>
      <c r="U164">
        <v>0</v>
      </c>
      <c r="V164">
        <v>0</v>
      </c>
      <c r="W164">
        <v>96</v>
      </c>
      <c r="AA164" t="s">
        <v>514</v>
      </c>
      <c r="AD164" s="77" t="s">
        <v>1365</v>
      </c>
      <c r="AE164" t="s">
        <v>1385</v>
      </c>
      <c r="AF164" s="78" t="str">
        <f>HYPERLINK("https://twitter.com/igna_iquique22/status/1819008459443949598")</f>
        <v>https://twitter.com/igna_iquique22/status/1819008459443949598</v>
      </c>
      <c r="AG164" s="76">
        <v>45505.578541666669</v>
      </c>
      <c r="AH164" s="80">
        <v>45505</v>
      </c>
      <c r="AI164" s="77" t="s">
        <v>1659</v>
      </c>
      <c r="AW164" s="78" t="str">
        <f>HYPERLINK("https://pbs.twimg.com/profile_images/1791977679844937728/2z4te_W__normal.jpg")</f>
        <v>https://pbs.twimg.com/profile_images/1791977679844937728/2z4te_W__normal.jpg</v>
      </c>
      <c r="AX164" s="77" t="s">
        <v>2145</v>
      </c>
      <c r="AY164" s="77" t="s">
        <v>2259</v>
      </c>
      <c r="AZ164" s="77" t="s">
        <v>2373</v>
      </c>
      <c r="BA164" s="77" t="s">
        <v>2259</v>
      </c>
      <c r="BB164" s="77" t="s">
        <v>2494</v>
      </c>
      <c r="BC164" s="77" t="s">
        <v>2494</v>
      </c>
      <c r="BD164" s="77" t="s">
        <v>2259</v>
      </c>
      <c r="BE164" s="77" t="s">
        <v>2609</v>
      </c>
      <c r="BK164" s="112" t="str">
        <f>REPLACE(INDEX(GroupVertices[Group], MATCH("~"&amp;Edges[[#This Row],[Vertex 1]],GroupVertices[Vertex],0)),1,1,"")</f>
        <v>7</v>
      </c>
      <c r="BL164" s="112" t="str">
        <f>REPLACE(INDEX(GroupVertices[Group], MATCH("~"&amp;Edges[[#This Row],[Vertex 2]],GroupVertices[Vertex],0)),1,1,"")</f>
        <v>7</v>
      </c>
    </row>
    <row r="165" spans="1:64" x14ac:dyDescent="0.25">
      <c r="A165" s="61" t="s">
        <v>378</v>
      </c>
      <c r="B165" s="61" t="s">
        <v>554</v>
      </c>
      <c r="C165" s="62"/>
      <c r="D165" s="63"/>
      <c r="E165" s="64"/>
      <c r="F165" s="65"/>
      <c r="G165" s="62"/>
      <c r="H165" s="66"/>
      <c r="I165" s="67"/>
      <c r="J165" s="67"/>
      <c r="K165" s="31"/>
      <c r="L165" s="75">
        <v>165</v>
      </c>
      <c r="M165"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65" s="69"/>
      <c r="O165" t="s">
        <v>701</v>
      </c>
      <c r="P165" s="76">
        <v>45509.94568287037</v>
      </c>
      <c r="Q165" t="s">
        <v>942</v>
      </c>
      <c r="R165" t="b">
        <v>0</v>
      </c>
      <c r="S165">
        <v>0</v>
      </c>
      <c r="T165">
        <v>0</v>
      </c>
      <c r="U165">
        <v>0</v>
      </c>
      <c r="V165">
        <v>0</v>
      </c>
      <c r="W165">
        <v>93</v>
      </c>
      <c r="X165" s="77" t="s">
        <v>1115</v>
      </c>
      <c r="AA165" t="s">
        <v>554</v>
      </c>
      <c r="AD165" s="77" t="s">
        <v>1366</v>
      </c>
      <c r="AE165" t="s">
        <v>1385</v>
      </c>
      <c r="AF165" s="78" t="str">
        <f>HYPERLINK("https://twitter.com/cuchito2023/status/1820591055982510386")</f>
        <v>https://twitter.com/cuchito2023/status/1820591055982510386</v>
      </c>
      <c r="AG165" s="76">
        <v>45509.94568287037</v>
      </c>
      <c r="AH165" s="80">
        <v>45509</v>
      </c>
      <c r="AI165" s="77" t="s">
        <v>1622</v>
      </c>
      <c r="AW165" s="78" t="str">
        <f>HYPERLINK("https://pbs.twimg.com/profile_images/1674606467201085448/kfi16quK_normal.jpg")</f>
        <v>https://pbs.twimg.com/profile_images/1674606467201085448/kfi16quK_normal.jpg</v>
      </c>
      <c r="AX165" s="77" t="s">
        <v>2108</v>
      </c>
      <c r="AY165" s="77" t="s">
        <v>2328</v>
      </c>
      <c r="AZ165" s="77" t="s">
        <v>2447</v>
      </c>
      <c r="BA165" s="77" t="s">
        <v>2328</v>
      </c>
      <c r="BB165" s="77" t="s">
        <v>2494</v>
      </c>
      <c r="BC165" s="77" t="s">
        <v>2494</v>
      </c>
      <c r="BD165" s="77" t="s">
        <v>2328</v>
      </c>
      <c r="BE165">
        <v>3082942179</v>
      </c>
      <c r="BK165" s="112" t="str">
        <f>REPLACE(INDEX(GroupVertices[Group], MATCH("~"&amp;Edges[[#This Row],[Vertex 1]],GroupVertices[Vertex],0)),1,1,"")</f>
        <v>29</v>
      </c>
      <c r="BL165" s="112" t="str">
        <f>REPLACE(INDEX(GroupVertices[Group], MATCH("~"&amp;Edges[[#This Row],[Vertex 2]],GroupVertices[Vertex],0)),1,1,"")</f>
        <v>29</v>
      </c>
    </row>
    <row r="166" spans="1:64" x14ac:dyDescent="0.25">
      <c r="A166" s="61" t="s">
        <v>293</v>
      </c>
      <c r="B166" s="61" t="s">
        <v>574</v>
      </c>
      <c r="C166" s="62"/>
      <c r="D166" s="63"/>
      <c r="E166" s="64"/>
      <c r="F166" s="65"/>
      <c r="G166" s="62"/>
      <c r="H166" s="66"/>
      <c r="I166" s="67"/>
      <c r="J166" s="67"/>
      <c r="K166" s="31"/>
      <c r="L166" s="75">
        <v>166</v>
      </c>
      <c r="M166"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66" s="69"/>
      <c r="O166" t="s">
        <v>701</v>
      </c>
      <c r="P166" s="76">
        <v>45510.534004629626</v>
      </c>
      <c r="Q166" t="s">
        <v>836</v>
      </c>
      <c r="R166" t="b">
        <v>0</v>
      </c>
      <c r="S166">
        <v>0</v>
      </c>
      <c r="T166">
        <v>1</v>
      </c>
      <c r="U166">
        <v>0</v>
      </c>
      <c r="V166">
        <v>0</v>
      </c>
      <c r="W166">
        <v>91</v>
      </c>
      <c r="AA166" t="s">
        <v>574</v>
      </c>
      <c r="AD166" s="77" t="s">
        <v>1367</v>
      </c>
      <c r="AE166" t="s">
        <v>1385</v>
      </c>
      <c r="AF166" s="78" t="str">
        <f>HYPERLINK("https://twitter.com/manolitocino/status/1820804256602952005")</f>
        <v>https://twitter.com/manolitocino/status/1820804256602952005</v>
      </c>
      <c r="AG166" s="76">
        <v>45510.534004629626</v>
      </c>
      <c r="AH166" s="80">
        <v>45510</v>
      </c>
      <c r="AI166" s="77" t="s">
        <v>1518</v>
      </c>
      <c r="AW166" s="78" t="str">
        <f>HYPERLINK("https://pbs.twimg.com/profile_images/1389908032709091329/R2SPQ-cL_normal.jpg")</f>
        <v>https://pbs.twimg.com/profile_images/1389908032709091329/R2SPQ-cL_normal.jpg</v>
      </c>
      <c r="AX166" s="77" t="s">
        <v>2002</v>
      </c>
      <c r="AY166" s="77" t="s">
        <v>2297</v>
      </c>
      <c r="AZ166" s="77" t="s">
        <v>2416</v>
      </c>
      <c r="BA166" s="77" t="s">
        <v>2297</v>
      </c>
      <c r="BB166" s="77" t="s">
        <v>2494</v>
      </c>
      <c r="BC166" s="77" t="s">
        <v>2494</v>
      </c>
      <c r="BD166" s="77" t="s">
        <v>2297</v>
      </c>
      <c r="BE166">
        <v>309009116</v>
      </c>
      <c r="BK166" s="112" t="str">
        <f>REPLACE(INDEX(GroupVertices[Group], MATCH("~"&amp;Edges[[#This Row],[Vertex 1]],GroupVertices[Vertex],0)),1,1,"")</f>
        <v>88</v>
      </c>
      <c r="BL166" s="112" t="str">
        <f>REPLACE(INDEX(GroupVertices[Group], MATCH("~"&amp;Edges[[#This Row],[Vertex 2]],GroupVertices[Vertex],0)),1,1,"")</f>
        <v>88</v>
      </c>
    </row>
    <row r="167" spans="1:64" x14ac:dyDescent="0.25">
      <c r="A167" s="61" t="s">
        <v>414</v>
      </c>
      <c r="B167" s="61" t="s">
        <v>672</v>
      </c>
      <c r="C167" s="62"/>
      <c r="D167" s="63"/>
      <c r="E167" s="64"/>
      <c r="F167" s="65"/>
      <c r="G167" s="62"/>
      <c r="H167" s="66"/>
      <c r="I167" s="67"/>
      <c r="J167" s="67"/>
      <c r="K167" s="31"/>
      <c r="L167" s="75">
        <v>167</v>
      </c>
      <c r="M167"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67" s="69"/>
      <c r="O167" t="s">
        <v>701</v>
      </c>
      <c r="P167" s="76">
        <v>45505.841423611113</v>
      </c>
      <c r="Q167" t="s">
        <v>982</v>
      </c>
      <c r="R167" t="b">
        <v>0</v>
      </c>
      <c r="S167">
        <v>0</v>
      </c>
      <c r="T167">
        <v>0</v>
      </c>
      <c r="U167">
        <v>0</v>
      </c>
      <c r="V167">
        <v>0</v>
      </c>
      <c r="W167">
        <v>90</v>
      </c>
      <c r="AA167" t="s">
        <v>1254</v>
      </c>
      <c r="AD167" s="77" t="s">
        <v>1365</v>
      </c>
      <c r="AE167" t="s">
        <v>1385</v>
      </c>
      <c r="AF167" s="78" t="str">
        <f>HYPERLINK("https://twitter.com/claudiaea/status/1819103723311837396")</f>
        <v>https://twitter.com/claudiaea/status/1819103723311837396</v>
      </c>
      <c r="AG167" s="76">
        <v>45505.841423611113</v>
      </c>
      <c r="AH167" s="80">
        <v>45505</v>
      </c>
      <c r="AI167" s="77" t="s">
        <v>1662</v>
      </c>
      <c r="AW167" s="78" t="str">
        <f>HYPERLINK("https://pbs.twimg.com/profile_images/1891280462506536960/yokonhgd_normal.jpg")</f>
        <v>https://pbs.twimg.com/profile_images/1891280462506536960/yokonhgd_normal.jpg</v>
      </c>
      <c r="AX167" s="77" t="s">
        <v>2148</v>
      </c>
      <c r="AY167" s="77" t="s">
        <v>2345</v>
      </c>
      <c r="AZ167" s="77" t="s">
        <v>2464</v>
      </c>
      <c r="BA167" s="77" t="s">
        <v>2523</v>
      </c>
      <c r="BB167" s="77" t="s">
        <v>2494</v>
      </c>
      <c r="BC167" s="77" t="s">
        <v>2494</v>
      </c>
      <c r="BD167" s="77" t="s">
        <v>2523</v>
      </c>
      <c r="BE167" s="77" t="s">
        <v>2610</v>
      </c>
      <c r="BK167" s="112" t="str">
        <f>REPLACE(INDEX(GroupVertices[Group], MATCH("~"&amp;Edges[[#This Row],[Vertex 1]],GroupVertices[Vertex],0)),1,1,"")</f>
        <v>9</v>
      </c>
      <c r="BL167" s="112" t="str">
        <f>REPLACE(INDEX(GroupVertices[Group], MATCH("~"&amp;Edges[[#This Row],[Vertex 2]],GroupVertices[Vertex],0)),1,1,"")</f>
        <v>9</v>
      </c>
    </row>
    <row r="168" spans="1:64" x14ac:dyDescent="0.25">
      <c r="A168" s="61" t="s">
        <v>414</v>
      </c>
      <c r="B168" s="61" t="s">
        <v>555</v>
      </c>
      <c r="C168" s="62"/>
      <c r="D168" s="63"/>
      <c r="E168" s="64"/>
      <c r="F168" s="65"/>
      <c r="G168" s="62"/>
      <c r="H168" s="66"/>
      <c r="I168" s="67"/>
      <c r="J168" s="67"/>
      <c r="K168" s="31"/>
      <c r="L168" s="75">
        <v>168</v>
      </c>
      <c r="M168"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68" s="69"/>
      <c r="O168" t="s">
        <v>703</v>
      </c>
      <c r="P168" s="76">
        <v>45505.841423611113</v>
      </c>
      <c r="Q168" t="s">
        <v>982</v>
      </c>
      <c r="R168" t="b">
        <v>0</v>
      </c>
      <c r="S168">
        <v>0</v>
      </c>
      <c r="T168">
        <v>0</v>
      </c>
      <c r="U168">
        <v>0</v>
      </c>
      <c r="V168">
        <v>0</v>
      </c>
      <c r="W168">
        <v>90</v>
      </c>
      <c r="AA168" t="s">
        <v>1254</v>
      </c>
      <c r="AD168" s="77" t="s">
        <v>1365</v>
      </c>
      <c r="AE168" t="s">
        <v>1385</v>
      </c>
      <c r="AF168" s="78" t="str">
        <f>HYPERLINK("https://twitter.com/claudiaea/status/1819103723311837396")</f>
        <v>https://twitter.com/claudiaea/status/1819103723311837396</v>
      </c>
      <c r="AG168" s="76">
        <v>45505.841423611113</v>
      </c>
      <c r="AH168" s="80">
        <v>45505</v>
      </c>
      <c r="AI168" s="77" t="s">
        <v>1662</v>
      </c>
      <c r="AW168" s="78" t="str">
        <f>HYPERLINK("https://pbs.twimg.com/profile_images/1891280462506536960/yokonhgd_normal.jpg")</f>
        <v>https://pbs.twimg.com/profile_images/1891280462506536960/yokonhgd_normal.jpg</v>
      </c>
      <c r="AX168" s="77" t="s">
        <v>2148</v>
      </c>
      <c r="AY168" s="77" t="s">
        <v>2345</v>
      </c>
      <c r="AZ168" s="77" t="s">
        <v>2464</v>
      </c>
      <c r="BA168" s="77" t="s">
        <v>2523</v>
      </c>
      <c r="BB168" s="77" t="s">
        <v>2494</v>
      </c>
      <c r="BC168" s="77" t="s">
        <v>2494</v>
      </c>
      <c r="BD168" s="77" t="s">
        <v>2523</v>
      </c>
      <c r="BE168" s="77" t="s">
        <v>2610</v>
      </c>
      <c r="BK168" s="112" t="str">
        <f>REPLACE(INDEX(GroupVertices[Group], MATCH("~"&amp;Edges[[#This Row],[Vertex 1]],GroupVertices[Vertex],0)),1,1,"")</f>
        <v>9</v>
      </c>
      <c r="BL168" s="112" t="str">
        <f>REPLACE(INDEX(GroupVertices[Group], MATCH("~"&amp;Edges[[#This Row],[Vertex 2]],GroupVertices[Vertex],0)),1,1,"")</f>
        <v>9</v>
      </c>
    </row>
    <row r="169" spans="1:64" x14ac:dyDescent="0.25">
      <c r="A169" s="61" t="s">
        <v>414</v>
      </c>
      <c r="B169" s="61" t="s">
        <v>556</v>
      </c>
      <c r="C169" s="62"/>
      <c r="D169" s="63"/>
      <c r="E169" s="64"/>
      <c r="F169" s="65"/>
      <c r="G169" s="62"/>
      <c r="H169" s="66"/>
      <c r="I169" s="67"/>
      <c r="J169" s="67"/>
      <c r="K169" s="31"/>
      <c r="L169" s="75">
        <v>169</v>
      </c>
      <c r="M169"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69" s="69"/>
      <c r="O169" t="s">
        <v>703</v>
      </c>
      <c r="P169" s="76">
        <v>45505.841423611113</v>
      </c>
      <c r="Q169" t="s">
        <v>982</v>
      </c>
      <c r="R169" t="b">
        <v>0</v>
      </c>
      <c r="S169">
        <v>0</v>
      </c>
      <c r="T169">
        <v>0</v>
      </c>
      <c r="U169">
        <v>0</v>
      </c>
      <c r="V169">
        <v>0</v>
      </c>
      <c r="W169">
        <v>90</v>
      </c>
      <c r="AA169" t="s">
        <v>1254</v>
      </c>
      <c r="AD169" s="77" t="s">
        <v>1365</v>
      </c>
      <c r="AE169" t="s">
        <v>1385</v>
      </c>
      <c r="AF169" s="78" t="str">
        <f>HYPERLINK("https://twitter.com/claudiaea/status/1819103723311837396")</f>
        <v>https://twitter.com/claudiaea/status/1819103723311837396</v>
      </c>
      <c r="AG169" s="76">
        <v>45505.841423611113</v>
      </c>
      <c r="AH169" s="80">
        <v>45505</v>
      </c>
      <c r="AI169" s="77" t="s">
        <v>1662</v>
      </c>
      <c r="AW169" s="78" t="str">
        <f>HYPERLINK("https://pbs.twimg.com/profile_images/1891280462506536960/yokonhgd_normal.jpg")</f>
        <v>https://pbs.twimg.com/profile_images/1891280462506536960/yokonhgd_normal.jpg</v>
      </c>
      <c r="AX169" s="77" t="s">
        <v>2148</v>
      </c>
      <c r="AY169" s="77" t="s">
        <v>2345</v>
      </c>
      <c r="AZ169" s="77" t="s">
        <v>2464</v>
      </c>
      <c r="BA169" s="77" t="s">
        <v>2523</v>
      </c>
      <c r="BB169" s="77" t="s">
        <v>2494</v>
      </c>
      <c r="BC169" s="77" t="s">
        <v>2494</v>
      </c>
      <c r="BD169" s="77" t="s">
        <v>2523</v>
      </c>
      <c r="BE169" s="77" t="s">
        <v>2610</v>
      </c>
      <c r="BK169" s="112" t="str">
        <f>REPLACE(INDEX(GroupVertices[Group], MATCH("~"&amp;Edges[[#This Row],[Vertex 1]],GroupVertices[Vertex],0)),1,1,"")</f>
        <v>9</v>
      </c>
      <c r="BL169" s="112" t="str">
        <f>REPLACE(INDEX(GroupVertices[Group], MATCH("~"&amp;Edges[[#This Row],[Vertex 2]],GroupVertices[Vertex],0)),1,1,"")</f>
        <v>9</v>
      </c>
    </row>
    <row r="170" spans="1:64" x14ac:dyDescent="0.25">
      <c r="A170" s="61" t="s">
        <v>288</v>
      </c>
      <c r="B170" s="61" t="s">
        <v>567</v>
      </c>
      <c r="C170" s="62"/>
      <c r="D170" s="63"/>
      <c r="E170" s="64"/>
      <c r="F170" s="65"/>
      <c r="G170" s="62"/>
      <c r="H170" s="66"/>
      <c r="I170" s="67"/>
      <c r="J170" s="67"/>
      <c r="K170" s="31"/>
      <c r="L170" s="75">
        <v>170</v>
      </c>
      <c r="M170"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70" s="69"/>
      <c r="O170" t="s">
        <v>701</v>
      </c>
      <c r="P170" s="76">
        <v>45506.908668981479</v>
      </c>
      <c r="Q170" t="s">
        <v>797</v>
      </c>
      <c r="R170" t="b">
        <v>0</v>
      </c>
      <c r="S170">
        <v>0</v>
      </c>
      <c r="T170">
        <v>1</v>
      </c>
      <c r="U170">
        <v>1</v>
      </c>
      <c r="V170">
        <v>0</v>
      </c>
      <c r="W170">
        <v>88</v>
      </c>
      <c r="AA170" t="s">
        <v>567</v>
      </c>
      <c r="AD170" s="77" t="s">
        <v>1365</v>
      </c>
      <c r="AE170" t="s">
        <v>1385</v>
      </c>
      <c r="AF170" s="78" t="str">
        <f>HYPERLINK("https://twitter.com/alex_alic/status/1819490479324401789")</f>
        <v>https://twitter.com/alex_alic/status/1819490479324401789</v>
      </c>
      <c r="AG170" s="76">
        <v>45506.908668981479</v>
      </c>
      <c r="AH170" s="80">
        <v>45506</v>
      </c>
      <c r="AI170" s="77" t="s">
        <v>1479</v>
      </c>
      <c r="AW170" s="78" t="str">
        <f>HYPERLINK("https://pbs.twimg.com/profile_images/1787466031830585344/rmOMQzGH_normal.jpg")</f>
        <v>https://pbs.twimg.com/profile_images/1787466031830585344/rmOMQzGH_normal.jpg</v>
      </c>
      <c r="AX170" s="77" t="s">
        <v>1963</v>
      </c>
      <c r="AY170" s="77" t="s">
        <v>2294</v>
      </c>
      <c r="AZ170" s="77" t="s">
        <v>2412</v>
      </c>
      <c r="BA170" s="77" t="s">
        <v>2294</v>
      </c>
      <c r="BB170" s="77" t="s">
        <v>2494</v>
      </c>
      <c r="BC170" s="77" t="s">
        <v>2494</v>
      </c>
      <c r="BD170" s="77" t="s">
        <v>2294</v>
      </c>
      <c r="BE170">
        <v>282930614</v>
      </c>
      <c r="BK170" s="112" t="str">
        <f>REPLACE(INDEX(GroupVertices[Group], MATCH("~"&amp;Edges[[#This Row],[Vertex 1]],GroupVertices[Vertex],0)),1,1,"")</f>
        <v>8</v>
      </c>
      <c r="BL170" s="112" t="str">
        <f>REPLACE(INDEX(GroupVertices[Group], MATCH("~"&amp;Edges[[#This Row],[Vertex 2]],GroupVertices[Vertex],0)),1,1,"")</f>
        <v>8</v>
      </c>
    </row>
    <row r="171" spans="1:64" x14ac:dyDescent="0.25">
      <c r="A171" s="61" t="s">
        <v>360</v>
      </c>
      <c r="B171" s="61" t="s">
        <v>360</v>
      </c>
      <c r="C171" s="62"/>
      <c r="D171" s="63"/>
      <c r="E171" s="64"/>
      <c r="F171" s="65"/>
      <c r="G171" s="62"/>
      <c r="H171" s="66"/>
      <c r="I171" s="67"/>
      <c r="J171" s="67"/>
      <c r="K171" s="31"/>
      <c r="L171" s="75">
        <v>171</v>
      </c>
      <c r="M171"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71" s="69"/>
      <c r="O171" t="s">
        <v>702</v>
      </c>
      <c r="P171" s="76">
        <v>45509.712824074071</v>
      </c>
      <c r="Q171" t="s">
        <v>920</v>
      </c>
      <c r="R171" t="b">
        <v>0</v>
      </c>
      <c r="S171">
        <v>0</v>
      </c>
      <c r="T171">
        <v>2</v>
      </c>
      <c r="U171">
        <v>0</v>
      </c>
      <c r="V171">
        <v>0</v>
      </c>
      <c r="W171">
        <v>88</v>
      </c>
      <c r="Y171" s="78" t="str">
        <f>HYPERLINK("https://radionuevomundo.cl/2024/08/04/sistema-de-admision-escolar-sae-mitos-y-verdades-de-la-plataforma-de-postulacion-a-colegios/")</f>
        <v>https://radionuevomundo.cl/2024/08/04/sistema-de-admision-escolar-sae-mitos-y-verdades-de-la-plataforma-de-postulacion-a-colegios/</v>
      </c>
      <c r="Z171" t="s">
        <v>1170</v>
      </c>
      <c r="AA171" t="s">
        <v>360</v>
      </c>
      <c r="AD171" s="77" t="s">
        <v>1367</v>
      </c>
      <c r="AE171" t="s">
        <v>1385</v>
      </c>
      <c r="AF171" s="78" t="str">
        <f>HYPERLINK("https://twitter.com/rnuevomundo/status/1820506673011655071")</f>
        <v>https://twitter.com/rnuevomundo/status/1820506673011655071</v>
      </c>
      <c r="AG171" s="76">
        <v>45509.712824074071</v>
      </c>
      <c r="AH171" s="80">
        <v>45509</v>
      </c>
      <c r="AI171" s="77" t="s">
        <v>1600</v>
      </c>
      <c r="AJ171" t="b">
        <v>0</v>
      </c>
      <c r="AW171" s="78" t="str">
        <f>HYPERLINK("https://pbs.twimg.com/profile_images/1555384736754929673/ajPOWKtc_normal.jpg")</f>
        <v>https://pbs.twimg.com/profile_images/1555384736754929673/ajPOWKtc_normal.jpg</v>
      </c>
      <c r="AX171" s="77" t="s">
        <v>2086</v>
      </c>
      <c r="AY171" s="77" t="s">
        <v>2086</v>
      </c>
      <c r="BA171" s="77" t="s">
        <v>2494</v>
      </c>
      <c r="BB171" s="77" t="s">
        <v>2494</v>
      </c>
      <c r="BC171" s="77" t="s">
        <v>2494</v>
      </c>
      <c r="BD171" s="77" t="s">
        <v>2086</v>
      </c>
      <c r="BE171">
        <v>324447694</v>
      </c>
      <c r="BK171" s="112" t="str">
        <f>REPLACE(INDEX(GroupVertices[Group], MATCH("~"&amp;Edges[[#This Row],[Vertex 1]],GroupVertices[Vertex],0)),1,1,"")</f>
        <v>1</v>
      </c>
      <c r="BL171" s="112" t="str">
        <f>REPLACE(INDEX(GroupVertices[Group], MATCH("~"&amp;Edges[[#This Row],[Vertex 2]],GroupVertices[Vertex],0)),1,1,"")</f>
        <v>1</v>
      </c>
    </row>
    <row r="172" spans="1:64" x14ac:dyDescent="0.25">
      <c r="A172" s="61" t="s">
        <v>367</v>
      </c>
      <c r="B172" s="61" t="s">
        <v>367</v>
      </c>
      <c r="C172" s="62"/>
      <c r="D172" s="63"/>
      <c r="E172" s="64"/>
      <c r="F172" s="65"/>
      <c r="G172" s="62"/>
      <c r="H172" s="66"/>
      <c r="I172" s="67"/>
      <c r="J172" s="67"/>
      <c r="K172" s="31"/>
      <c r="L172" s="75">
        <v>172</v>
      </c>
      <c r="M172"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72" s="69"/>
      <c r="O172" t="s">
        <v>177</v>
      </c>
      <c r="P172" s="76">
        <v>45506.605636574073</v>
      </c>
      <c r="Q172" t="s">
        <v>929</v>
      </c>
      <c r="R172" t="b">
        <v>0</v>
      </c>
      <c r="S172">
        <v>0</v>
      </c>
      <c r="T172">
        <v>0</v>
      </c>
      <c r="U172">
        <v>0</v>
      </c>
      <c r="V172">
        <v>0</v>
      </c>
      <c r="W172">
        <v>88</v>
      </c>
      <c r="AB172" t="s">
        <v>1313</v>
      </c>
      <c r="AC172" t="s">
        <v>1364</v>
      </c>
      <c r="AD172" s="77" t="s">
        <v>1366</v>
      </c>
      <c r="AE172" t="s">
        <v>1385</v>
      </c>
      <c r="AF172" s="78" t="str">
        <f>HYPERLINK("https://twitter.com/estandartese16/status/1819380663625077236")</f>
        <v>https://twitter.com/estandartese16/status/1819380663625077236</v>
      </c>
      <c r="AG172" s="76">
        <v>45506.605636574073</v>
      </c>
      <c r="AH172" s="80">
        <v>45506</v>
      </c>
      <c r="AI172" s="77" t="s">
        <v>1609</v>
      </c>
      <c r="AJ172" t="b">
        <v>0</v>
      </c>
      <c r="AR172" t="s">
        <v>1826</v>
      </c>
      <c r="AW172" s="78" t="str">
        <f>HYPERLINK("https://pbs.twimg.com/media/GT-9EE4X0AECO8J.jpg")</f>
        <v>https://pbs.twimg.com/media/GT-9EE4X0AECO8J.jpg</v>
      </c>
      <c r="AX172" s="77" t="s">
        <v>2095</v>
      </c>
      <c r="AY172" s="77" t="s">
        <v>2095</v>
      </c>
      <c r="BA172" s="77" t="s">
        <v>2494</v>
      </c>
      <c r="BB172" s="77" t="s">
        <v>2494</v>
      </c>
      <c r="BC172" s="77" t="s">
        <v>2494</v>
      </c>
      <c r="BD172" s="77" t="s">
        <v>2095</v>
      </c>
      <c r="BE172" s="77" t="s">
        <v>2592</v>
      </c>
      <c r="BK172" s="112" t="str">
        <f>REPLACE(INDEX(GroupVertices[Group], MATCH("~"&amp;Edges[[#This Row],[Vertex 1]],GroupVertices[Vertex],0)),1,1,"")</f>
        <v>93</v>
      </c>
      <c r="BL172" s="112" t="str">
        <f>REPLACE(INDEX(GroupVertices[Group], MATCH("~"&amp;Edges[[#This Row],[Vertex 2]],GroupVertices[Vertex],0)),1,1,"")</f>
        <v>93</v>
      </c>
    </row>
    <row r="173" spans="1:64" x14ac:dyDescent="0.25">
      <c r="A173" s="61" t="s">
        <v>416</v>
      </c>
      <c r="B173" s="61" t="s">
        <v>416</v>
      </c>
      <c r="C173" s="62"/>
      <c r="D173" s="63"/>
      <c r="E173" s="64"/>
      <c r="F173" s="65"/>
      <c r="G173" s="62"/>
      <c r="H173" s="66"/>
      <c r="I173" s="67"/>
      <c r="J173" s="67"/>
      <c r="K173" s="31"/>
      <c r="L173" s="75">
        <v>173</v>
      </c>
      <c r="M173"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73" s="69"/>
      <c r="O173" t="s">
        <v>177</v>
      </c>
      <c r="P173" s="76">
        <v>45508.894791666666</v>
      </c>
      <c r="Q173" t="s">
        <v>984</v>
      </c>
      <c r="R173" t="b">
        <v>0</v>
      </c>
      <c r="S173">
        <v>0</v>
      </c>
      <c r="T173">
        <v>0</v>
      </c>
      <c r="U173">
        <v>0</v>
      </c>
      <c r="V173">
        <v>0</v>
      </c>
      <c r="W173">
        <v>87</v>
      </c>
      <c r="Y173" s="78" t="str">
        <f>HYPERLINK("https://radiolautarotalca.cl/hasta-el-30-de-agosto-se-puede-postular-a-colegios-maulinos-por-sistema-de-admision-escolar/")</f>
        <v>https://radiolautarotalca.cl/hasta-el-30-de-agosto-se-puede-postular-a-colegios-maulinos-por-sistema-de-admision-escolar/</v>
      </c>
      <c r="Z173" t="s">
        <v>1184</v>
      </c>
      <c r="AD173" s="77" t="s">
        <v>1367</v>
      </c>
      <c r="AE173" t="s">
        <v>1385</v>
      </c>
      <c r="AF173" s="78" t="str">
        <f>HYPERLINK("https://twitter.com/secreducmaule/status/1820210225242124591")</f>
        <v>https://twitter.com/secreducmaule/status/1820210225242124591</v>
      </c>
      <c r="AG173" s="76">
        <v>45508.894791666666</v>
      </c>
      <c r="AH173" s="80">
        <v>45508</v>
      </c>
      <c r="AI173" s="77" t="s">
        <v>1664</v>
      </c>
      <c r="AJ173" t="b">
        <v>0</v>
      </c>
      <c r="AW173" s="78" t="str">
        <f>HYPERLINK("https://pbs.twimg.com/profile_images/1762917124257845248/GkkAX8i9_normal.jpg")</f>
        <v>https://pbs.twimg.com/profile_images/1762917124257845248/GkkAX8i9_normal.jpg</v>
      </c>
      <c r="AX173" s="77" t="s">
        <v>2150</v>
      </c>
      <c r="AY173" s="77" t="s">
        <v>2150</v>
      </c>
      <c r="BA173" s="77" t="s">
        <v>2494</v>
      </c>
      <c r="BB173" s="77" t="s">
        <v>2494</v>
      </c>
      <c r="BC173" s="77" t="s">
        <v>2494</v>
      </c>
      <c r="BD173" s="77" t="s">
        <v>2150</v>
      </c>
      <c r="BE173">
        <v>2445925304</v>
      </c>
      <c r="BK173" s="112" t="str">
        <f>REPLACE(INDEX(GroupVertices[Group], MATCH("~"&amp;Edges[[#This Row],[Vertex 1]],GroupVertices[Vertex],0)),1,1,"")</f>
        <v>155</v>
      </c>
      <c r="BL173" s="112" t="str">
        <f>REPLACE(INDEX(GroupVertices[Group], MATCH("~"&amp;Edges[[#This Row],[Vertex 2]],GroupVertices[Vertex],0)),1,1,"")</f>
        <v>155</v>
      </c>
    </row>
    <row r="174" spans="1:64" x14ac:dyDescent="0.25">
      <c r="A174" s="61" t="s">
        <v>416</v>
      </c>
      <c r="B174" s="61" t="s">
        <v>416</v>
      </c>
      <c r="C174" s="62"/>
      <c r="D174" s="63"/>
      <c r="E174" s="64"/>
      <c r="F174" s="65"/>
      <c r="G174" s="62"/>
      <c r="H174" s="66"/>
      <c r="I174" s="67"/>
      <c r="J174" s="67"/>
      <c r="K174" s="31"/>
      <c r="L174" s="75">
        <v>174</v>
      </c>
      <c r="M174"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74" s="69"/>
      <c r="O174" t="s">
        <v>177</v>
      </c>
      <c r="P174" s="76">
        <v>45508.795624999999</v>
      </c>
      <c r="Q174" t="s">
        <v>985</v>
      </c>
      <c r="R174" t="b">
        <v>0</v>
      </c>
      <c r="S174">
        <v>0</v>
      </c>
      <c r="T174">
        <v>0</v>
      </c>
      <c r="U174">
        <v>0</v>
      </c>
      <c r="V174">
        <v>0</v>
      </c>
      <c r="W174">
        <v>85</v>
      </c>
      <c r="Y174" s="78" t="str">
        <f>HYPERLINK("https://amnoticias.cl/parte-postulacion-2025-a-establecimientos-maulinos-por-sistema-de-admision-escolar/")</f>
        <v>https://amnoticias.cl/parte-postulacion-2025-a-establecimientos-maulinos-por-sistema-de-admision-escolar/</v>
      </c>
      <c r="Z174" t="s">
        <v>1185</v>
      </c>
      <c r="AD174" s="77" t="s">
        <v>1367</v>
      </c>
      <c r="AE174" t="s">
        <v>1385</v>
      </c>
      <c r="AF174" s="78" t="str">
        <f>HYPERLINK("https://twitter.com/secreducmaule/status/1820174288369996155")</f>
        <v>https://twitter.com/secreducmaule/status/1820174288369996155</v>
      </c>
      <c r="AG174" s="76">
        <v>45508.795624999999</v>
      </c>
      <c r="AH174" s="80">
        <v>45508</v>
      </c>
      <c r="AI174" s="77" t="s">
        <v>1665</v>
      </c>
      <c r="AJ174" t="b">
        <v>0</v>
      </c>
      <c r="AW174" s="78" t="str">
        <f>HYPERLINK("https://pbs.twimg.com/profile_images/1762917124257845248/GkkAX8i9_normal.jpg")</f>
        <v>https://pbs.twimg.com/profile_images/1762917124257845248/GkkAX8i9_normal.jpg</v>
      </c>
      <c r="AX174" s="77" t="s">
        <v>2151</v>
      </c>
      <c r="AY174" s="77" t="s">
        <v>2151</v>
      </c>
      <c r="BA174" s="77" t="s">
        <v>2494</v>
      </c>
      <c r="BB174" s="77" t="s">
        <v>2494</v>
      </c>
      <c r="BC174" s="77" t="s">
        <v>2494</v>
      </c>
      <c r="BD174" s="77" t="s">
        <v>2151</v>
      </c>
      <c r="BE174">
        <v>2445925304</v>
      </c>
      <c r="BK174" s="112" t="str">
        <f>REPLACE(INDEX(GroupVertices[Group], MATCH("~"&amp;Edges[[#This Row],[Vertex 1]],GroupVertices[Vertex],0)),1,1,"")</f>
        <v>155</v>
      </c>
      <c r="BL174" s="112" t="str">
        <f>REPLACE(INDEX(GroupVertices[Group], MATCH("~"&amp;Edges[[#This Row],[Vertex 2]],GroupVertices[Vertex],0)),1,1,"")</f>
        <v>155</v>
      </c>
    </row>
    <row r="175" spans="1:64" x14ac:dyDescent="0.25">
      <c r="A175" s="61" t="s">
        <v>376</v>
      </c>
      <c r="B175" s="61" t="s">
        <v>634</v>
      </c>
      <c r="C175" s="62"/>
      <c r="D175" s="63"/>
      <c r="E175" s="64"/>
      <c r="F175" s="65"/>
      <c r="G175" s="62"/>
      <c r="H175" s="66"/>
      <c r="I175" s="67"/>
      <c r="J175" s="67"/>
      <c r="K175" s="31"/>
      <c r="L175" s="75">
        <v>175</v>
      </c>
      <c r="M175"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75" s="69"/>
      <c r="O175" t="s">
        <v>703</v>
      </c>
      <c r="P175" s="76">
        <v>45505.699502314812</v>
      </c>
      <c r="Q175" t="s">
        <v>940</v>
      </c>
      <c r="R175" t="b">
        <v>0</v>
      </c>
      <c r="S175">
        <v>0</v>
      </c>
      <c r="T175">
        <v>0</v>
      </c>
      <c r="U175">
        <v>1</v>
      </c>
      <c r="V175">
        <v>0</v>
      </c>
      <c r="W175">
        <v>84</v>
      </c>
      <c r="AA175" t="s">
        <v>1244</v>
      </c>
      <c r="AB175" t="s">
        <v>1319</v>
      </c>
      <c r="AC175" t="s">
        <v>1359</v>
      </c>
      <c r="AD175" s="77" t="s">
        <v>1365</v>
      </c>
      <c r="AE175" t="s">
        <v>1385</v>
      </c>
      <c r="AF175" s="78" t="str">
        <f>HYPERLINK("https://twitter.com/checharquintero/status/1819052290570948780")</f>
        <v>https://twitter.com/checharquintero/status/1819052290570948780</v>
      </c>
      <c r="AG175" s="76">
        <v>45505.699502314812</v>
      </c>
      <c r="AH175" s="80">
        <v>45505</v>
      </c>
      <c r="AI175" s="77" t="s">
        <v>1620</v>
      </c>
      <c r="AJ175" t="b">
        <v>0</v>
      </c>
      <c r="AR175" t="s">
        <v>1832</v>
      </c>
      <c r="AW175" s="78" t="str">
        <f>HYPERLINK("https://pbs.twimg.com/media/GT6SawuXkAcd2cG.jpg")</f>
        <v>https://pbs.twimg.com/media/GT6SawuXkAcd2cG.jpg</v>
      </c>
      <c r="AX175" s="77" t="s">
        <v>2106</v>
      </c>
      <c r="AY175" s="77" t="s">
        <v>2327</v>
      </c>
      <c r="AZ175" s="77" t="s">
        <v>2446</v>
      </c>
      <c r="BA175" s="77" t="s">
        <v>2515</v>
      </c>
      <c r="BB175" s="77" t="s">
        <v>2494</v>
      </c>
      <c r="BC175" s="77" t="s">
        <v>2494</v>
      </c>
      <c r="BD175" s="77" t="s">
        <v>2515</v>
      </c>
      <c r="BE175">
        <v>291924619</v>
      </c>
      <c r="BK175" s="112" t="str">
        <f>REPLACE(INDEX(GroupVertices[Group], MATCH("~"&amp;Edges[[#This Row],[Vertex 1]],GroupVertices[Vertex],0)),1,1,"")</f>
        <v>28</v>
      </c>
      <c r="BL175" s="112" t="str">
        <f>REPLACE(INDEX(GroupVertices[Group], MATCH("~"&amp;Edges[[#This Row],[Vertex 2]],GroupVertices[Vertex],0)),1,1,"")</f>
        <v>28</v>
      </c>
    </row>
    <row r="176" spans="1:64" x14ac:dyDescent="0.25">
      <c r="A176" s="61" t="s">
        <v>376</v>
      </c>
      <c r="B176" s="61" t="s">
        <v>635</v>
      </c>
      <c r="C176" s="62"/>
      <c r="D176" s="63"/>
      <c r="E176" s="64"/>
      <c r="F176" s="65"/>
      <c r="G176" s="62"/>
      <c r="H176" s="66"/>
      <c r="I176" s="67"/>
      <c r="J176" s="67"/>
      <c r="K176" s="31"/>
      <c r="L176" s="75">
        <v>176</v>
      </c>
      <c r="M176"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76" s="69"/>
      <c r="O176" t="s">
        <v>703</v>
      </c>
      <c r="P176" s="76">
        <v>45505.699502314812</v>
      </c>
      <c r="Q176" t="s">
        <v>940</v>
      </c>
      <c r="R176" t="b">
        <v>0</v>
      </c>
      <c r="S176">
        <v>0</v>
      </c>
      <c r="T176">
        <v>0</v>
      </c>
      <c r="U176">
        <v>1</v>
      </c>
      <c r="V176">
        <v>0</v>
      </c>
      <c r="W176">
        <v>84</v>
      </c>
      <c r="AA176" t="s">
        <v>1244</v>
      </c>
      <c r="AB176" t="s">
        <v>1319</v>
      </c>
      <c r="AC176" t="s">
        <v>1359</v>
      </c>
      <c r="AD176" s="77" t="s">
        <v>1365</v>
      </c>
      <c r="AE176" t="s">
        <v>1385</v>
      </c>
      <c r="AF176" s="78" t="str">
        <f>HYPERLINK("https://twitter.com/checharquintero/status/1819052290570948780")</f>
        <v>https://twitter.com/checharquintero/status/1819052290570948780</v>
      </c>
      <c r="AG176" s="76">
        <v>45505.699502314812</v>
      </c>
      <c r="AH176" s="80">
        <v>45505</v>
      </c>
      <c r="AI176" s="77" t="s">
        <v>1620</v>
      </c>
      <c r="AJ176" t="b">
        <v>0</v>
      </c>
      <c r="AR176" t="s">
        <v>1832</v>
      </c>
      <c r="AW176" s="78" t="str">
        <f>HYPERLINK("https://pbs.twimg.com/media/GT6SawuXkAcd2cG.jpg")</f>
        <v>https://pbs.twimg.com/media/GT6SawuXkAcd2cG.jpg</v>
      </c>
      <c r="AX176" s="77" t="s">
        <v>2106</v>
      </c>
      <c r="AY176" s="77" t="s">
        <v>2327</v>
      </c>
      <c r="AZ176" s="77" t="s">
        <v>2446</v>
      </c>
      <c r="BA176" s="77" t="s">
        <v>2515</v>
      </c>
      <c r="BB176" s="77" t="s">
        <v>2494</v>
      </c>
      <c r="BC176" s="77" t="s">
        <v>2494</v>
      </c>
      <c r="BD176" s="77" t="s">
        <v>2515</v>
      </c>
      <c r="BE176">
        <v>291924619</v>
      </c>
      <c r="BK176" s="112" t="str">
        <f>REPLACE(INDEX(GroupVertices[Group], MATCH("~"&amp;Edges[[#This Row],[Vertex 1]],GroupVertices[Vertex],0)),1,1,"")</f>
        <v>28</v>
      </c>
      <c r="BL176" s="112" t="str">
        <f>REPLACE(INDEX(GroupVertices[Group], MATCH("~"&amp;Edges[[#This Row],[Vertex 2]],GroupVertices[Vertex],0)),1,1,"")</f>
        <v>28</v>
      </c>
    </row>
    <row r="177" spans="1:64" x14ac:dyDescent="0.25">
      <c r="A177" s="61" t="s">
        <v>376</v>
      </c>
      <c r="B177" s="61" t="s">
        <v>636</v>
      </c>
      <c r="C177" s="62"/>
      <c r="D177" s="63"/>
      <c r="E177" s="64"/>
      <c r="F177" s="65"/>
      <c r="G177" s="62"/>
      <c r="H177" s="66"/>
      <c r="I177" s="67"/>
      <c r="J177" s="67"/>
      <c r="K177" s="31"/>
      <c r="L177" s="75">
        <v>177</v>
      </c>
      <c r="M177"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77" s="69"/>
      <c r="O177" t="s">
        <v>701</v>
      </c>
      <c r="P177" s="76">
        <v>45505.699502314812</v>
      </c>
      <c r="Q177" t="s">
        <v>940</v>
      </c>
      <c r="R177" t="b">
        <v>0</v>
      </c>
      <c r="S177">
        <v>0</v>
      </c>
      <c r="T177">
        <v>0</v>
      </c>
      <c r="U177">
        <v>1</v>
      </c>
      <c r="V177">
        <v>0</v>
      </c>
      <c r="W177">
        <v>84</v>
      </c>
      <c r="AA177" t="s">
        <v>1244</v>
      </c>
      <c r="AB177" t="s">
        <v>1319</v>
      </c>
      <c r="AC177" t="s">
        <v>1359</v>
      </c>
      <c r="AD177" s="77" t="s">
        <v>1365</v>
      </c>
      <c r="AE177" t="s">
        <v>1385</v>
      </c>
      <c r="AF177" s="78" t="str">
        <f>HYPERLINK("https://twitter.com/checharquintero/status/1819052290570948780")</f>
        <v>https://twitter.com/checharquintero/status/1819052290570948780</v>
      </c>
      <c r="AG177" s="76">
        <v>45505.699502314812</v>
      </c>
      <c r="AH177" s="80">
        <v>45505</v>
      </c>
      <c r="AI177" s="77" t="s">
        <v>1620</v>
      </c>
      <c r="AJ177" t="b">
        <v>0</v>
      </c>
      <c r="AR177" t="s">
        <v>1832</v>
      </c>
      <c r="AW177" s="78" t="str">
        <f>HYPERLINK("https://pbs.twimg.com/media/GT6SawuXkAcd2cG.jpg")</f>
        <v>https://pbs.twimg.com/media/GT6SawuXkAcd2cG.jpg</v>
      </c>
      <c r="AX177" s="77" t="s">
        <v>2106</v>
      </c>
      <c r="AY177" s="77" t="s">
        <v>2327</v>
      </c>
      <c r="AZ177" s="77" t="s">
        <v>2446</v>
      </c>
      <c r="BA177" s="77" t="s">
        <v>2515</v>
      </c>
      <c r="BB177" s="77" t="s">
        <v>2494</v>
      </c>
      <c r="BC177" s="77" t="s">
        <v>2494</v>
      </c>
      <c r="BD177" s="77" t="s">
        <v>2515</v>
      </c>
      <c r="BE177">
        <v>291924619</v>
      </c>
      <c r="BK177" s="112" t="str">
        <f>REPLACE(INDEX(GroupVertices[Group], MATCH("~"&amp;Edges[[#This Row],[Vertex 1]],GroupVertices[Vertex],0)),1,1,"")</f>
        <v>28</v>
      </c>
      <c r="BL177" s="112" t="str">
        <f>REPLACE(INDEX(GroupVertices[Group], MATCH("~"&amp;Edges[[#This Row],[Vertex 2]],GroupVertices[Vertex],0)),1,1,"")</f>
        <v>28</v>
      </c>
    </row>
    <row r="178" spans="1:64" x14ac:dyDescent="0.25">
      <c r="A178" s="61" t="s">
        <v>367</v>
      </c>
      <c r="B178" s="61" t="s">
        <v>367</v>
      </c>
      <c r="C178" s="62"/>
      <c r="D178" s="63"/>
      <c r="E178" s="64"/>
      <c r="F178" s="65"/>
      <c r="G178" s="62"/>
      <c r="H178" s="66"/>
      <c r="I178" s="67"/>
      <c r="J178" s="67"/>
      <c r="K178" s="31"/>
      <c r="L178" s="75">
        <v>178</v>
      </c>
      <c r="M178"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78" s="69"/>
      <c r="O178" t="s">
        <v>177</v>
      </c>
      <c r="P178" s="76">
        <v>45509.65960648148</v>
      </c>
      <c r="Q178" t="s">
        <v>930</v>
      </c>
      <c r="R178" t="b">
        <v>0</v>
      </c>
      <c r="S178">
        <v>0</v>
      </c>
      <c r="T178">
        <v>0</v>
      </c>
      <c r="U178">
        <v>0</v>
      </c>
      <c r="V178">
        <v>0</v>
      </c>
      <c r="W178">
        <v>83</v>
      </c>
      <c r="AB178" t="s">
        <v>1314</v>
      </c>
      <c r="AC178" t="s">
        <v>1359</v>
      </c>
      <c r="AD178" s="77" t="s">
        <v>1366</v>
      </c>
      <c r="AE178" t="s">
        <v>1385</v>
      </c>
      <c r="AF178" s="78" t="str">
        <f>HYPERLINK("https://twitter.com/estandartese16/status/1820487385563771209")</f>
        <v>https://twitter.com/estandartese16/status/1820487385563771209</v>
      </c>
      <c r="AG178" s="76">
        <v>45509.65960648148</v>
      </c>
      <c r="AH178" s="80">
        <v>45509</v>
      </c>
      <c r="AI178" s="77" t="s">
        <v>1610</v>
      </c>
      <c r="AJ178" t="b">
        <v>0</v>
      </c>
      <c r="AR178" t="s">
        <v>1827</v>
      </c>
      <c r="AW178" s="78" t="str">
        <f>HYPERLINK("https://pbs.twimg.com/media/GUOrn-DXoAAyTXv.jpg")</f>
        <v>https://pbs.twimg.com/media/GUOrn-DXoAAyTXv.jpg</v>
      </c>
      <c r="AX178" s="77" t="s">
        <v>2096</v>
      </c>
      <c r="AY178" s="77" t="s">
        <v>2096</v>
      </c>
      <c r="BA178" s="77" t="s">
        <v>2494</v>
      </c>
      <c r="BB178" s="77" t="s">
        <v>2494</v>
      </c>
      <c r="BC178" s="77" t="s">
        <v>2494</v>
      </c>
      <c r="BD178" s="77" t="s">
        <v>2096</v>
      </c>
      <c r="BE178" s="77" t="s">
        <v>2592</v>
      </c>
      <c r="BK178" s="112" t="str">
        <f>REPLACE(INDEX(GroupVertices[Group], MATCH("~"&amp;Edges[[#This Row],[Vertex 1]],GroupVertices[Vertex],0)),1,1,"")</f>
        <v>93</v>
      </c>
      <c r="BL178" s="112" t="str">
        <f>REPLACE(INDEX(GroupVertices[Group], MATCH("~"&amp;Edges[[#This Row],[Vertex 2]],GroupVertices[Vertex],0)),1,1,"")</f>
        <v>93</v>
      </c>
    </row>
    <row r="179" spans="1:64" x14ac:dyDescent="0.25">
      <c r="A179" s="61" t="s">
        <v>391</v>
      </c>
      <c r="B179" s="61" t="s">
        <v>391</v>
      </c>
      <c r="C179" s="62"/>
      <c r="D179" s="63"/>
      <c r="E179" s="64"/>
      <c r="F179" s="65"/>
      <c r="G179" s="62"/>
      <c r="H179" s="66"/>
      <c r="I179" s="67"/>
      <c r="J179" s="67"/>
      <c r="K179" s="31"/>
      <c r="L179" s="75">
        <v>179</v>
      </c>
      <c r="M179"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79" s="69"/>
      <c r="O179" t="s">
        <v>177</v>
      </c>
      <c r="P179" s="76">
        <v>45506.785717592589</v>
      </c>
      <c r="Q179" t="s">
        <v>956</v>
      </c>
      <c r="R179" t="b">
        <v>0</v>
      </c>
      <c r="S179">
        <v>0</v>
      </c>
      <c r="T179">
        <v>0</v>
      </c>
      <c r="U179">
        <v>0</v>
      </c>
      <c r="V179">
        <v>0</v>
      </c>
      <c r="W179">
        <v>79</v>
      </c>
      <c r="Y179" s="78" t="str">
        <f>HYPERLINK("https://www.itvpatagonia.com/noticias/regional/02-08-2024/autoridades-educativas-visitan-jardin-infantil-villa-austral-y-anuncian-inicio-del-proceso-de-admision-escolar-2025/")</f>
        <v>https://www.itvpatagonia.com/noticias/regional/02-08-2024/autoridades-educativas-visitan-jardin-infantil-villa-austral-y-anuncian-inicio-del-proceso-de-admision-escolar-2025/</v>
      </c>
      <c r="Z179" t="s">
        <v>1181</v>
      </c>
      <c r="AD179" s="77" t="s">
        <v>1367</v>
      </c>
      <c r="AE179" t="s">
        <v>1385</v>
      </c>
      <c r="AF179" s="78" t="str">
        <f>HYPERLINK("https://twitter.com/itvnoticias/status/1819445921895096775")</f>
        <v>https://twitter.com/itvnoticias/status/1819445921895096775</v>
      </c>
      <c r="AG179" s="76">
        <v>45506.785717592589</v>
      </c>
      <c r="AH179" s="80">
        <v>45506</v>
      </c>
      <c r="AI179" s="77" t="s">
        <v>1636</v>
      </c>
      <c r="AJ179" t="b">
        <v>0</v>
      </c>
      <c r="AW179" s="78" t="str">
        <f>HYPERLINK("https://pbs.twimg.com/profile_images/1353736383018504196/TsP8Y9B9_normal.jpg")</f>
        <v>https://pbs.twimg.com/profile_images/1353736383018504196/TsP8Y9B9_normal.jpg</v>
      </c>
      <c r="AX179" s="77" t="s">
        <v>2122</v>
      </c>
      <c r="AY179" s="77" t="s">
        <v>2122</v>
      </c>
      <c r="BA179" s="77" t="s">
        <v>2494</v>
      </c>
      <c r="BB179" s="77" t="s">
        <v>2494</v>
      </c>
      <c r="BC179" s="77" t="s">
        <v>2494</v>
      </c>
      <c r="BD179" s="77" t="s">
        <v>2122</v>
      </c>
      <c r="BE179">
        <v>267243319</v>
      </c>
      <c r="BK179" s="112" t="str">
        <f>REPLACE(INDEX(GroupVertices[Group], MATCH("~"&amp;Edges[[#This Row],[Vertex 1]],GroupVertices[Vertex],0)),1,1,"")</f>
        <v>157</v>
      </c>
      <c r="BL179" s="112" t="str">
        <f>REPLACE(INDEX(GroupVertices[Group], MATCH("~"&amp;Edges[[#This Row],[Vertex 2]],GroupVertices[Vertex],0)),1,1,"")</f>
        <v>157</v>
      </c>
    </row>
    <row r="180" spans="1:64" x14ac:dyDescent="0.25">
      <c r="A180" s="61" t="s">
        <v>448</v>
      </c>
      <c r="B180" s="61" t="s">
        <v>448</v>
      </c>
      <c r="C180" s="62"/>
      <c r="D180" s="63"/>
      <c r="E180" s="64"/>
      <c r="F180" s="65"/>
      <c r="G180" s="62"/>
      <c r="H180" s="66"/>
      <c r="I180" s="67"/>
      <c r="J180" s="67"/>
      <c r="K180" s="31"/>
      <c r="L180" s="75">
        <v>180</v>
      </c>
      <c r="M180"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80" s="69"/>
      <c r="O180" t="s">
        <v>177</v>
      </c>
      <c r="P180" s="76">
        <v>45508.562384259261</v>
      </c>
      <c r="Q180" t="s">
        <v>1023</v>
      </c>
      <c r="R180" t="b">
        <v>0</v>
      </c>
      <c r="S180">
        <v>0</v>
      </c>
      <c r="T180">
        <v>0</v>
      </c>
      <c r="U180">
        <v>0</v>
      </c>
      <c r="V180">
        <v>1</v>
      </c>
      <c r="W180">
        <v>79</v>
      </c>
      <c r="AD180" s="77" t="s">
        <v>1365</v>
      </c>
      <c r="AE180" t="s">
        <v>1385</v>
      </c>
      <c r="AF180" s="78" t="str">
        <f>HYPERLINK("https://twitter.com/pabubell/status/1820089767037677969")</f>
        <v>https://twitter.com/pabubell/status/1820089767037677969</v>
      </c>
      <c r="AG180" s="76">
        <v>45508.562384259261</v>
      </c>
      <c r="AH180" s="80">
        <v>45508</v>
      </c>
      <c r="AI180" s="77" t="s">
        <v>1701</v>
      </c>
      <c r="AW180" s="78" t="str">
        <f>HYPERLINK("https://pbs.twimg.com/profile_images/1911124316407652352/_sZds5IQ_normal.jpg")</f>
        <v>https://pbs.twimg.com/profile_images/1911124316407652352/_sZds5IQ_normal.jpg</v>
      </c>
      <c r="AX180" s="77" t="s">
        <v>2189</v>
      </c>
      <c r="AY180" s="77" t="s">
        <v>2189</v>
      </c>
      <c r="BA180" s="77" t="s">
        <v>2494</v>
      </c>
      <c r="BB180" s="77" t="s">
        <v>2494</v>
      </c>
      <c r="BC180" s="77" t="s">
        <v>2494</v>
      </c>
      <c r="BD180" s="77" t="s">
        <v>2189</v>
      </c>
      <c r="BE180">
        <v>569228717</v>
      </c>
      <c r="BK180" s="112" t="str">
        <f>REPLACE(INDEX(GroupVertices[Group], MATCH("~"&amp;Edges[[#This Row],[Vertex 1]],GroupVertices[Vertex],0)),1,1,"")</f>
        <v>154</v>
      </c>
      <c r="BL180" s="112" t="str">
        <f>REPLACE(INDEX(GroupVertices[Group], MATCH("~"&amp;Edges[[#This Row],[Vertex 2]],GroupVertices[Vertex],0)),1,1,"")</f>
        <v>154</v>
      </c>
    </row>
    <row r="181" spans="1:64" x14ac:dyDescent="0.25">
      <c r="A181" s="61" t="s">
        <v>470</v>
      </c>
      <c r="B181" s="61" t="s">
        <v>688</v>
      </c>
      <c r="C181" s="62"/>
      <c r="D181" s="63"/>
      <c r="E181" s="64"/>
      <c r="F181" s="65"/>
      <c r="G181" s="62"/>
      <c r="H181" s="66"/>
      <c r="I181" s="67"/>
      <c r="J181" s="67"/>
      <c r="K181" s="31"/>
      <c r="L181" s="75">
        <v>181</v>
      </c>
      <c r="M181"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81" s="69"/>
      <c r="O181" t="s">
        <v>701</v>
      </c>
      <c r="P181" s="76">
        <v>45509.851701388892</v>
      </c>
      <c r="Q181" t="s">
        <v>1047</v>
      </c>
      <c r="R181" t="b">
        <v>0</v>
      </c>
      <c r="S181">
        <v>0</v>
      </c>
      <c r="T181">
        <v>0</v>
      </c>
      <c r="U181">
        <v>1</v>
      </c>
      <c r="V181">
        <v>0</v>
      </c>
      <c r="W181">
        <v>79</v>
      </c>
      <c r="AA181" t="s">
        <v>688</v>
      </c>
      <c r="AD181" s="77" t="s">
        <v>1367</v>
      </c>
      <c r="AE181" t="s">
        <v>1385</v>
      </c>
      <c r="AF181" s="78" t="str">
        <f>HYPERLINK("https://twitter.com/andresalvar5/status/1820556996921442493")</f>
        <v>https://twitter.com/andresalvar5/status/1820556996921442493</v>
      </c>
      <c r="AG181" s="76">
        <v>45509.851701388892</v>
      </c>
      <c r="AH181" s="80">
        <v>45509</v>
      </c>
      <c r="AI181" s="77" t="s">
        <v>1725</v>
      </c>
      <c r="AW181" s="78" t="str">
        <f>HYPERLINK("https://pbs.twimg.com/profile_images/1462170198744743945/8uJueYkH_normal.jpg")</f>
        <v>https://pbs.twimg.com/profile_images/1462170198744743945/8uJueYkH_normal.jpg</v>
      </c>
      <c r="AX181" s="77" t="s">
        <v>2213</v>
      </c>
      <c r="AY181" s="77" t="s">
        <v>2360</v>
      </c>
      <c r="AZ181" s="77" t="s">
        <v>2484</v>
      </c>
      <c r="BA181" s="77" t="s">
        <v>2360</v>
      </c>
      <c r="BB181" s="77" t="s">
        <v>2494</v>
      </c>
      <c r="BC181" s="77" t="s">
        <v>2494</v>
      </c>
      <c r="BD181" s="77" t="s">
        <v>2360</v>
      </c>
      <c r="BE181" s="77" t="s">
        <v>2485</v>
      </c>
      <c r="BK181" s="112" t="str">
        <f>REPLACE(INDEX(GroupVertices[Group], MATCH("~"&amp;Edges[[#This Row],[Vertex 1]],GroupVertices[Vertex],0)),1,1,"")</f>
        <v>87</v>
      </c>
      <c r="BL181" s="112" t="str">
        <f>REPLACE(INDEX(GroupVertices[Group], MATCH("~"&amp;Edges[[#This Row],[Vertex 2]],GroupVertices[Vertex],0)),1,1,"")</f>
        <v>87</v>
      </c>
    </row>
    <row r="182" spans="1:64" x14ac:dyDescent="0.25">
      <c r="A182" s="61" t="s">
        <v>333</v>
      </c>
      <c r="B182" s="61" t="s">
        <v>333</v>
      </c>
      <c r="C182" s="62"/>
      <c r="D182" s="63"/>
      <c r="E182" s="64"/>
      <c r="F182" s="65"/>
      <c r="G182" s="62"/>
      <c r="H182" s="66"/>
      <c r="I182" s="67"/>
      <c r="J182" s="67"/>
      <c r="K182" s="31"/>
      <c r="L182" s="75">
        <v>182</v>
      </c>
      <c r="M182"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82" s="69"/>
      <c r="O182" t="s">
        <v>177</v>
      </c>
      <c r="P182" s="76">
        <v>45506.809421296297</v>
      </c>
      <c r="Q182" t="s">
        <v>889</v>
      </c>
      <c r="R182" t="b">
        <v>0</v>
      </c>
      <c r="S182">
        <v>0</v>
      </c>
      <c r="T182">
        <v>2</v>
      </c>
      <c r="U182">
        <v>0</v>
      </c>
      <c r="V182">
        <v>0</v>
      </c>
      <c r="W182">
        <v>78</v>
      </c>
      <c r="AB182" t="s">
        <v>1302</v>
      </c>
      <c r="AC182" t="s">
        <v>1359</v>
      </c>
      <c r="AD182" s="77" t="s">
        <v>1367</v>
      </c>
      <c r="AE182" t="s">
        <v>1385</v>
      </c>
      <c r="AF182" s="78" t="str">
        <f>HYPERLINK("https://twitter.com/tombolauy/status/1819454512631075303")</f>
        <v>https://twitter.com/tombolauy/status/1819454512631075303</v>
      </c>
      <c r="AG182" s="76">
        <v>45506.809421296297</v>
      </c>
      <c r="AH182" s="80">
        <v>45506</v>
      </c>
      <c r="AI182" s="77" t="s">
        <v>1569</v>
      </c>
      <c r="AJ182" t="b">
        <v>0</v>
      </c>
      <c r="AR182" t="s">
        <v>1815</v>
      </c>
      <c r="AW182" s="78" t="str">
        <f>HYPERLINK("https://pbs.twimg.com/media/GUAAJ5UXoAAYvF3.jpg")</f>
        <v>https://pbs.twimg.com/media/GUAAJ5UXoAAYvF3.jpg</v>
      </c>
      <c r="AX182" s="77" t="s">
        <v>2055</v>
      </c>
      <c r="AY182" s="77" t="s">
        <v>2055</v>
      </c>
      <c r="BA182" s="77" t="s">
        <v>2494</v>
      </c>
      <c r="BB182" s="77" t="s">
        <v>2494</v>
      </c>
      <c r="BC182" s="77" t="s">
        <v>2494</v>
      </c>
      <c r="BD182" s="77" t="s">
        <v>2055</v>
      </c>
      <c r="BE182" s="77" t="s">
        <v>2579</v>
      </c>
      <c r="BK182" s="112" t="str">
        <f>REPLACE(INDEX(GroupVertices[Group], MATCH("~"&amp;Edges[[#This Row],[Vertex 1]],GroupVertices[Vertex],0)),1,1,"")</f>
        <v>167</v>
      </c>
      <c r="BL182" s="112" t="str">
        <f>REPLACE(INDEX(GroupVertices[Group], MATCH("~"&amp;Edges[[#This Row],[Vertex 2]],GroupVertices[Vertex],0)),1,1,"")</f>
        <v>167</v>
      </c>
    </row>
    <row r="183" spans="1:64" x14ac:dyDescent="0.25">
      <c r="A183" s="61" t="s">
        <v>319</v>
      </c>
      <c r="B183" s="61" t="s">
        <v>319</v>
      </c>
      <c r="C183" s="62"/>
      <c r="D183" s="63"/>
      <c r="E183" s="64"/>
      <c r="F183" s="65"/>
      <c r="G183" s="62"/>
      <c r="H183" s="66"/>
      <c r="I183" s="67"/>
      <c r="J183" s="67"/>
      <c r="K183" s="31"/>
      <c r="L183" s="75">
        <v>183</v>
      </c>
      <c r="M183"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83" s="69"/>
      <c r="O183" t="s">
        <v>177</v>
      </c>
      <c r="P183" s="76">
        <v>45507.690289351849</v>
      </c>
      <c r="Q183" t="s">
        <v>870</v>
      </c>
      <c r="R183" t="b">
        <v>0</v>
      </c>
      <c r="S183">
        <v>0</v>
      </c>
      <c r="T183">
        <v>1</v>
      </c>
      <c r="U183">
        <v>0</v>
      </c>
      <c r="V183">
        <v>0</v>
      </c>
      <c r="W183">
        <v>77</v>
      </c>
      <c r="Y183" s="78" t="str">
        <f>HYPERLINK("https://www.eluniversal.com.mx/opinion/ricardo-homs/la-tombola-judicial/")</f>
        <v>https://www.eluniversal.com.mx/opinion/ricardo-homs/la-tombola-judicial/</v>
      </c>
      <c r="Z183" t="s">
        <v>1136</v>
      </c>
      <c r="AD183" s="77" t="s">
        <v>1366</v>
      </c>
      <c r="AE183" t="s">
        <v>1385</v>
      </c>
      <c r="AF183" s="78" t="str">
        <f>HYPERLINK("https://twitter.com/moquitamocol/status/1819773728345231656")</f>
        <v>https://twitter.com/moquitamocol/status/1819773728345231656</v>
      </c>
      <c r="AG183" s="76">
        <v>45507.690289351849</v>
      </c>
      <c r="AH183" s="80">
        <v>45507</v>
      </c>
      <c r="AI183" s="77" t="s">
        <v>1551</v>
      </c>
      <c r="AJ183" t="b">
        <v>0</v>
      </c>
      <c r="AW183" s="78" t="str">
        <f>HYPERLINK("https://pbs.twimg.com/profile_images/1913089521870090240/dk9OvKCx_normal.jpg")</f>
        <v>https://pbs.twimg.com/profile_images/1913089521870090240/dk9OvKCx_normal.jpg</v>
      </c>
      <c r="AX183" s="77" t="s">
        <v>2036</v>
      </c>
      <c r="AY183" s="77" t="s">
        <v>2036</v>
      </c>
      <c r="BA183" s="77" t="s">
        <v>2494</v>
      </c>
      <c r="BB183" s="77" t="s">
        <v>2494</v>
      </c>
      <c r="BC183" s="77" t="s">
        <v>2494</v>
      </c>
      <c r="BD183" s="77" t="s">
        <v>2036</v>
      </c>
      <c r="BE183">
        <v>430735507</v>
      </c>
      <c r="BK183" s="112" t="str">
        <f>REPLACE(INDEX(GroupVertices[Group], MATCH("~"&amp;Edges[[#This Row],[Vertex 1]],GroupVertices[Vertex],0)),1,1,"")</f>
        <v>153</v>
      </c>
      <c r="BL183" s="112" t="str">
        <f>REPLACE(INDEX(GroupVertices[Group], MATCH("~"&amp;Edges[[#This Row],[Vertex 2]],GroupVertices[Vertex],0)),1,1,"")</f>
        <v>153</v>
      </c>
    </row>
    <row r="184" spans="1:64" x14ac:dyDescent="0.25">
      <c r="A184" s="61" t="s">
        <v>248</v>
      </c>
      <c r="B184" s="61" t="s">
        <v>529</v>
      </c>
      <c r="C184" s="62"/>
      <c r="D184" s="63"/>
      <c r="E184" s="64"/>
      <c r="F184" s="65"/>
      <c r="G184" s="62"/>
      <c r="H184" s="66"/>
      <c r="I184" s="67"/>
      <c r="J184" s="67"/>
      <c r="K184" s="31"/>
      <c r="L184" s="75">
        <v>184</v>
      </c>
      <c r="M184"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84" s="69"/>
      <c r="O184" t="s">
        <v>701</v>
      </c>
      <c r="P184" s="76">
        <v>45510.422962962963</v>
      </c>
      <c r="Q184" t="s">
        <v>738</v>
      </c>
      <c r="R184" t="b">
        <v>0</v>
      </c>
      <c r="S184">
        <v>0</v>
      </c>
      <c r="T184">
        <v>1</v>
      </c>
      <c r="U184">
        <v>0</v>
      </c>
      <c r="V184">
        <v>0</v>
      </c>
      <c r="W184">
        <v>76</v>
      </c>
      <c r="AA184" t="s">
        <v>529</v>
      </c>
      <c r="AD184" s="77" t="s">
        <v>1365</v>
      </c>
      <c r="AE184" t="s">
        <v>1385</v>
      </c>
      <c r="AF184" s="78" t="str">
        <f>HYPERLINK("https://twitter.com/ggilsanz/status/1820764018073620635")</f>
        <v>https://twitter.com/ggilsanz/status/1820764018073620635</v>
      </c>
      <c r="AG184" s="76">
        <v>45510.422962962963</v>
      </c>
      <c r="AH184" s="80">
        <v>45510</v>
      </c>
      <c r="AI184" s="77" t="s">
        <v>1420</v>
      </c>
      <c r="AW184" s="78" t="str">
        <f>HYPERLINK("https://pbs.twimg.com/profile_images/2859753093/2c543100ac860383fc1bd0a2e94aa1b6_normal.png")</f>
        <v>https://pbs.twimg.com/profile_images/2859753093/2c543100ac860383fc1bd0a2e94aa1b6_normal.png</v>
      </c>
      <c r="AX184" s="77" t="s">
        <v>1904</v>
      </c>
      <c r="AY184" s="77" t="s">
        <v>2269</v>
      </c>
      <c r="AZ184" s="77" t="s">
        <v>2383</v>
      </c>
      <c r="BA184" s="77" t="s">
        <v>2269</v>
      </c>
      <c r="BB184" s="77" t="s">
        <v>2494</v>
      </c>
      <c r="BC184" s="77" t="s">
        <v>2494</v>
      </c>
      <c r="BD184" s="77" t="s">
        <v>2269</v>
      </c>
      <c r="BE184">
        <v>331897934</v>
      </c>
      <c r="BK184" s="112" t="str">
        <f>REPLACE(INDEX(GroupVertices[Group], MATCH("~"&amp;Edges[[#This Row],[Vertex 1]],GroupVertices[Vertex],0)),1,1,"")</f>
        <v>26</v>
      </c>
      <c r="BL184" s="112" t="str">
        <f>REPLACE(INDEX(GroupVertices[Group], MATCH("~"&amp;Edges[[#This Row],[Vertex 2]],GroupVertices[Vertex],0)),1,1,"")</f>
        <v>26</v>
      </c>
    </row>
    <row r="185" spans="1:64" x14ac:dyDescent="0.25">
      <c r="A185" s="61" t="s">
        <v>428</v>
      </c>
      <c r="B185" s="61" t="s">
        <v>428</v>
      </c>
      <c r="C185" s="62"/>
      <c r="D185" s="63"/>
      <c r="E185" s="64"/>
      <c r="F185" s="65"/>
      <c r="G185" s="62"/>
      <c r="H185" s="66"/>
      <c r="I185" s="67"/>
      <c r="J185" s="67"/>
      <c r="K185" s="31"/>
      <c r="L185" s="75">
        <v>185</v>
      </c>
      <c r="M185"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85" s="69"/>
      <c r="O185" t="s">
        <v>177</v>
      </c>
      <c r="P185" s="76">
        <v>45506.681226851855</v>
      </c>
      <c r="Q185" t="s">
        <v>1003</v>
      </c>
      <c r="R185" t="b">
        <v>0</v>
      </c>
      <c r="S185">
        <v>0</v>
      </c>
      <c r="T185">
        <v>0</v>
      </c>
      <c r="U185">
        <v>0</v>
      </c>
      <c r="V185">
        <v>0</v>
      </c>
      <c r="W185">
        <v>76</v>
      </c>
      <c r="X185" s="77" t="s">
        <v>312</v>
      </c>
      <c r="Y185" s="78" t="str">
        <f>HYPERLINK("https://eldesconcierto.cl/2024/08/02/video-tutorial-paso-a-paso-para-postular-a-su-estudiante-al-sistema-de-admision-escolar-sae")</f>
        <v>https://eldesconcierto.cl/2024/08/02/video-tutorial-paso-a-paso-para-postular-a-su-estudiante-al-sistema-de-admision-escolar-sae</v>
      </c>
      <c r="Z185" t="s">
        <v>1159</v>
      </c>
      <c r="AD185" s="77" t="s">
        <v>1366</v>
      </c>
      <c r="AE185" t="s">
        <v>1385</v>
      </c>
      <c r="AF185" s="78" t="str">
        <f>HYPERLINK("https://twitter.com/milenaeldan/status/1819408057178165495")</f>
        <v>https://twitter.com/milenaeldan/status/1819408057178165495</v>
      </c>
      <c r="AG185" s="76">
        <v>45506.681226851855</v>
      </c>
      <c r="AH185" s="80">
        <v>45506</v>
      </c>
      <c r="AI185" s="77" t="s">
        <v>1681</v>
      </c>
      <c r="AJ185" t="b">
        <v>0</v>
      </c>
      <c r="AW185" s="78" t="str">
        <f>HYPERLINK("https://pbs.twimg.com/profile_images/1924193052744167424/Fr2Wvomr_normal.jpg")</f>
        <v>https://pbs.twimg.com/profile_images/1924193052744167424/Fr2Wvomr_normal.jpg</v>
      </c>
      <c r="AX185" s="77" t="s">
        <v>2169</v>
      </c>
      <c r="AY185" s="77" t="s">
        <v>2169</v>
      </c>
      <c r="BA185" s="77" t="s">
        <v>2494</v>
      </c>
      <c r="BB185" s="77" t="s">
        <v>2494</v>
      </c>
      <c r="BC185" s="77" t="s">
        <v>2494</v>
      </c>
      <c r="BD185" s="77" t="s">
        <v>2169</v>
      </c>
      <c r="BE185" s="77" t="s">
        <v>2615</v>
      </c>
      <c r="BK185" s="112" t="str">
        <f>REPLACE(INDEX(GroupVertices[Group], MATCH("~"&amp;Edges[[#This Row],[Vertex 1]],GroupVertices[Vertex],0)),1,1,"")</f>
        <v>152</v>
      </c>
      <c r="BL185" s="112" t="str">
        <f>REPLACE(INDEX(GroupVertices[Group], MATCH("~"&amp;Edges[[#This Row],[Vertex 2]],GroupVertices[Vertex],0)),1,1,"")</f>
        <v>152</v>
      </c>
    </row>
    <row r="186" spans="1:64" x14ac:dyDescent="0.25">
      <c r="A186" s="61" t="s">
        <v>336</v>
      </c>
      <c r="B186" s="61" t="s">
        <v>611</v>
      </c>
      <c r="C186" s="62"/>
      <c r="D186" s="63"/>
      <c r="E186" s="64"/>
      <c r="F186" s="65"/>
      <c r="G186" s="62"/>
      <c r="H186" s="66"/>
      <c r="I186" s="67"/>
      <c r="J186" s="67"/>
      <c r="K186" s="31"/>
      <c r="L186" s="75">
        <v>186</v>
      </c>
      <c r="M186"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86" s="69"/>
      <c r="O186" t="s">
        <v>703</v>
      </c>
      <c r="P186" s="76">
        <v>45507.891875000001</v>
      </c>
      <c r="Q186" t="s">
        <v>895</v>
      </c>
      <c r="R186" t="b">
        <v>0</v>
      </c>
      <c r="S186">
        <v>0</v>
      </c>
      <c r="T186">
        <v>0</v>
      </c>
      <c r="U186">
        <v>1</v>
      </c>
      <c r="V186">
        <v>0</v>
      </c>
      <c r="W186">
        <v>75</v>
      </c>
      <c r="AA186" t="s">
        <v>1237</v>
      </c>
      <c r="AD186" s="77" t="s">
        <v>1366</v>
      </c>
      <c r="AE186" t="s">
        <v>1385</v>
      </c>
      <c r="AF186" s="78" t="str">
        <f>HYPERLINK("https://twitter.com/jcelis87/status/1819846783293444600")</f>
        <v>https://twitter.com/jcelis87/status/1819846783293444600</v>
      </c>
      <c r="AG186" s="76">
        <v>45507.891875000001</v>
      </c>
      <c r="AH186" s="80">
        <v>45507</v>
      </c>
      <c r="AI186" s="77" t="s">
        <v>1575</v>
      </c>
      <c r="AW186" s="78" t="str">
        <f>HYPERLINK("https://pbs.twimg.com/profile_images/1896976565835120640/wzngofay_normal.jpg")</f>
        <v>https://pbs.twimg.com/profile_images/1896976565835120640/wzngofay_normal.jpg</v>
      </c>
      <c r="AX186" s="77" t="s">
        <v>2061</v>
      </c>
      <c r="AY186" s="77" t="s">
        <v>2312</v>
      </c>
      <c r="AZ186" s="77" t="s">
        <v>2431</v>
      </c>
      <c r="BA186" s="77" t="s">
        <v>2512</v>
      </c>
      <c r="BB186" s="77" t="s">
        <v>2494</v>
      </c>
      <c r="BC186" s="77" t="s">
        <v>2494</v>
      </c>
      <c r="BD186" s="77" t="s">
        <v>2512</v>
      </c>
      <c r="BE186">
        <v>198492710</v>
      </c>
      <c r="BK186" s="112" t="str">
        <f>REPLACE(INDEX(GroupVertices[Group], MATCH("~"&amp;Edges[[#This Row],[Vertex 1]],GroupVertices[Vertex],0)),1,1,"")</f>
        <v>39</v>
      </c>
      <c r="BL186" s="112" t="str">
        <f>REPLACE(INDEX(GroupVertices[Group], MATCH("~"&amp;Edges[[#This Row],[Vertex 2]],GroupVertices[Vertex],0)),1,1,"")</f>
        <v>39</v>
      </c>
    </row>
    <row r="187" spans="1:64" x14ac:dyDescent="0.25">
      <c r="A187" s="61" t="s">
        <v>336</v>
      </c>
      <c r="B187" s="61" t="s">
        <v>612</v>
      </c>
      <c r="C187" s="62"/>
      <c r="D187" s="63"/>
      <c r="E187" s="64"/>
      <c r="F187" s="65"/>
      <c r="G187" s="62"/>
      <c r="H187" s="66"/>
      <c r="I187" s="67"/>
      <c r="J187" s="67"/>
      <c r="K187" s="31"/>
      <c r="L187" s="75">
        <v>187</v>
      </c>
      <c r="M187"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87" s="69"/>
      <c r="O187" t="s">
        <v>701</v>
      </c>
      <c r="P187" s="76">
        <v>45507.891875000001</v>
      </c>
      <c r="Q187" t="s">
        <v>895</v>
      </c>
      <c r="R187" t="b">
        <v>0</v>
      </c>
      <c r="S187">
        <v>0</v>
      </c>
      <c r="T187">
        <v>0</v>
      </c>
      <c r="U187">
        <v>1</v>
      </c>
      <c r="V187">
        <v>0</v>
      </c>
      <c r="W187">
        <v>75</v>
      </c>
      <c r="AA187" t="s">
        <v>1237</v>
      </c>
      <c r="AD187" s="77" t="s">
        <v>1366</v>
      </c>
      <c r="AE187" t="s">
        <v>1385</v>
      </c>
      <c r="AF187" s="78" t="str">
        <f>HYPERLINK("https://twitter.com/jcelis87/status/1819846783293444600")</f>
        <v>https://twitter.com/jcelis87/status/1819846783293444600</v>
      </c>
      <c r="AG187" s="76">
        <v>45507.891875000001</v>
      </c>
      <c r="AH187" s="80">
        <v>45507</v>
      </c>
      <c r="AI187" s="77" t="s">
        <v>1575</v>
      </c>
      <c r="AW187" s="78" t="str">
        <f>HYPERLINK("https://pbs.twimg.com/profile_images/1896976565835120640/wzngofay_normal.jpg")</f>
        <v>https://pbs.twimg.com/profile_images/1896976565835120640/wzngofay_normal.jpg</v>
      </c>
      <c r="AX187" s="77" t="s">
        <v>2061</v>
      </c>
      <c r="AY187" s="77" t="s">
        <v>2312</v>
      </c>
      <c r="AZ187" s="77" t="s">
        <v>2431</v>
      </c>
      <c r="BA187" s="77" t="s">
        <v>2512</v>
      </c>
      <c r="BB187" s="77" t="s">
        <v>2494</v>
      </c>
      <c r="BC187" s="77" t="s">
        <v>2494</v>
      </c>
      <c r="BD187" s="77" t="s">
        <v>2512</v>
      </c>
      <c r="BE187">
        <v>198492710</v>
      </c>
      <c r="BK187" s="112" t="str">
        <f>REPLACE(INDEX(GroupVertices[Group], MATCH("~"&amp;Edges[[#This Row],[Vertex 1]],GroupVertices[Vertex],0)),1,1,"")</f>
        <v>39</v>
      </c>
      <c r="BL187" s="112" t="str">
        <f>REPLACE(INDEX(GroupVertices[Group], MATCH("~"&amp;Edges[[#This Row],[Vertex 2]],GroupVertices[Vertex],0)),1,1,"")</f>
        <v>39</v>
      </c>
    </row>
    <row r="188" spans="1:64" x14ac:dyDescent="0.25">
      <c r="A188" s="61" t="s">
        <v>363</v>
      </c>
      <c r="B188" s="61" t="s">
        <v>363</v>
      </c>
      <c r="C188" s="62"/>
      <c r="D188" s="63"/>
      <c r="E188" s="64"/>
      <c r="F188" s="65"/>
      <c r="G188" s="62"/>
      <c r="H188" s="66"/>
      <c r="I188" s="67"/>
      <c r="J188" s="67"/>
      <c r="K188" s="31"/>
      <c r="L188" s="75">
        <v>188</v>
      </c>
      <c r="M188"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88" s="69"/>
      <c r="O188" t="s">
        <v>701</v>
      </c>
      <c r="P188" s="76">
        <v>45505.648900462962</v>
      </c>
      <c r="Q188" t="s">
        <v>924</v>
      </c>
      <c r="R188" t="b">
        <v>0</v>
      </c>
      <c r="S188">
        <v>0</v>
      </c>
      <c r="T188">
        <v>0</v>
      </c>
      <c r="U188">
        <v>0</v>
      </c>
      <c r="V188">
        <v>0</v>
      </c>
      <c r="W188">
        <v>75</v>
      </c>
      <c r="AD188" s="77" t="s">
        <v>1367</v>
      </c>
      <c r="AE188" t="s">
        <v>1385</v>
      </c>
      <c r="AF188" s="78" t="str">
        <f>HYPERLINK("https://twitter.com/rc_pinilla/status/1819033955812655145")</f>
        <v>https://twitter.com/rc_pinilla/status/1819033955812655145</v>
      </c>
      <c r="AG188" s="76">
        <v>45505.648900462962</v>
      </c>
      <c r="AH188" s="80">
        <v>45505</v>
      </c>
      <c r="AI188" s="77" t="s">
        <v>1604</v>
      </c>
      <c r="AW188" s="78" t="str">
        <f>HYPERLINK("https://pbs.twimg.com/profile_images/693006915799011328/pIRQIM-d_normal.jpg")</f>
        <v>https://pbs.twimg.com/profile_images/693006915799011328/pIRQIM-d_normal.jpg</v>
      </c>
      <c r="AX188" s="77" t="s">
        <v>2090</v>
      </c>
      <c r="AY188" s="77" t="s">
        <v>2322</v>
      </c>
      <c r="AZ188" s="77" t="s">
        <v>2441</v>
      </c>
      <c r="BA188" s="77" t="s">
        <v>2322</v>
      </c>
      <c r="BB188" s="77" t="s">
        <v>2494</v>
      </c>
      <c r="BC188" s="77" t="s">
        <v>2494</v>
      </c>
      <c r="BD188" s="77" t="s">
        <v>2322</v>
      </c>
      <c r="BE188">
        <v>422529654</v>
      </c>
      <c r="BK188" s="112" t="str">
        <f>REPLACE(INDEX(GroupVertices[Group], MATCH("~"&amp;Edges[[#This Row],[Vertex 1]],GroupVertices[Vertex],0)),1,1,"")</f>
        <v>151</v>
      </c>
      <c r="BL188" s="112" t="str">
        <f>REPLACE(INDEX(GroupVertices[Group], MATCH("~"&amp;Edges[[#This Row],[Vertex 2]],GroupVertices[Vertex],0)),1,1,"")</f>
        <v>151</v>
      </c>
    </row>
    <row r="189" spans="1:64" x14ac:dyDescent="0.25">
      <c r="A189" s="61" t="s">
        <v>314</v>
      </c>
      <c r="B189" s="61" t="s">
        <v>590</v>
      </c>
      <c r="C189" s="62"/>
      <c r="D189" s="63"/>
      <c r="E189" s="64"/>
      <c r="F189" s="65"/>
      <c r="G189" s="62"/>
      <c r="H189" s="66"/>
      <c r="I189" s="67"/>
      <c r="J189" s="67"/>
      <c r="K189" s="31"/>
      <c r="L189" s="75">
        <v>189</v>
      </c>
      <c r="M189"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89" s="69"/>
      <c r="O189" t="s">
        <v>701</v>
      </c>
      <c r="P189" s="76">
        <v>45510.52721064815</v>
      </c>
      <c r="Q189" t="s">
        <v>864</v>
      </c>
      <c r="R189" t="b">
        <v>0</v>
      </c>
      <c r="S189">
        <v>0</v>
      </c>
      <c r="T189">
        <v>0</v>
      </c>
      <c r="U189">
        <v>0</v>
      </c>
      <c r="V189">
        <v>0</v>
      </c>
      <c r="W189">
        <v>74</v>
      </c>
      <c r="AA189" t="s">
        <v>590</v>
      </c>
      <c r="AD189" s="77" t="s">
        <v>1365</v>
      </c>
      <c r="AE189" t="s">
        <v>1385</v>
      </c>
      <c r="AF189" s="78" t="str">
        <f>HYPERLINK("https://twitter.com/elsasweet1324/status/1820801795985195230")</f>
        <v>https://twitter.com/elsasweet1324/status/1820801795985195230</v>
      </c>
      <c r="AG189" s="76">
        <v>45510.52721064815</v>
      </c>
      <c r="AH189" s="80">
        <v>45510</v>
      </c>
      <c r="AI189" s="77" t="s">
        <v>1545</v>
      </c>
      <c r="AW189" s="78" t="str">
        <f>HYPERLINK("https://pbs.twimg.com/profile_images/1755359440650244097/dv5tsgCQ_normal.jpg")</f>
        <v>https://pbs.twimg.com/profile_images/1755359440650244097/dv5tsgCQ_normal.jpg</v>
      </c>
      <c r="AX189" s="77" t="s">
        <v>2030</v>
      </c>
      <c r="AY189" s="77" t="s">
        <v>2304</v>
      </c>
      <c r="AZ189" s="77" t="s">
        <v>2424</v>
      </c>
      <c r="BA189" s="77" t="s">
        <v>2304</v>
      </c>
      <c r="BB189" s="77" t="s">
        <v>2494</v>
      </c>
      <c r="BC189" s="77" t="s">
        <v>2494</v>
      </c>
      <c r="BD189" s="77" t="s">
        <v>2304</v>
      </c>
      <c r="BE189" s="77" t="s">
        <v>2573</v>
      </c>
      <c r="BK189" s="112" t="str">
        <f>REPLACE(INDEX(GroupVertices[Group], MATCH("~"&amp;Edges[[#This Row],[Vertex 1]],GroupVertices[Vertex],0)),1,1,"")</f>
        <v>86</v>
      </c>
      <c r="BL189" s="112" t="str">
        <f>REPLACE(INDEX(GroupVertices[Group], MATCH("~"&amp;Edges[[#This Row],[Vertex 2]],GroupVertices[Vertex],0)),1,1,"")</f>
        <v>86</v>
      </c>
    </row>
    <row r="190" spans="1:64" x14ac:dyDescent="0.25">
      <c r="A190" s="61" t="s">
        <v>460</v>
      </c>
      <c r="B190" s="61" t="s">
        <v>681</v>
      </c>
      <c r="C190" s="62"/>
      <c r="D190" s="63"/>
      <c r="E190" s="64"/>
      <c r="F190" s="65"/>
      <c r="G190" s="62"/>
      <c r="H190" s="66"/>
      <c r="I190" s="67"/>
      <c r="J190" s="67"/>
      <c r="K190" s="31"/>
      <c r="L190" s="75">
        <v>190</v>
      </c>
      <c r="M190"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90" s="69"/>
      <c r="O190" t="s">
        <v>703</v>
      </c>
      <c r="P190" s="76">
        <v>45506.728958333333</v>
      </c>
      <c r="Q190" t="s">
        <v>1037</v>
      </c>
      <c r="R190" t="b">
        <v>0</v>
      </c>
      <c r="S190">
        <v>0</v>
      </c>
      <c r="T190">
        <v>0</v>
      </c>
      <c r="U190">
        <v>0</v>
      </c>
      <c r="V190">
        <v>0</v>
      </c>
      <c r="W190">
        <v>73</v>
      </c>
      <c r="AA190" t="s">
        <v>1260</v>
      </c>
      <c r="AD190" s="77" t="s">
        <v>1367</v>
      </c>
      <c r="AE190" t="s">
        <v>1385</v>
      </c>
      <c r="AF190" s="78" t="str">
        <f>HYPERLINK("https://twitter.com/magallaugarte/status/1819425352717889812")</f>
        <v>https://twitter.com/magallaugarte/status/1819425352717889812</v>
      </c>
      <c r="AG190" s="76">
        <v>45506.728958333333</v>
      </c>
      <c r="AH190" s="80">
        <v>45506</v>
      </c>
      <c r="AI190" s="77" t="s">
        <v>1715</v>
      </c>
      <c r="AW190" s="78" t="str">
        <f>HYPERLINK("https://pbs.twimg.com/profile_images/566055001714606081/qsTff60g_normal.jpeg")</f>
        <v>https://pbs.twimg.com/profile_images/566055001714606081/qsTff60g_normal.jpeg</v>
      </c>
      <c r="AX190" s="77" t="s">
        <v>2203</v>
      </c>
      <c r="AY190" s="77" t="s">
        <v>2202</v>
      </c>
      <c r="AZ190" s="77" t="s">
        <v>2477</v>
      </c>
      <c r="BA190" s="77" t="s">
        <v>2202</v>
      </c>
      <c r="BB190" s="77" t="s">
        <v>2494</v>
      </c>
      <c r="BC190" s="77" t="s">
        <v>2494</v>
      </c>
      <c r="BD190" s="77" t="s">
        <v>2202</v>
      </c>
      <c r="BE190">
        <v>3033737213</v>
      </c>
      <c r="BK190" s="112" t="str">
        <f>REPLACE(INDEX(GroupVertices[Group], MATCH("~"&amp;Edges[[#This Row],[Vertex 1]],GroupVertices[Vertex],0)),1,1,"")</f>
        <v>1</v>
      </c>
      <c r="BL190" s="112" t="str">
        <f>REPLACE(INDEX(GroupVertices[Group], MATCH("~"&amp;Edges[[#This Row],[Vertex 2]],GroupVertices[Vertex],0)),1,1,"")</f>
        <v>1</v>
      </c>
    </row>
    <row r="191" spans="1:64" x14ac:dyDescent="0.25">
      <c r="A191" s="61" t="s">
        <v>460</v>
      </c>
      <c r="B191" s="61" t="s">
        <v>461</v>
      </c>
      <c r="C191" s="62"/>
      <c r="D191" s="63"/>
      <c r="E191" s="64"/>
      <c r="F191" s="65"/>
      <c r="G191" s="62"/>
      <c r="H191" s="66"/>
      <c r="I191" s="67"/>
      <c r="J191" s="67"/>
      <c r="K191" s="31"/>
      <c r="L191" s="75">
        <v>191</v>
      </c>
      <c r="M191"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91" s="69"/>
      <c r="O191" t="s">
        <v>703</v>
      </c>
      <c r="P191" s="76">
        <v>45506.728958333333</v>
      </c>
      <c r="Q191" t="s">
        <v>1037</v>
      </c>
      <c r="R191" t="b">
        <v>0</v>
      </c>
      <c r="S191">
        <v>0</v>
      </c>
      <c r="T191">
        <v>0</v>
      </c>
      <c r="U191">
        <v>0</v>
      </c>
      <c r="V191">
        <v>0</v>
      </c>
      <c r="W191">
        <v>73</v>
      </c>
      <c r="AA191" t="s">
        <v>1260</v>
      </c>
      <c r="AD191" s="77" t="s">
        <v>1367</v>
      </c>
      <c r="AE191" t="s">
        <v>1385</v>
      </c>
      <c r="AF191" s="78" t="str">
        <f>HYPERLINK("https://twitter.com/magallaugarte/status/1819425352717889812")</f>
        <v>https://twitter.com/magallaugarte/status/1819425352717889812</v>
      </c>
      <c r="AG191" s="76">
        <v>45506.728958333333</v>
      </c>
      <c r="AH191" s="80">
        <v>45506</v>
      </c>
      <c r="AI191" s="77" t="s">
        <v>1715</v>
      </c>
      <c r="AW191" s="78" t="str">
        <f>HYPERLINK("https://pbs.twimg.com/profile_images/566055001714606081/qsTff60g_normal.jpeg")</f>
        <v>https://pbs.twimg.com/profile_images/566055001714606081/qsTff60g_normal.jpeg</v>
      </c>
      <c r="AX191" s="77" t="s">
        <v>2203</v>
      </c>
      <c r="AY191" s="77" t="s">
        <v>2202</v>
      </c>
      <c r="AZ191" s="77" t="s">
        <v>2477</v>
      </c>
      <c r="BA191" s="77" t="s">
        <v>2202</v>
      </c>
      <c r="BB191" s="77" t="s">
        <v>2494</v>
      </c>
      <c r="BC191" s="77" t="s">
        <v>2494</v>
      </c>
      <c r="BD191" s="77" t="s">
        <v>2202</v>
      </c>
      <c r="BE191">
        <v>3033737213</v>
      </c>
      <c r="BK191" s="112" t="str">
        <f>REPLACE(INDEX(GroupVertices[Group], MATCH("~"&amp;Edges[[#This Row],[Vertex 1]],GroupVertices[Vertex],0)),1,1,"")</f>
        <v>1</v>
      </c>
      <c r="BL191" s="112" t="str">
        <f>REPLACE(INDEX(GroupVertices[Group], MATCH("~"&amp;Edges[[#This Row],[Vertex 2]],GroupVertices[Vertex],0)),1,1,"")</f>
        <v>1</v>
      </c>
    </row>
    <row r="192" spans="1:64" x14ac:dyDescent="0.25">
      <c r="A192" s="61" t="s">
        <v>460</v>
      </c>
      <c r="B192" s="61" t="s">
        <v>459</v>
      </c>
      <c r="C192" s="62"/>
      <c r="D192" s="63"/>
      <c r="E192" s="64"/>
      <c r="F192" s="65"/>
      <c r="G192" s="62"/>
      <c r="H192" s="66"/>
      <c r="I192" s="67"/>
      <c r="J192" s="67"/>
      <c r="K192" s="31"/>
      <c r="L192" s="75">
        <v>192</v>
      </c>
      <c r="M192"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92" s="69"/>
      <c r="O192" t="s">
        <v>701</v>
      </c>
      <c r="P192" s="76">
        <v>45506.728958333333</v>
      </c>
      <c r="Q192" t="s">
        <v>1037</v>
      </c>
      <c r="R192" t="b">
        <v>0</v>
      </c>
      <c r="S192">
        <v>0</v>
      </c>
      <c r="T192">
        <v>0</v>
      </c>
      <c r="U192">
        <v>0</v>
      </c>
      <c r="V192">
        <v>0</v>
      </c>
      <c r="W192">
        <v>73</v>
      </c>
      <c r="AA192" t="s">
        <v>1260</v>
      </c>
      <c r="AD192" s="77" t="s">
        <v>1367</v>
      </c>
      <c r="AE192" t="s">
        <v>1385</v>
      </c>
      <c r="AF192" s="78" t="str">
        <f>HYPERLINK("https://twitter.com/magallaugarte/status/1819425352717889812")</f>
        <v>https://twitter.com/magallaugarte/status/1819425352717889812</v>
      </c>
      <c r="AG192" s="76">
        <v>45506.728958333333</v>
      </c>
      <c r="AH192" s="80">
        <v>45506</v>
      </c>
      <c r="AI192" s="77" t="s">
        <v>1715</v>
      </c>
      <c r="AW192" s="78" t="str">
        <f>HYPERLINK("https://pbs.twimg.com/profile_images/566055001714606081/qsTff60g_normal.jpeg")</f>
        <v>https://pbs.twimg.com/profile_images/566055001714606081/qsTff60g_normal.jpeg</v>
      </c>
      <c r="AX192" s="77" t="s">
        <v>2203</v>
      </c>
      <c r="AY192" s="77" t="s">
        <v>2202</v>
      </c>
      <c r="AZ192" s="77" t="s">
        <v>2477</v>
      </c>
      <c r="BA192" s="77" t="s">
        <v>2202</v>
      </c>
      <c r="BB192" s="77" t="s">
        <v>2494</v>
      </c>
      <c r="BC192" s="77" t="s">
        <v>2494</v>
      </c>
      <c r="BD192" s="77" t="s">
        <v>2202</v>
      </c>
      <c r="BE192">
        <v>3033737213</v>
      </c>
      <c r="BK192" s="112" t="str">
        <f>REPLACE(INDEX(GroupVertices[Group], MATCH("~"&amp;Edges[[#This Row],[Vertex 1]],GroupVertices[Vertex],0)),1,1,"")</f>
        <v>1</v>
      </c>
      <c r="BL192" s="112" t="str">
        <f>REPLACE(INDEX(GroupVertices[Group], MATCH("~"&amp;Edges[[#This Row],[Vertex 2]],GroupVertices[Vertex],0)),1,1,"")</f>
        <v>1</v>
      </c>
    </row>
    <row r="193" spans="1:64" x14ac:dyDescent="0.25">
      <c r="A193" s="61" t="s">
        <v>460</v>
      </c>
      <c r="B193" s="61" t="s">
        <v>497</v>
      </c>
      <c r="C193" s="62"/>
      <c r="D193" s="63"/>
      <c r="E193" s="64"/>
      <c r="F193" s="65"/>
      <c r="G193" s="62"/>
      <c r="H193" s="66"/>
      <c r="I193" s="67"/>
      <c r="J193" s="67"/>
      <c r="K193" s="31"/>
      <c r="L193" s="75">
        <v>193</v>
      </c>
      <c r="M193"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93" s="69"/>
      <c r="O193" t="s">
        <v>703</v>
      </c>
      <c r="P193" s="76">
        <v>45506.728958333333</v>
      </c>
      <c r="Q193" t="s">
        <v>1037</v>
      </c>
      <c r="R193" t="b">
        <v>0</v>
      </c>
      <c r="S193">
        <v>0</v>
      </c>
      <c r="T193">
        <v>0</v>
      </c>
      <c r="U193">
        <v>0</v>
      </c>
      <c r="V193">
        <v>0</v>
      </c>
      <c r="W193">
        <v>73</v>
      </c>
      <c r="AA193" t="s">
        <v>1260</v>
      </c>
      <c r="AD193" s="77" t="s">
        <v>1367</v>
      </c>
      <c r="AE193" t="s">
        <v>1385</v>
      </c>
      <c r="AF193" s="78" t="str">
        <f>HYPERLINK("https://twitter.com/magallaugarte/status/1819425352717889812")</f>
        <v>https://twitter.com/magallaugarte/status/1819425352717889812</v>
      </c>
      <c r="AG193" s="76">
        <v>45506.728958333333</v>
      </c>
      <c r="AH193" s="80">
        <v>45506</v>
      </c>
      <c r="AI193" s="77" t="s">
        <v>1715</v>
      </c>
      <c r="AW193" s="78" t="str">
        <f>HYPERLINK("https://pbs.twimg.com/profile_images/566055001714606081/qsTff60g_normal.jpeg")</f>
        <v>https://pbs.twimg.com/profile_images/566055001714606081/qsTff60g_normal.jpeg</v>
      </c>
      <c r="AX193" s="77" t="s">
        <v>2203</v>
      </c>
      <c r="AY193" s="77" t="s">
        <v>2202</v>
      </c>
      <c r="AZ193" s="77" t="s">
        <v>2477</v>
      </c>
      <c r="BA193" s="77" t="s">
        <v>2202</v>
      </c>
      <c r="BB193" s="77" t="s">
        <v>2494</v>
      </c>
      <c r="BC193" s="77" t="s">
        <v>2494</v>
      </c>
      <c r="BD193" s="77" t="s">
        <v>2202</v>
      </c>
      <c r="BE193">
        <v>3033737213</v>
      </c>
      <c r="BK193" s="112" t="str">
        <f>REPLACE(INDEX(GroupVertices[Group], MATCH("~"&amp;Edges[[#This Row],[Vertex 1]],GroupVertices[Vertex],0)),1,1,"")</f>
        <v>1</v>
      </c>
      <c r="BL193" s="112" t="str">
        <f>REPLACE(INDEX(GroupVertices[Group], MATCH("~"&amp;Edges[[#This Row],[Vertex 2]],GroupVertices[Vertex],0)),1,1,"")</f>
        <v>1</v>
      </c>
    </row>
    <row r="194" spans="1:64" x14ac:dyDescent="0.25">
      <c r="A194" s="61" t="s">
        <v>419</v>
      </c>
      <c r="B194" s="61" t="s">
        <v>419</v>
      </c>
      <c r="C194" s="62"/>
      <c r="D194" s="63"/>
      <c r="E194" s="64"/>
      <c r="F194" s="65"/>
      <c r="G194" s="62"/>
      <c r="H194" s="66"/>
      <c r="I194" s="67"/>
      <c r="J194" s="67"/>
      <c r="K194" s="31"/>
      <c r="L194" s="75">
        <v>194</v>
      </c>
      <c r="M194"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94" s="69"/>
      <c r="O194" t="s">
        <v>177</v>
      </c>
      <c r="P194" s="76">
        <v>45505.682199074072</v>
      </c>
      <c r="Q194" t="s">
        <v>989</v>
      </c>
      <c r="R194" t="b">
        <v>0</v>
      </c>
      <c r="S194">
        <v>0</v>
      </c>
      <c r="T194">
        <v>2</v>
      </c>
      <c r="U194">
        <v>0</v>
      </c>
      <c r="V194">
        <v>0</v>
      </c>
      <c r="W194">
        <v>70</v>
      </c>
      <c r="AB194" t="s">
        <v>1332</v>
      </c>
      <c r="AC194" t="s">
        <v>1359</v>
      </c>
      <c r="AD194" s="77" t="s">
        <v>1365</v>
      </c>
      <c r="AE194" t="s">
        <v>1385</v>
      </c>
      <c r="AF194" s="78" t="str">
        <f>HYPERLINK("https://twitter.com/javitxufv/status/1819046021546078422")</f>
        <v>https://twitter.com/javitxufv/status/1819046021546078422</v>
      </c>
      <c r="AG194" s="76">
        <v>45505.682199074072</v>
      </c>
      <c r="AH194" s="80">
        <v>45505</v>
      </c>
      <c r="AI194" s="77" t="s">
        <v>1669</v>
      </c>
      <c r="AJ194" t="b">
        <v>0</v>
      </c>
      <c r="AR194" t="s">
        <v>1845</v>
      </c>
      <c r="AW194" s="78" t="str">
        <f>HYPERLINK("https://pbs.twimg.com/media/GT6Mt3fXIAMouQc.jpg")</f>
        <v>https://pbs.twimg.com/media/GT6Mt3fXIAMouQc.jpg</v>
      </c>
      <c r="AX194" s="77" t="s">
        <v>2155</v>
      </c>
      <c r="AY194" s="77" t="s">
        <v>2155</v>
      </c>
      <c r="BA194" s="77" t="s">
        <v>2494</v>
      </c>
      <c r="BB194" s="77" t="s">
        <v>2494</v>
      </c>
      <c r="BC194" s="77" t="s">
        <v>2494</v>
      </c>
      <c r="BD194" s="77" t="s">
        <v>2155</v>
      </c>
      <c r="BE194" s="77" t="s">
        <v>2611</v>
      </c>
      <c r="BK194" s="112" t="str">
        <f>REPLACE(INDEX(GroupVertices[Group], MATCH("~"&amp;Edges[[#This Row],[Vertex 1]],GroupVertices[Vertex],0)),1,1,"")</f>
        <v>150</v>
      </c>
      <c r="BL194" s="112" t="str">
        <f>REPLACE(INDEX(GroupVertices[Group], MATCH("~"&amp;Edges[[#This Row],[Vertex 2]],GroupVertices[Vertex],0)),1,1,"")</f>
        <v>150</v>
      </c>
    </row>
    <row r="195" spans="1:64" x14ac:dyDescent="0.25">
      <c r="A195" s="61" t="s">
        <v>242</v>
      </c>
      <c r="B195" s="61" t="s">
        <v>242</v>
      </c>
      <c r="C195" s="62"/>
      <c r="D195" s="63"/>
      <c r="E195" s="64"/>
      <c r="F195" s="65"/>
      <c r="G195" s="62"/>
      <c r="H195" s="66"/>
      <c r="I195" s="67"/>
      <c r="J195" s="67"/>
      <c r="K195" s="31"/>
      <c r="L195" s="75">
        <v>195</v>
      </c>
      <c r="M195"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95" s="69"/>
      <c r="O195" t="s">
        <v>177</v>
      </c>
      <c r="P195" s="76">
        <v>45508.145219907405</v>
      </c>
      <c r="Q195" t="s">
        <v>725</v>
      </c>
      <c r="R195" t="b">
        <v>0</v>
      </c>
      <c r="S195">
        <v>0</v>
      </c>
      <c r="T195">
        <v>0</v>
      </c>
      <c r="U195">
        <v>0</v>
      </c>
      <c r="V195">
        <v>0</v>
      </c>
      <c r="W195">
        <v>69</v>
      </c>
      <c r="Y195" s="78" t="str">
        <f>HYPERLINK("https://g5noticias.cl/2024/08/03/sistema-de-admision-escolar-sae-los-mitos-y-verdades-de-la-plataforma-de-postulacion-a-colegios/")</f>
        <v>https://g5noticias.cl/2024/08/03/sistema-de-admision-escolar-sae-los-mitos-y-verdades-de-la-plataforma-de-postulacion-a-colegios/</v>
      </c>
      <c r="Z195" t="s">
        <v>1138</v>
      </c>
      <c r="AB195" t="s">
        <v>1267</v>
      </c>
      <c r="AC195" t="s">
        <v>1359</v>
      </c>
      <c r="AD195" s="77" t="s">
        <v>1368</v>
      </c>
      <c r="AE195" t="s">
        <v>1385</v>
      </c>
      <c r="AF195" s="78" t="str">
        <f>HYPERLINK("https://twitter.com/g5_noticias/status/1819938591700644028")</f>
        <v>https://twitter.com/g5_noticias/status/1819938591700644028</v>
      </c>
      <c r="AG195" s="76">
        <v>45508.145219907405</v>
      </c>
      <c r="AH195" s="80">
        <v>45508</v>
      </c>
      <c r="AI195" s="77" t="s">
        <v>1407</v>
      </c>
      <c r="AJ195" t="b">
        <v>0</v>
      </c>
      <c r="AR195" t="s">
        <v>1780</v>
      </c>
      <c r="AW195" s="78" t="str">
        <f>HYPERLINK("https://pbs.twimg.com/media/GUG4gHdXQAAIWJ6.jpg")</f>
        <v>https://pbs.twimg.com/media/GUG4gHdXQAAIWJ6.jpg</v>
      </c>
      <c r="AX195" s="77" t="s">
        <v>1891</v>
      </c>
      <c r="AY195" s="77" t="s">
        <v>1891</v>
      </c>
      <c r="BA195" s="77" t="s">
        <v>2494</v>
      </c>
      <c r="BB195" s="77" t="s">
        <v>2494</v>
      </c>
      <c r="BC195" s="77" t="s">
        <v>2494</v>
      </c>
      <c r="BD195" s="77" t="s">
        <v>1891</v>
      </c>
      <c r="BE195" s="77" t="s">
        <v>2540</v>
      </c>
      <c r="BK195" s="112" t="str">
        <f>REPLACE(INDEX(GroupVertices[Group], MATCH("~"&amp;Edges[[#This Row],[Vertex 1]],GroupVertices[Vertex],0)),1,1,"")</f>
        <v>149</v>
      </c>
      <c r="BL195" s="112" t="str">
        <f>REPLACE(INDEX(GroupVertices[Group], MATCH("~"&amp;Edges[[#This Row],[Vertex 2]],GroupVertices[Vertex],0)),1,1,"")</f>
        <v>149</v>
      </c>
    </row>
    <row r="196" spans="1:64" x14ac:dyDescent="0.25">
      <c r="A196" s="61" t="s">
        <v>437</v>
      </c>
      <c r="B196" s="61" t="s">
        <v>437</v>
      </c>
      <c r="C196" s="62"/>
      <c r="D196" s="63"/>
      <c r="E196" s="64"/>
      <c r="F196" s="65"/>
      <c r="G196" s="62"/>
      <c r="H196" s="66"/>
      <c r="I196" s="67"/>
      <c r="J196" s="67"/>
      <c r="K196" s="31"/>
      <c r="L196" s="75">
        <v>196</v>
      </c>
      <c r="M196"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96" s="69"/>
      <c r="O196" t="s">
        <v>177</v>
      </c>
      <c r="P196" s="76">
        <v>45510.37636574074</v>
      </c>
      <c r="Q196" t="s">
        <v>1012</v>
      </c>
      <c r="R196" t="b">
        <v>0</v>
      </c>
      <c r="S196">
        <v>0</v>
      </c>
      <c r="T196">
        <v>0</v>
      </c>
      <c r="U196">
        <v>0</v>
      </c>
      <c r="V196">
        <v>0</v>
      </c>
      <c r="W196">
        <v>69</v>
      </c>
      <c r="AB196" t="s">
        <v>1341</v>
      </c>
      <c r="AC196" t="s">
        <v>1359</v>
      </c>
      <c r="AD196" s="77" t="s">
        <v>1367</v>
      </c>
      <c r="AE196" t="s">
        <v>1385</v>
      </c>
      <c r="AF196" s="78" t="str">
        <f>HYPERLINK("https://twitter.com/biopasan/status/1820747132749463923")</f>
        <v>https://twitter.com/biopasan/status/1820747132749463923</v>
      </c>
      <c r="AG196" s="76">
        <v>45510.37636574074</v>
      </c>
      <c r="AH196" s="80">
        <v>45510</v>
      </c>
      <c r="AI196" s="77" t="s">
        <v>1690</v>
      </c>
      <c r="AJ196" t="b">
        <v>0</v>
      </c>
      <c r="AR196" t="s">
        <v>1854</v>
      </c>
      <c r="AW196" s="78" t="str">
        <f>HYPERLINK("https://pbs.twimg.com/media/GUSXz4gXcAA2oZN.jpg")</f>
        <v>https://pbs.twimg.com/media/GUSXz4gXcAA2oZN.jpg</v>
      </c>
      <c r="AX196" s="77" t="s">
        <v>2178</v>
      </c>
      <c r="AY196" s="77" t="s">
        <v>2178</v>
      </c>
      <c r="BA196" s="77" t="s">
        <v>2494</v>
      </c>
      <c r="BB196" s="77" t="s">
        <v>2494</v>
      </c>
      <c r="BC196" s="77" t="s">
        <v>2494</v>
      </c>
      <c r="BD196" s="77" t="s">
        <v>2178</v>
      </c>
      <c r="BE196" s="77" t="s">
        <v>2617</v>
      </c>
      <c r="BK196" s="112" t="str">
        <f>REPLACE(INDEX(GroupVertices[Group], MATCH("~"&amp;Edges[[#This Row],[Vertex 1]],GroupVertices[Vertex],0)),1,1,"")</f>
        <v>148</v>
      </c>
      <c r="BL196" s="112" t="str">
        <f>REPLACE(INDEX(GroupVertices[Group], MATCH("~"&amp;Edges[[#This Row],[Vertex 2]],GroupVertices[Vertex],0)),1,1,"")</f>
        <v>148</v>
      </c>
    </row>
    <row r="197" spans="1:64" x14ac:dyDescent="0.25">
      <c r="A197" s="61" t="s">
        <v>472</v>
      </c>
      <c r="B197" s="61" t="s">
        <v>472</v>
      </c>
      <c r="C197" s="62"/>
      <c r="D197" s="63"/>
      <c r="E197" s="64"/>
      <c r="F197" s="65"/>
      <c r="G197" s="62"/>
      <c r="H197" s="66"/>
      <c r="I197" s="67"/>
      <c r="J197" s="67"/>
      <c r="K197" s="31"/>
      <c r="L197" s="75">
        <v>197</v>
      </c>
      <c r="M197"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97" s="69"/>
      <c r="O197" t="s">
        <v>177</v>
      </c>
      <c r="P197" s="76">
        <v>45509.834745370368</v>
      </c>
      <c r="Q197" t="s">
        <v>1050</v>
      </c>
      <c r="R197" t="b">
        <v>0</v>
      </c>
      <c r="S197">
        <v>0</v>
      </c>
      <c r="T197">
        <v>0</v>
      </c>
      <c r="U197">
        <v>0</v>
      </c>
      <c r="V197">
        <v>0</v>
      </c>
      <c r="W197">
        <v>69</v>
      </c>
      <c r="Y197" s="78" t="str">
        <f>HYPERLINK("https://ow.ly/BSQ250SRueq")</f>
        <v>https://ow.ly/BSQ250SRueq</v>
      </c>
      <c r="Z197" t="s">
        <v>1201</v>
      </c>
      <c r="AD197" s="77" t="s">
        <v>1377</v>
      </c>
      <c r="AE197" t="s">
        <v>1385</v>
      </c>
      <c r="AF197" s="78" t="str">
        <f>HYPERLINK("https://twitter.com/diariousach/status/1820550855105356202")</f>
        <v>https://twitter.com/diariousach/status/1820550855105356202</v>
      </c>
      <c r="AG197" s="76">
        <v>45509.834745370368</v>
      </c>
      <c r="AH197" s="80">
        <v>45509</v>
      </c>
      <c r="AI197" s="77" t="s">
        <v>1728</v>
      </c>
      <c r="AJ197" t="b">
        <v>0</v>
      </c>
      <c r="AW197" s="78" t="str">
        <f>HYPERLINK("https://pbs.twimg.com/profile_images/1429826993084850177/rMqmhn-g_normal.jpg")</f>
        <v>https://pbs.twimg.com/profile_images/1429826993084850177/rMqmhn-g_normal.jpg</v>
      </c>
      <c r="AX197" s="77" t="s">
        <v>2216</v>
      </c>
      <c r="AY197" s="77" t="s">
        <v>2216</v>
      </c>
      <c r="BA197" s="77" t="s">
        <v>2494</v>
      </c>
      <c r="BB197" s="77" t="s">
        <v>2494</v>
      </c>
      <c r="BC197" s="77" t="s">
        <v>2494</v>
      </c>
      <c r="BD197" s="77" t="s">
        <v>2216</v>
      </c>
      <c r="BE197" s="77" t="s">
        <v>2633</v>
      </c>
      <c r="BK197" s="112" t="str">
        <f>REPLACE(INDEX(GroupVertices[Group], MATCH("~"&amp;Edges[[#This Row],[Vertex 1]],GroupVertices[Vertex],0)),1,1,"")</f>
        <v>147</v>
      </c>
      <c r="BL197" s="112" t="str">
        <f>REPLACE(INDEX(GroupVertices[Group], MATCH("~"&amp;Edges[[#This Row],[Vertex 2]],GroupVertices[Vertex],0)),1,1,"")</f>
        <v>147</v>
      </c>
    </row>
    <row r="198" spans="1:64" x14ac:dyDescent="0.25">
      <c r="A198" s="61" t="s">
        <v>270</v>
      </c>
      <c r="B198" s="61" t="s">
        <v>270</v>
      </c>
      <c r="C198" s="62"/>
      <c r="D198" s="63"/>
      <c r="E198" s="64"/>
      <c r="F198" s="65"/>
      <c r="G198" s="62"/>
      <c r="H198" s="66"/>
      <c r="I198" s="67"/>
      <c r="J198" s="67"/>
      <c r="K198" s="31"/>
      <c r="L198" s="75">
        <v>198</v>
      </c>
      <c r="M198"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98" s="69"/>
      <c r="O198" t="s">
        <v>701</v>
      </c>
      <c r="P198" s="76">
        <v>45510.941469907404</v>
      </c>
      <c r="Q198" t="s">
        <v>772</v>
      </c>
      <c r="R198" t="b">
        <v>0</v>
      </c>
      <c r="S198">
        <v>0</v>
      </c>
      <c r="T198">
        <v>0</v>
      </c>
      <c r="U198">
        <v>0</v>
      </c>
      <c r="V198">
        <v>1</v>
      </c>
      <c r="W198">
        <v>67</v>
      </c>
      <c r="AD198" s="77" t="s">
        <v>1366</v>
      </c>
      <c r="AE198" t="s">
        <v>1385</v>
      </c>
      <c r="AF198" s="78" t="str">
        <f>HYPERLINK("https://twitter.com/comoscsientc/status/1820951916211286424")</f>
        <v>https://twitter.com/comoscsientc/status/1820951916211286424</v>
      </c>
      <c r="AG198" s="76">
        <v>45510.941469907404</v>
      </c>
      <c r="AH198" s="80">
        <v>45510</v>
      </c>
      <c r="AI198" s="77" t="s">
        <v>1454</v>
      </c>
      <c r="AW198" s="78" t="str">
        <f>HYPERLINK("https://pbs.twimg.com/profile_images/1921205391393742848/2Mx23Ob3_normal.png")</f>
        <v>https://pbs.twimg.com/profile_images/1921205391393742848/2Mx23Ob3_normal.png</v>
      </c>
      <c r="AX198" s="77" t="s">
        <v>1938</v>
      </c>
      <c r="AY198" s="77" t="s">
        <v>2283</v>
      </c>
      <c r="AZ198" s="77" t="s">
        <v>2402</v>
      </c>
      <c r="BA198" s="77" t="s">
        <v>2283</v>
      </c>
      <c r="BB198" s="77" t="s">
        <v>2494</v>
      </c>
      <c r="BC198" s="77" t="s">
        <v>2494</v>
      </c>
      <c r="BD198" s="77" t="s">
        <v>2283</v>
      </c>
      <c r="BE198" s="77" t="s">
        <v>2402</v>
      </c>
      <c r="BK198" s="112" t="str">
        <f>REPLACE(INDEX(GroupVertices[Group], MATCH("~"&amp;Edges[[#This Row],[Vertex 1]],GroupVertices[Vertex],0)),1,1,"")</f>
        <v>146</v>
      </c>
      <c r="BL198" s="112" t="str">
        <f>REPLACE(INDEX(GroupVertices[Group], MATCH("~"&amp;Edges[[#This Row],[Vertex 2]],GroupVertices[Vertex],0)),1,1,"")</f>
        <v>146</v>
      </c>
    </row>
    <row r="199" spans="1:64" x14ac:dyDescent="0.25">
      <c r="A199" s="61" t="s">
        <v>231</v>
      </c>
      <c r="B199" s="61" t="s">
        <v>478</v>
      </c>
      <c r="C199" s="62"/>
      <c r="D199" s="63"/>
      <c r="E199" s="64"/>
      <c r="F199" s="65"/>
      <c r="G199" s="62"/>
      <c r="H199" s="66"/>
      <c r="I199" s="67"/>
      <c r="J199" s="67"/>
      <c r="K199" s="31"/>
      <c r="L199" s="75">
        <v>199</v>
      </c>
      <c r="M199"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199" s="69"/>
      <c r="O199" t="s">
        <v>702</v>
      </c>
      <c r="P199" s="76">
        <v>45510.75372685185</v>
      </c>
      <c r="Q199" t="s">
        <v>714</v>
      </c>
      <c r="R199" t="b">
        <v>0</v>
      </c>
      <c r="S199">
        <v>0</v>
      </c>
      <c r="T199">
        <v>0</v>
      </c>
      <c r="U199">
        <v>0</v>
      </c>
      <c r="V199">
        <v>0</v>
      </c>
      <c r="W199">
        <v>66</v>
      </c>
      <c r="Y199" s="78" t="str">
        <f>HYPERLINK("https://www.adnradio.cl/2024/08/06/sistema-de-admision-escolar-2025-asi-funciona-la-plataforma-que-determina-el-colegio-que-le-corresponde-a-cada-estudiante-en-chile/")</f>
        <v>https://www.adnradio.cl/2024/08/06/sistema-de-admision-escolar-2025-asi-funciona-la-plataforma-que-determina-el-colegio-que-le-corresponde-a-cada-estudiante-en-chile/</v>
      </c>
      <c r="Z199" t="s">
        <v>1134</v>
      </c>
      <c r="AA199" t="s">
        <v>478</v>
      </c>
      <c r="AD199" s="77" t="s">
        <v>1365</v>
      </c>
      <c r="AE199" t="s">
        <v>1385</v>
      </c>
      <c r="AF199" s="78" t="str">
        <f>HYPERLINK("https://twitter.com/pwartemberg1/status/1820883880418931198")</f>
        <v>https://twitter.com/pwartemberg1/status/1820883880418931198</v>
      </c>
      <c r="AG199" s="76">
        <v>45510.75372685185</v>
      </c>
      <c r="AH199" s="80">
        <v>45510</v>
      </c>
      <c r="AI199" s="77" t="s">
        <v>1396</v>
      </c>
      <c r="AJ199" t="b">
        <v>0</v>
      </c>
      <c r="AW199" s="78" t="str">
        <f>HYPERLINK("https://pbs.twimg.com/profile_images/1472894161590403078/vrzppNV7_normal.jpg")</f>
        <v>https://pbs.twimg.com/profile_images/1472894161590403078/vrzppNV7_normal.jpg</v>
      </c>
      <c r="AX199" s="77" t="s">
        <v>1880</v>
      </c>
      <c r="AY199" s="77" t="s">
        <v>1880</v>
      </c>
      <c r="BA199" s="77" t="s">
        <v>2494</v>
      </c>
      <c r="BB199" s="77" t="s">
        <v>2494</v>
      </c>
      <c r="BC199" s="77" t="s">
        <v>2494</v>
      </c>
      <c r="BD199" s="77" t="s">
        <v>1880</v>
      </c>
      <c r="BE199" s="77" t="s">
        <v>2535</v>
      </c>
      <c r="BK199" s="112" t="str">
        <f>REPLACE(INDEX(GroupVertices[Group], MATCH("~"&amp;Edges[[#This Row],[Vertex 1]],GroupVertices[Vertex],0)),1,1,"")</f>
        <v>85</v>
      </c>
      <c r="BL199" s="112" t="str">
        <f>REPLACE(INDEX(GroupVertices[Group], MATCH("~"&amp;Edges[[#This Row],[Vertex 2]],GroupVertices[Vertex],0)),1,1,"")</f>
        <v>85</v>
      </c>
    </row>
    <row r="200" spans="1:64" x14ac:dyDescent="0.25">
      <c r="A200" s="61" t="s">
        <v>226</v>
      </c>
      <c r="B200" s="61" t="s">
        <v>226</v>
      </c>
      <c r="C200" s="62"/>
      <c r="D200" s="63"/>
      <c r="E200" s="64"/>
      <c r="F200" s="65"/>
      <c r="G200" s="62"/>
      <c r="H200" s="66"/>
      <c r="I200" s="67"/>
      <c r="J200" s="67"/>
      <c r="K200" s="31"/>
      <c r="L200" s="75">
        <v>200</v>
      </c>
      <c r="M200"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00" s="69"/>
      <c r="O200" t="s">
        <v>177</v>
      </c>
      <c r="P200" s="76">
        <v>45510.5628125</v>
      </c>
      <c r="Q200" t="s">
        <v>709</v>
      </c>
      <c r="R200" t="b">
        <v>0</v>
      </c>
      <c r="S200">
        <v>0</v>
      </c>
      <c r="T200">
        <v>1</v>
      </c>
      <c r="U200">
        <v>0</v>
      </c>
      <c r="V200">
        <v>0</v>
      </c>
      <c r="W200">
        <v>65</v>
      </c>
      <c r="AD200" s="77" t="s">
        <v>1367</v>
      </c>
      <c r="AE200" t="s">
        <v>1385</v>
      </c>
      <c r="AF200" s="78" t="str">
        <f>HYPERLINK("https://twitter.com/jugadoresprome1/status/1820814695974015077")</f>
        <v>https://twitter.com/jugadoresprome1/status/1820814695974015077</v>
      </c>
      <c r="AG200" s="76">
        <v>45510.5628125</v>
      </c>
      <c r="AH200" s="80">
        <v>45510</v>
      </c>
      <c r="AI200" s="77" t="s">
        <v>1391</v>
      </c>
      <c r="AW200" s="78" t="str">
        <f>HYPERLINK("https://pbs.twimg.com/profile_images/1777492866480103424/9C92qHGr_normal.jpg")</f>
        <v>https://pbs.twimg.com/profile_images/1777492866480103424/9C92qHGr_normal.jpg</v>
      </c>
      <c r="AX200" s="77" t="s">
        <v>1875</v>
      </c>
      <c r="AY200" s="77" t="s">
        <v>1875</v>
      </c>
      <c r="BA200" s="77" t="s">
        <v>2494</v>
      </c>
      <c r="BB200" s="77" t="s">
        <v>2494</v>
      </c>
      <c r="BC200" s="77" t="s">
        <v>2494</v>
      </c>
      <c r="BD200" s="77" t="s">
        <v>1875</v>
      </c>
      <c r="BE200" s="77" t="s">
        <v>2531</v>
      </c>
      <c r="BK200" s="112" t="str">
        <f>REPLACE(INDEX(GroupVertices[Group], MATCH("~"&amp;Edges[[#This Row],[Vertex 1]],GroupVertices[Vertex],0)),1,1,"")</f>
        <v>145</v>
      </c>
      <c r="BL200" s="112" t="str">
        <f>REPLACE(INDEX(GroupVertices[Group], MATCH("~"&amp;Edges[[#This Row],[Vertex 2]],GroupVertices[Vertex],0)),1,1,"")</f>
        <v>145</v>
      </c>
    </row>
    <row r="201" spans="1:64" x14ac:dyDescent="0.25">
      <c r="A201" s="61" t="s">
        <v>245</v>
      </c>
      <c r="B201" s="61" t="s">
        <v>245</v>
      </c>
      <c r="C201" s="62"/>
      <c r="D201" s="63"/>
      <c r="E201" s="64"/>
      <c r="F201" s="65"/>
      <c r="G201" s="62"/>
      <c r="H201" s="66"/>
      <c r="I201" s="67"/>
      <c r="J201" s="67"/>
      <c r="K201" s="31"/>
      <c r="L201" s="75">
        <v>201</v>
      </c>
      <c r="M201"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01" s="69"/>
      <c r="O201" t="s">
        <v>177</v>
      </c>
      <c r="P201" s="76">
        <v>45507.871458333335</v>
      </c>
      <c r="Q201" t="s">
        <v>732</v>
      </c>
      <c r="R201" t="b">
        <v>0</v>
      </c>
      <c r="S201">
        <v>0</v>
      </c>
      <c r="T201">
        <v>1</v>
      </c>
      <c r="U201">
        <v>0</v>
      </c>
      <c r="V201">
        <v>1</v>
      </c>
      <c r="W201">
        <v>65</v>
      </c>
      <c r="AD201" s="77" t="s">
        <v>1365</v>
      </c>
      <c r="AE201" t="s">
        <v>1385</v>
      </c>
      <c r="AF201" s="78" t="str">
        <f>HYPERLINK("https://twitter.com/_la_tombola_/status/1819839381596741708")</f>
        <v>https://twitter.com/_la_tombola_/status/1819839381596741708</v>
      </c>
      <c r="AG201" s="76">
        <v>45507.871458333335</v>
      </c>
      <c r="AH201" s="80">
        <v>45507</v>
      </c>
      <c r="AI201" s="77" t="s">
        <v>1414</v>
      </c>
      <c r="AW201" s="78" t="str">
        <f>HYPERLINK("https://pbs.twimg.com/profile_images/1782904715967078400/BENjXW57_normal.jpg")</f>
        <v>https://pbs.twimg.com/profile_images/1782904715967078400/BENjXW57_normal.jpg</v>
      </c>
      <c r="AX201" s="77" t="s">
        <v>1898</v>
      </c>
      <c r="AY201" s="77" t="s">
        <v>1898</v>
      </c>
      <c r="BA201" s="77" t="s">
        <v>2494</v>
      </c>
      <c r="BB201" s="77" t="s">
        <v>2494</v>
      </c>
      <c r="BC201" s="77" t="s">
        <v>2494</v>
      </c>
      <c r="BD201" s="77" t="s">
        <v>1898</v>
      </c>
      <c r="BE201" s="77" t="s">
        <v>2542</v>
      </c>
      <c r="BK201" s="112" t="str">
        <f>REPLACE(INDEX(GroupVertices[Group], MATCH("~"&amp;Edges[[#This Row],[Vertex 1]],GroupVertices[Vertex],0)),1,1,"")</f>
        <v>144</v>
      </c>
      <c r="BL201" s="112" t="str">
        <f>REPLACE(INDEX(GroupVertices[Group], MATCH("~"&amp;Edges[[#This Row],[Vertex 2]],GroupVertices[Vertex],0)),1,1,"")</f>
        <v>144</v>
      </c>
    </row>
    <row r="202" spans="1:64" x14ac:dyDescent="0.25">
      <c r="A202" s="61" t="s">
        <v>288</v>
      </c>
      <c r="B202" s="61" t="s">
        <v>563</v>
      </c>
      <c r="C202" s="62"/>
      <c r="D202" s="63"/>
      <c r="E202" s="64"/>
      <c r="F202" s="65"/>
      <c r="G202" s="62"/>
      <c r="H202" s="66"/>
      <c r="I202" s="67"/>
      <c r="J202" s="67"/>
      <c r="K202" s="31"/>
      <c r="L202" s="75">
        <v>202</v>
      </c>
      <c r="M202"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02" s="69"/>
      <c r="O202" t="s">
        <v>701</v>
      </c>
      <c r="P202" s="76">
        <v>45505.401180555556</v>
      </c>
      <c r="Q202" t="s">
        <v>793</v>
      </c>
      <c r="R202" t="b">
        <v>0</v>
      </c>
      <c r="S202">
        <v>0</v>
      </c>
      <c r="T202">
        <v>2</v>
      </c>
      <c r="U202">
        <v>1</v>
      </c>
      <c r="V202">
        <v>0</v>
      </c>
      <c r="W202">
        <v>65</v>
      </c>
      <c r="AA202" t="s">
        <v>563</v>
      </c>
      <c r="AD202" s="77" t="s">
        <v>1365</v>
      </c>
      <c r="AE202" t="s">
        <v>1385</v>
      </c>
      <c r="AF202" s="78" t="str">
        <f>HYPERLINK("https://twitter.com/alex_alic/status/1818944183861719436")</f>
        <v>https://twitter.com/alex_alic/status/1818944183861719436</v>
      </c>
      <c r="AG202" s="76">
        <v>45505.401180555556</v>
      </c>
      <c r="AH202" s="80">
        <v>45505</v>
      </c>
      <c r="AI202" s="77" t="s">
        <v>1475</v>
      </c>
      <c r="AW202" s="78" t="str">
        <f>HYPERLINK("https://pbs.twimg.com/profile_images/1787466031830585344/rmOMQzGH_normal.jpg")</f>
        <v>https://pbs.twimg.com/profile_images/1787466031830585344/rmOMQzGH_normal.jpg</v>
      </c>
      <c r="AX202" s="77" t="s">
        <v>1959</v>
      </c>
      <c r="AY202" s="77" t="s">
        <v>2291</v>
      </c>
      <c r="AZ202" s="77" t="s">
        <v>2410</v>
      </c>
      <c r="BA202" s="77" t="s">
        <v>2291</v>
      </c>
      <c r="BB202" s="77" t="s">
        <v>2494</v>
      </c>
      <c r="BC202" s="77" t="s">
        <v>2494</v>
      </c>
      <c r="BD202" s="77" t="s">
        <v>2291</v>
      </c>
      <c r="BE202">
        <v>282930614</v>
      </c>
      <c r="BK202" s="112" t="str">
        <f>REPLACE(INDEX(GroupVertices[Group], MATCH("~"&amp;Edges[[#This Row],[Vertex 1]],GroupVertices[Vertex],0)),1,1,"")</f>
        <v>8</v>
      </c>
      <c r="BL202" s="112" t="str">
        <f>REPLACE(INDEX(GroupVertices[Group], MATCH("~"&amp;Edges[[#This Row],[Vertex 2]],GroupVertices[Vertex],0)),1,1,"")</f>
        <v>8</v>
      </c>
    </row>
    <row r="203" spans="1:64" x14ac:dyDescent="0.25">
      <c r="A203" s="61" t="s">
        <v>413</v>
      </c>
      <c r="B203" s="61" t="s">
        <v>412</v>
      </c>
      <c r="C203" s="62"/>
      <c r="D203" s="63"/>
      <c r="E203" s="64"/>
      <c r="F203" s="65"/>
      <c r="G203" s="62"/>
      <c r="H203" s="66"/>
      <c r="I203" s="67"/>
      <c r="J203" s="67"/>
      <c r="K203" s="31"/>
      <c r="L203" s="75">
        <v>203</v>
      </c>
      <c r="M203"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03" s="69"/>
      <c r="O203" t="s">
        <v>704</v>
      </c>
      <c r="P203" s="76">
        <v>45505.358657407407</v>
      </c>
      <c r="Q203" t="s">
        <v>981</v>
      </c>
      <c r="R203" t="b">
        <v>0</v>
      </c>
      <c r="S203">
        <v>0</v>
      </c>
      <c r="T203">
        <v>1</v>
      </c>
      <c r="U203">
        <v>0</v>
      </c>
      <c r="V203">
        <v>0</v>
      </c>
      <c r="W203">
        <v>65</v>
      </c>
      <c r="AD203" s="77" t="s">
        <v>1365</v>
      </c>
      <c r="AE203" t="s">
        <v>1385</v>
      </c>
      <c r="AF203" s="78" t="str">
        <f>HYPERLINK("https://twitter.com/martabravogarci/status/1818928775192514924")</f>
        <v>https://twitter.com/martabravogarci/status/1818928775192514924</v>
      </c>
      <c r="AG203" s="76">
        <v>45505.358657407407</v>
      </c>
      <c r="AH203" s="80">
        <v>45505</v>
      </c>
      <c r="AI203" s="77" t="s">
        <v>1661</v>
      </c>
      <c r="AW203" s="78" t="str">
        <f>HYPERLINK("https://pbs.twimg.com/profile_images/1777335243655004160/9eCuOQwV_normal.jpg")</f>
        <v>https://pbs.twimg.com/profile_images/1777335243655004160/9eCuOQwV_normal.jpg</v>
      </c>
      <c r="AX203" s="77" t="s">
        <v>2147</v>
      </c>
      <c r="AY203" s="77" t="s">
        <v>2147</v>
      </c>
      <c r="BA203" s="77" t="s">
        <v>2494</v>
      </c>
      <c r="BB203" s="77" t="s">
        <v>2146</v>
      </c>
      <c r="BC203" s="77" t="s">
        <v>2494</v>
      </c>
      <c r="BD203" s="77" t="s">
        <v>2146</v>
      </c>
      <c r="BE203">
        <v>401333458</v>
      </c>
      <c r="BK203" s="112" t="str">
        <f>REPLACE(INDEX(GroupVertices[Group], MATCH("~"&amp;Edges[[#This Row],[Vertex 1]],GroupVertices[Vertex],0)),1,1,"")</f>
        <v>84</v>
      </c>
      <c r="BL203" s="112" t="str">
        <f>REPLACE(INDEX(GroupVertices[Group], MATCH("~"&amp;Edges[[#This Row],[Vertex 2]],GroupVertices[Vertex],0)),1,1,"")</f>
        <v>84</v>
      </c>
    </row>
    <row r="204" spans="1:64" x14ac:dyDescent="0.25">
      <c r="A204" s="61" t="s">
        <v>240</v>
      </c>
      <c r="B204" s="61" t="s">
        <v>424</v>
      </c>
      <c r="C204" s="62"/>
      <c r="D204" s="63"/>
      <c r="E204" s="64"/>
      <c r="F204" s="65"/>
      <c r="G204" s="62"/>
      <c r="H204" s="66"/>
      <c r="I204" s="67"/>
      <c r="J204" s="67"/>
      <c r="K204" s="31"/>
      <c r="L204" s="75">
        <v>204</v>
      </c>
      <c r="M204"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04" s="69"/>
      <c r="O204" t="s">
        <v>704</v>
      </c>
      <c r="P204" s="76">
        <v>45506.022280092591</v>
      </c>
      <c r="Q204" t="s">
        <v>723</v>
      </c>
      <c r="R204" t="b">
        <v>0</v>
      </c>
      <c r="S204">
        <v>0</v>
      </c>
      <c r="T204">
        <v>1</v>
      </c>
      <c r="U204">
        <v>0</v>
      </c>
      <c r="V204">
        <v>0</v>
      </c>
      <c r="W204">
        <v>63</v>
      </c>
      <c r="AD204" s="77" t="s">
        <v>1365</v>
      </c>
      <c r="AE204" t="s">
        <v>1385</v>
      </c>
      <c r="AF204" s="78" t="str">
        <f>HYPERLINK("https://twitter.com/baeccipink/status/1819169264475295902")</f>
        <v>https://twitter.com/baeccipink/status/1819169264475295902</v>
      </c>
      <c r="AG204" s="76">
        <v>45506.022280092591</v>
      </c>
      <c r="AH204" s="80">
        <v>45506</v>
      </c>
      <c r="AI204" s="77" t="s">
        <v>1405</v>
      </c>
      <c r="AW204" s="78" t="str">
        <f>HYPERLINK("https://pbs.twimg.com/profile_images/1929292254713184257/9A9axR4J_normal.jpg")</f>
        <v>https://pbs.twimg.com/profile_images/1929292254713184257/9A9axR4J_normal.jpg</v>
      </c>
      <c r="AX204" s="77" t="s">
        <v>1889</v>
      </c>
      <c r="AY204" s="77" t="s">
        <v>1889</v>
      </c>
      <c r="BA204" s="77" t="s">
        <v>2494</v>
      </c>
      <c r="BB204" s="77" t="s">
        <v>2163</v>
      </c>
      <c r="BC204" s="77" t="s">
        <v>2494</v>
      </c>
      <c r="BD204" s="77" t="s">
        <v>2163</v>
      </c>
      <c r="BE204" s="77" t="s">
        <v>2539</v>
      </c>
      <c r="BK204" s="112" t="str">
        <f>REPLACE(INDEX(GroupVertices[Group], MATCH("~"&amp;Edges[[#This Row],[Vertex 1]],GroupVertices[Vertex],0)),1,1,"")</f>
        <v>83</v>
      </c>
      <c r="BL204" s="112" t="str">
        <f>REPLACE(INDEX(GroupVertices[Group], MATCH("~"&amp;Edges[[#This Row],[Vertex 2]],GroupVertices[Vertex],0)),1,1,"")</f>
        <v>83</v>
      </c>
    </row>
    <row r="205" spans="1:64" x14ac:dyDescent="0.25">
      <c r="A205" s="61" t="s">
        <v>341</v>
      </c>
      <c r="B205" s="61" t="s">
        <v>616</v>
      </c>
      <c r="C205" s="62"/>
      <c r="D205" s="63"/>
      <c r="E205" s="64"/>
      <c r="F205" s="65"/>
      <c r="G205" s="62"/>
      <c r="H205" s="66"/>
      <c r="I205" s="67"/>
      <c r="J205" s="67"/>
      <c r="K205" s="31"/>
      <c r="L205" s="75">
        <v>205</v>
      </c>
      <c r="M205"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05" s="69"/>
      <c r="O205" t="s">
        <v>705</v>
      </c>
      <c r="P205" s="76">
        <v>45509.743009259262</v>
      </c>
      <c r="Q205" t="s">
        <v>900</v>
      </c>
      <c r="R205" t="b">
        <v>0</v>
      </c>
      <c r="S205">
        <v>0</v>
      </c>
      <c r="T205">
        <v>0</v>
      </c>
      <c r="U205">
        <v>0</v>
      </c>
      <c r="V205">
        <v>0</v>
      </c>
      <c r="W205">
        <v>63</v>
      </c>
      <c r="X205" s="77" t="s">
        <v>1110</v>
      </c>
      <c r="AA205" t="s">
        <v>1238</v>
      </c>
      <c r="AD205" s="77" t="s">
        <v>1365</v>
      </c>
      <c r="AE205" t="s">
        <v>1385</v>
      </c>
      <c r="AF205" s="78" t="str">
        <f>HYPERLINK("https://twitter.com/claud1adiaz/status/1820517611681325333")</f>
        <v>https://twitter.com/claud1adiaz/status/1820517611681325333</v>
      </c>
      <c r="AG205" s="76">
        <v>45509.743009259262</v>
      </c>
      <c r="AH205" s="80">
        <v>45509</v>
      </c>
      <c r="AI205" s="77" t="s">
        <v>1580</v>
      </c>
      <c r="AW205" s="78" t="str">
        <f>HYPERLINK("https://pbs.twimg.com/profile_images/1578909245700861952/0UZus3hG_normal.jpg")</f>
        <v>https://pbs.twimg.com/profile_images/1578909245700861952/0UZus3hG_normal.jpg</v>
      </c>
      <c r="AX205" s="77" t="s">
        <v>2066</v>
      </c>
      <c r="AY205" s="77" t="s">
        <v>2066</v>
      </c>
      <c r="BA205" s="77" t="s">
        <v>2494</v>
      </c>
      <c r="BB205" s="77" t="s">
        <v>2176</v>
      </c>
      <c r="BC205" s="77" t="s">
        <v>2494</v>
      </c>
      <c r="BD205" s="77" t="s">
        <v>2176</v>
      </c>
      <c r="BE205">
        <v>2282830267</v>
      </c>
      <c r="BK205" s="112" t="str">
        <f>REPLACE(INDEX(GroupVertices[Group], MATCH("~"&amp;Edges[[#This Row],[Vertex 1]],GroupVertices[Vertex],0)),1,1,"")</f>
        <v>1</v>
      </c>
      <c r="BL205" s="112" t="str">
        <f>REPLACE(INDEX(GroupVertices[Group], MATCH("~"&amp;Edges[[#This Row],[Vertex 2]],GroupVertices[Vertex],0)),1,1,"")</f>
        <v>1</v>
      </c>
    </row>
    <row r="206" spans="1:64" x14ac:dyDescent="0.25">
      <c r="A206" s="61" t="s">
        <v>341</v>
      </c>
      <c r="B206" s="61" t="s">
        <v>617</v>
      </c>
      <c r="C206" s="62"/>
      <c r="D206" s="63"/>
      <c r="E206" s="64"/>
      <c r="F206" s="65"/>
      <c r="G206" s="62"/>
      <c r="H206" s="66"/>
      <c r="I206" s="67"/>
      <c r="J206" s="67"/>
      <c r="K206" s="31"/>
      <c r="L206" s="75">
        <v>206</v>
      </c>
      <c r="M206"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06" s="69"/>
      <c r="O206" t="s">
        <v>705</v>
      </c>
      <c r="P206" s="76">
        <v>45509.743009259262</v>
      </c>
      <c r="Q206" t="s">
        <v>900</v>
      </c>
      <c r="R206" t="b">
        <v>0</v>
      </c>
      <c r="S206">
        <v>0</v>
      </c>
      <c r="T206">
        <v>0</v>
      </c>
      <c r="U206">
        <v>0</v>
      </c>
      <c r="V206">
        <v>0</v>
      </c>
      <c r="W206">
        <v>63</v>
      </c>
      <c r="X206" s="77" t="s">
        <v>1110</v>
      </c>
      <c r="AA206" t="s">
        <v>1238</v>
      </c>
      <c r="AD206" s="77" t="s">
        <v>1365</v>
      </c>
      <c r="AE206" t="s">
        <v>1385</v>
      </c>
      <c r="AF206" s="78" t="str">
        <f>HYPERLINK("https://twitter.com/claud1adiaz/status/1820517611681325333")</f>
        <v>https://twitter.com/claud1adiaz/status/1820517611681325333</v>
      </c>
      <c r="AG206" s="76">
        <v>45509.743009259262</v>
      </c>
      <c r="AH206" s="80">
        <v>45509</v>
      </c>
      <c r="AI206" s="77" t="s">
        <v>1580</v>
      </c>
      <c r="AW206" s="78" t="str">
        <f>HYPERLINK("https://pbs.twimg.com/profile_images/1578909245700861952/0UZus3hG_normal.jpg")</f>
        <v>https://pbs.twimg.com/profile_images/1578909245700861952/0UZus3hG_normal.jpg</v>
      </c>
      <c r="AX206" s="77" t="s">
        <v>2066</v>
      </c>
      <c r="AY206" s="77" t="s">
        <v>2066</v>
      </c>
      <c r="BA206" s="77" t="s">
        <v>2494</v>
      </c>
      <c r="BB206" s="77" t="s">
        <v>2176</v>
      </c>
      <c r="BC206" s="77" t="s">
        <v>2494</v>
      </c>
      <c r="BD206" s="77" t="s">
        <v>2176</v>
      </c>
      <c r="BE206">
        <v>2282830267</v>
      </c>
      <c r="BK206" s="112" t="str">
        <f>REPLACE(INDEX(GroupVertices[Group], MATCH("~"&amp;Edges[[#This Row],[Vertex 1]],GroupVertices[Vertex],0)),1,1,"")</f>
        <v>1</v>
      </c>
      <c r="BL206" s="112" t="str">
        <f>REPLACE(INDEX(GroupVertices[Group], MATCH("~"&amp;Edges[[#This Row],[Vertex 2]],GroupVertices[Vertex],0)),1,1,"")</f>
        <v>1</v>
      </c>
    </row>
    <row r="207" spans="1:64" x14ac:dyDescent="0.25">
      <c r="A207" s="61" t="s">
        <v>341</v>
      </c>
      <c r="B207" s="61" t="s">
        <v>497</v>
      </c>
      <c r="C207" s="62"/>
      <c r="D207" s="63"/>
      <c r="E207" s="64"/>
      <c r="F207" s="65"/>
      <c r="G207" s="62"/>
      <c r="H207" s="66"/>
      <c r="I207" s="67"/>
      <c r="J207" s="67"/>
      <c r="K207" s="31"/>
      <c r="L207" s="75">
        <v>207</v>
      </c>
      <c r="M207"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07" s="69"/>
      <c r="O207" t="s">
        <v>705</v>
      </c>
      <c r="P207" s="76">
        <v>45509.743009259262</v>
      </c>
      <c r="Q207" t="s">
        <v>900</v>
      </c>
      <c r="R207" t="b">
        <v>0</v>
      </c>
      <c r="S207">
        <v>0</v>
      </c>
      <c r="T207">
        <v>0</v>
      </c>
      <c r="U207">
        <v>0</v>
      </c>
      <c r="V207">
        <v>0</v>
      </c>
      <c r="W207">
        <v>63</v>
      </c>
      <c r="X207" s="77" t="s">
        <v>1110</v>
      </c>
      <c r="AA207" t="s">
        <v>1238</v>
      </c>
      <c r="AD207" s="77" t="s">
        <v>1365</v>
      </c>
      <c r="AE207" t="s">
        <v>1385</v>
      </c>
      <c r="AF207" s="78" t="str">
        <f>HYPERLINK("https://twitter.com/claud1adiaz/status/1820517611681325333")</f>
        <v>https://twitter.com/claud1adiaz/status/1820517611681325333</v>
      </c>
      <c r="AG207" s="76">
        <v>45509.743009259262</v>
      </c>
      <c r="AH207" s="80">
        <v>45509</v>
      </c>
      <c r="AI207" s="77" t="s">
        <v>1580</v>
      </c>
      <c r="AW207" s="78" t="str">
        <f>HYPERLINK("https://pbs.twimg.com/profile_images/1578909245700861952/0UZus3hG_normal.jpg")</f>
        <v>https://pbs.twimg.com/profile_images/1578909245700861952/0UZus3hG_normal.jpg</v>
      </c>
      <c r="AX207" s="77" t="s">
        <v>2066</v>
      </c>
      <c r="AY207" s="77" t="s">
        <v>2066</v>
      </c>
      <c r="BA207" s="77" t="s">
        <v>2494</v>
      </c>
      <c r="BB207" s="77" t="s">
        <v>2176</v>
      </c>
      <c r="BC207" s="77" t="s">
        <v>2494</v>
      </c>
      <c r="BD207" s="77" t="s">
        <v>2176</v>
      </c>
      <c r="BE207">
        <v>2282830267</v>
      </c>
      <c r="BK207" s="112" t="str">
        <f>REPLACE(INDEX(GroupVertices[Group], MATCH("~"&amp;Edges[[#This Row],[Vertex 1]],GroupVertices[Vertex],0)),1,1,"")</f>
        <v>1</v>
      </c>
      <c r="BL207" s="112" t="str">
        <f>REPLACE(INDEX(GroupVertices[Group], MATCH("~"&amp;Edges[[#This Row],[Vertex 2]],GroupVertices[Vertex],0)),1,1,"")</f>
        <v>1</v>
      </c>
    </row>
    <row r="208" spans="1:64" x14ac:dyDescent="0.25">
      <c r="A208" s="61" t="s">
        <v>341</v>
      </c>
      <c r="B208" s="61" t="s">
        <v>435</v>
      </c>
      <c r="C208" s="62"/>
      <c r="D208" s="63"/>
      <c r="E208" s="64"/>
      <c r="F208" s="65"/>
      <c r="G208" s="62"/>
      <c r="H208" s="66"/>
      <c r="I208" s="67"/>
      <c r="J208" s="67"/>
      <c r="K208" s="31"/>
      <c r="L208" s="75">
        <v>208</v>
      </c>
      <c r="M208"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08" s="69"/>
      <c r="O208" t="s">
        <v>704</v>
      </c>
      <c r="P208" s="76">
        <v>45509.743009259262</v>
      </c>
      <c r="Q208" t="s">
        <v>900</v>
      </c>
      <c r="R208" t="b">
        <v>0</v>
      </c>
      <c r="S208">
        <v>0</v>
      </c>
      <c r="T208">
        <v>0</v>
      </c>
      <c r="U208">
        <v>0</v>
      </c>
      <c r="V208">
        <v>0</v>
      </c>
      <c r="W208">
        <v>63</v>
      </c>
      <c r="X208" s="77" t="s">
        <v>1110</v>
      </c>
      <c r="AA208" t="s">
        <v>1238</v>
      </c>
      <c r="AD208" s="77" t="s">
        <v>1365</v>
      </c>
      <c r="AE208" t="s">
        <v>1385</v>
      </c>
      <c r="AF208" s="78" t="str">
        <f>HYPERLINK("https://twitter.com/claud1adiaz/status/1820517611681325333")</f>
        <v>https://twitter.com/claud1adiaz/status/1820517611681325333</v>
      </c>
      <c r="AG208" s="76">
        <v>45509.743009259262</v>
      </c>
      <c r="AH208" s="80">
        <v>45509</v>
      </c>
      <c r="AI208" s="77" t="s">
        <v>1580</v>
      </c>
      <c r="AW208" s="78" t="str">
        <f>HYPERLINK("https://pbs.twimg.com/profile_images/1578909245700861952/0UZus3hG_normal.jpg")</f>
        <v>https://pbs.twimg.com/profile_images/1578909245700861952/0UZus3hG_normal.jpg</v>
      </c>
      <c r="AX208" s="77" t="s">
        <v>2066</v>
      </c>
      <c r="AY208" s="77" t="s">
        <v>2066</v>
      </c>
      <c r="BA208" s="77" t="s">
        <v>2494</v>
      </c>
      <c r="BB208" s="77" t="s">
        <v>2176</v>
      </c>
      <c r="BC208" s="77" t="s">
        <v>2494</v>
      </c>
      <c r="BD208" s="77" t="s">
        <v>2176</v>
      </c>
      <c r="BE208">
        <v>2282830267</v>
      </c>
      <c r="BK208" s="112" t="str">
        <f>REPLACE(INDEX(GroupVertices[Group], MATCH("~"&amp;Edges[[#This Row],[Vertex 1]],GroupVertices[Vertex],0)),1,1,"")</f>
        <v>1</v>
      </c>
      <c r="BL208" s="112" t="str">
        <f>REPLACE(INDEX(GroupVertices[Group], MATCH("~"&amp;Edges[[#This Row],[Vertex 2]],GroupVertices[Vertex],0)),1,1,"")</f>
        <v>1</v>
      </c>
    </row>
    <row r="209" spans="1:64" x14ac:dyDescent="0.25">
      <c r="A209" s="61" t="s">
        <v>387</v>
      </c>
      <c r="B209" s="61" t="s">
        <v>646</v>
      </c>
      <c r="C209" s="62"/>
      <c r="D209" s="63"/>
      <c r="E209" s="64"/>
      <c r="F209" s="65"/>
      <c r="G209" s="62"/>
      <c r="H209" s="66"/>
      <c r="I209" s="67"/>
      <c r="J209" s="67"/>
      <c r="K209" s="31"/>
      <c r="L209" s="75">
        <v>209</v>
      </c>
      <c r="M209"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09" s="69"/>
      <c r="O209" t="s">
        <v>701</v>
      </c>
      <c r="P209" s="76">
        <v>45507.58222222222</v>
      </c>
      <c r="Q209" t="s">
        <v>952</v>
      </c>
      <c r="R209" t="b">
        <v>0</v>
      </c>
      <c r="S209">
        <v>0</v>
      </c>
      <c r="T209">
        <v>5</v>
      </c>
      <c r="U209">
        <v>0</v>
      </c>
      <c r="V209">
        <v>0</v>
      </c>
      <c r="W209">
        <v>62</v>
      </c>
      <c r="AA209" t="s">
        <v>646</v>
      </c>
      <c r="AD209" s="77" t="s">
        <v>1365</v>
      </c>
      <c r="AE209" t="s">
        <v>1385</v>
      </c>
      <c r="AF209" s="78" t="str">
        <f>HYPERLINK("https://twitter.com/meta_morfica/status/1819734569018343845")</f>
        <v>https://twitter.com/meta_morfica/status/1819734569018343845</v>
      </c>
      <c r="AG209" s="76">
        <v>45507.58222222222</v>
      </c>
      <c r="AH209" s="80">
        <v>45507</v>
      </c>
      <c r="AI209" s="77" t="s">
        <v>1632</v>
      </c>
      <c r="AW209" s="78" t="str">
        <f>HYPERLINK("https://pbs.twimg.com/profile_images/1731081920212037632/Ap3FTY_q_normal.jpg")</f>
        <v>https://pbs.twimg.com/profile_images/1731081920212037632/Ap3FTY_q_normal.jpg</v>
      </c>
      <c r="AX209" s="77" t="s">
        <v>2118</v>
      </c>
      <c r="AY209" s="77" t="s">
        <v>2333</v>
      </c>
      <c r="AZ209" s="77" t="s">
        <v>2452</v>
      </c>
      <c r="BA209" s="77" t="s">
        <v>2333</v>
      </c>
      <c r="BB209" s="77" t="s">
        <v>2494</v>
      </c>
      <c r="BC209" s="77" t="s">
        <v>2494</v>
      </c>
      <c r="BD209" s="77" t="s">
        <v>2333</v>
      </c>
      <c r="BE209" s="77" t="s">
        <v>2602</v>
      </c>
      <c r="BK209" s="112" t="str">
        <f>REPLACE(INDEX(GroupVertices[Group], MATCH("~"&amp;Edges[[#This Row],[Vertex 1]],GroupVertices[Vertex],0)),1,1,"")</f>
        <v>19</v>
      </c>
      <c r="BL209" s="112" t="str">
        <f>REPLACE(INDEX(GroupVertices[Group], MATCH("~"&amp;Edges[[#This Row],[Vertex 2]],GroupVertices[Vertex],0)),1,1,"")</f>
        <v>19</v>
      </c>
    </row>
    <row r="210" spans="1:64" x14ac:dyDescent="0.25">
      <c r="A210" s="61" t="s">
        <v>304</v>
      </c>
      <c r="B210" s="61" t="s">
        <v>582</v>
      </c>
      <c r="C210" s="62"/>
      <c r="D210" s="63"/>
      <c r="E210" s="64"/>
      <c r="F210" s="65"/>
      <c r="G210" s="62"/>
      <c r="H210" s="66"/>
      <c r="I210" s="67"/>
      <c r="J210" s="67"/>
      <c r="K210" s="31"/>
      <c r="L210" s="75">
        <v>210</v>
      </c>
      <c r="M210"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10" s="69"/>
      <c r="O210" t="s">
        <v>702</v>
      </c>
      <c r="P210" s="76">
        <v>45505.252835648149</v>
      </c>
      <c r="Q210" t="s">
        <v>854</v>
      </c>
      <c r="R210" t="b">
        <v>0</v>
      </c>
      <c r="S210">
        <v>1</v>
      </c>
      <c r="T210">
        <v>1</v>
      </c>
      <c r="U210">
        <v>0</v>
      </c>
      <c r="V210">
        <v>0</v>
      </c>
      <c r="W210">
        <v>60</v>
      </c>
      <c r="Y210" s="78" t="str">
        <f>HYPERLINK("https://bit.ly/3WtBl9t")</f>
        <v>https://bit.ly/3WtBl9t</v>
      </c>
      <c r="Z210" t="s">
        <v>1156</v>
      </c>
      <c r="AA210" t="s">
        <v>582</v>
      </c>
      <c r="AD210" s="77" t="s">
        <v>1372</v>
      </c>
      <c r="AE210" t="s">
        <v>1385</v>
      </c>
      <c r="AF210" s="78" t="str">
        <f>HYPERLINK("https://twitter.com/pedropadillar/status/1818890426201358560")</f>
        <v>https://twitter.com/pedropadillar/status/1818890426201358560</v>
      </c>
      <c r="AG210" s="76">
        <v>45505.252835648149</v>
      </c>
      <c r="AH210" s="80">
        <v>45505</v>
      </c>
      <c r="AI210" s="77" t="s">
        <v>1535</v>
      </c>
      <c r="AJ210" t="b">
        <v>0</v>
      </c>
      <c r="AW210" s="78" t="str">
        <f>HYPERLINK("https://pbs.twimg.com/profile_images/1798231213427011584/tXbO17U4_normal.jpg")</f>
        <v>https://pbs.twimg.com/profile_images/1798231213427011584/tXbO17U4_normal.jpg</v>
      </c>
      <c r="AX210" s="77" t="s">
        <v>2020</v>
      </c>
      <c r="AY210" s="77" t="s">
        <v>2020</v>
      </c>
      <c r="BA210" s="77" t="s">
        <v>2494</v>
      </c>
      <c r="BB210" s="77" t="s">
        <v>2494</v>
      </c>
      <c r="BC210" s="77" t="s">
        <v>2494</v>
      </c>
      <c r="BD210" s="77" t="s">
        <v>2020</v>
      </c>
      <c r="BE210">
        <v>283242905</v>
      </c>
      <c r="BK210" s="112" t="str">
        <f>REPLACE(INDEX(GroupVertices[Group], MATCH("~"&amp;Edges[[#This Row],[Vertex 1]],GroupVertices[Vertex],0)),1,1,"")</f>
        <v>82</v>
      </c>
      <c r="BL210" s="112" t="str">
        <f>REPLACE(INDEX(GroupVertices[Group], MATCH("~"&amp;Edges[[#This Row],[Vertex 2]],GroupVertices[Vertex],0)),1,1,"")</f>
        <v>82</v>
      </c>
    </row>
    <row r="211" spans="1:64" x14ac:dyDescent="0.25">
      <c r="A211" s="61" t="s">
        <v>333</v>
      </c>
      <c r="B211" s="61" t="s">
        <v>333</v>
      </c>
      <c r="C211" s="62"/>
      <c r="D211" s="63"/>
      <c r="E211" s="64"/>
      <c r="F211" s="65"/>
      <c r="G211" s="62"/>
      <c r="H211" s="66"/>
      <c r="I211" s="67"/>
      <c r="J211" s="67"/>
      <c r="K211" s="31"/>
      <c r="L211" s="75">
        <v>211</v>
      </c>
      <c r="M211"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11" s="69"/>
      <c r="O211" t="s">
        <v>177</v>
      </c>
      <c r="P211" s="76">
        <v>45506.519918981481</v>
      </c>
      <c r="Q211" t="s">
        <v>890</v>
      </c>
      <c r="R211" t="b">
        <v>0</v>
      </c>
      <c r="S211">
        <v>0</v>
      </c>
      <c r="T211">
        <v>0</v>
      </c>
      <c r="U211">
        <v>0</v>
      </c>
      <c r="V211">
        <v>0</v>
      </c>
      <c r="W211">
        <v>60</v>
      </c>
      <c r="AB211" t="s">
        <v>1303</v>
      </c>
      <c r="AC211" t="s">
        <v>1359</v>
      </c>
      <c r="AD211" s="77" t="s">
        <v>1367</v>
      </c>
      <c r="AE211" t="s">
        <v>1385</v>
      </c>
      <c r="AF211" s="78" t="str">
        <f>HYPERLINK("https://twitter.com/tombolauy/status/1819349602635522508")</f>
        <v>https://twitter.com/tombolauy/status/1819349602635522508</v>
      </c>
      <c r="AG211" s="76">
        <v>45506.519918981481</v>
      </c>
      <c r="AH211" s="80">
        <v>45506</v>
      </c>
      <c r="AI211" s="77" t="s">
        <v>1570</v>
      </c>
      <c r="AJ211" t="b">
        <v>0</v>
      </c>
      <c r="AR211" t="s">
        <v>1816</v>
      </c>
      <c r="AW211" s="78" t="str">
        <f>HYPERLINK("https://pbs.twimg.com/media/GT-gzX7XgAAyxXb.jpg")</f>
        <v>https://pbs.twimg.com/media/GT-gzX7XgAAyxXb.jpg</v>
      </c>
      <c r="AX211" s="77" t="s">
        <v>2056</v>
      </c>
      <c r="AY211" s="77" t="s">
        <v>2056</v>
      </c>
      <c r="BA211" s="77" t="s">
        <v>2494</v>
      </c>
      <c r="BB211" s="77" t="s">
        <v>2494</v>
      </c>
      <c r="BC211" s="77" t="s">
        <v>2494</v>
      </c>
      <c r="BD211" s="77" t="s">
        <v>2056</v>
      </c>
      <c r="BE211" s="77" t="s">
        <v>2579</v>
      </c>
      <c r="BK211" s="112" t="str">
        <f>REPLACE(INDEX(GroupVertices[Group], MATCH("~"&amp;Edges[[#This Row],[Vertex 1]],GroupVertices[Vertex],0)),1,1,"")</f>
        <v>167</v>
      </c>
      <c r="BL211" s="112" t="str">
        <f>REPLACE(INDEX(GroupVertices[Group], MATCH("~"&amp;Edges[[#This Row],[Vertex 2]],GroupVertices[Vertex],0)),1,1,"")</f>
        <v>167</v>
      </c>
    </row>
    <row r="212" spans="1:64" x14ac:dyDescent="0.25">
      <c r="A212" s="61" t="s">
        <v>473</v>
      </c>
      <c r="B212" s="61" t="s">
        <v>514</v>
      </c>
      <c r="C212" s="62"/>
      <c r="D212" s="63"/>
      <c r="E212" s="64"/>
      <c r="F212" s="65"/>
      <c r="G212" s="62"/>
      <c r="H212" s="66"/>
      <c r="I212" s="67"/>
      <c r="J212" s="67"/>
      <c r="K212" s="31"/>
      <c r="L212" s="75">
        <v>212</v>
      </c>
      <c r="M212"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12" s="69"/>
      <c r="O212" t="s">
        <v>701</v>
      </c>
      <c r="P212" s="76">
        <v>45505.994328703702</v>
      </c>
      <c r="Q212" t="s">
        <v>1051</v>
      </c>
      <c r="R212" t="b">
        <v>0</v>
      </c>
      <c r="S212">
        <v>0</v>
      </c>
      <c r="T212">
        <v>0</v>
      </c>
      <c r="U212">
        <v>0</v>
      </c>
      <c r="V212">
        <v>0</v>
      </c>
      <c r="W212">
        <v>60</v>
      </c>
      <c r="AA212" t="s">
        <v>514</v>
      </c>
      <c r="AD212" s="77" t="s">
        <v>1366</v>
      </c>
      <c r="AE212" t="s">
        <v>1385</v>
      </c>
      <c r="AF212" s="78" t="str">
        <f>HYPERLINK("https://twitter.com/patocelis/status/1819159133729488914")</f>
        <v>https://twitter.com/patocelis/status/1819159133729488914</v>
      </c>
      <c r="AG212" s="76">
        <v>45505.994328703702</v>
      </c>
      <c r="AH212" s="80">
        <v>45505</v>
      </c>
      <c r="AI212" s="77" t="s">
        <v>1729</v>
      </c>
      <c r="AW212" s="78" t="str">
        <f>HYPERLINK("https://pbs.twimg.com/profile_images/1572425634890059777/flR-OnRM_normal.jpg")</f>
        <v>https://pbs.twimg.com/profile_images/1572425634890059777/flR-OnRM_normal.jpg</v>
      </c>
      <c r="AX212" s="77" t="s">
        <v>2217</v>
      </c>
      <c r="AY212" s="77" t="s">
        <v>2259</v>
      </c>
      <c r="AZ212" s="77" t="s">
        <v>2373</v>
      </c>
      <c r="BA212" s="77" t="s">
        <v>2259</v>
      </c>
      <c r="BB212" s="77" t="s">
        <v>2494</v>
      </c>
      <c r="BC212" s="77" t="s">
        <v>2494</v>
      </c>
      <c r="BD212" s="77" t="s">
        <v>2259</v>
      </c>
      <c r="BE212">
        <v>134370704</v>
      </c>
      <c r="BK212" s="112" t="str">
        <f>REPLACE(INDEX(GroupVertices[Group], MATCH("~"&amp;Edges[[#This Row],[Vertex 1]],GroupVertices[Vertex],0)),1,1,"")</f>
        <v>7</v>
      </c>
      <c r="BL212" s="112" t="str">
        <f>REPLACE(INDEX(GroupVertices[Group], MATCH("~"&amp;Edges[[#This Row],[Vertex 2]],GroupVertices[Vertex],0)),1,1,"")</f>
        <v>7</v>
      </c>
    </row>
    <row r="213" spans="1:64" x14ac:dyDescent="0.25">
      <c r="A213" s="61" t="s">
        <v>291</v>
      </c>
      <c r="B213" s="61" t="s">
        <v>291</v>
      </c>
      <c r="C213" s="62"/>
      <c r="D213" s="63"/>
      <c r="E213" s="64"/>
      <c r="F213" s="65"/>
      <c r="G213" s="62"/>
      <c r="H213" s="66"/>
      <c r="I213" s="67"/>
      <c r="J213" s="67"/>
      <c r="K213" s="31"/>
      <c r="L213" s="75">
        <v>213</v>
      </c>
      <c r="M213"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13" s="69"/>
      <c r="O213" t="s">
        <v>702</v>
      </c>
      <c r="P213" s="76">
        <v>45506.692615740743</v>
      </c>
      <c r="Q213" t="s">
        <v>802</v>
      </c>
      <c r="R213" t="b">
        <v>0</v>
      </c>
      <c r="S213">
        <v>0</v>
      </c>
      <c r="T213">
        <v>0</v>
      </c>
      <c r="U213">
        <v>0</v>
      </c>
      <c r="V213">
        <v>0</v>
      </c>
      <c r="W213">
        <v>59</v>
      </c>
      <c r="Y213" s="78" t="str">
        <f>HYPERLINK("https://portaleduca.cl/comienza-el-sae-la-florida-entra-en-escena-con-inclusion-y-formacion-integral/")</f>
        <v>https://portaleduca.cl/comienza-el-sae-la-florida-entra-en-escena-con-inclusion-y-formacion-integral/</v>
      </c>
      <c r="Z213" t="s">
        <v>1148</v>
      </c>
      <c r="AA213" t="s">
        <v>291</v>
      </c>
      <c r="AB213" t="s">
        <v>1279</v>
      </c>
      <c r="AC213" t="s">
        <v>1359</v>
      </c>
      <c r="AD213" s="77" t="s">
        <v>1367</v>
      </c>
      <c r="AE213" t="s">
        <v>1385</v>
      </c>
      <c r="AF213" s="78" t="str">
        <f>HYPERLINK("https://twitter.com/prensa_educa/status/1819412185455395307")</f>
        <v>https://twitter.com/prensa_educa/status/1819412185455395307</v>
      </c>
      <c r="AG213" s="76">
        <v>45506.692615740743</v>
      </c>
      <c r="AH213" s="80">
        <v>45506</v>
      </c>
      <c r="AI213" s="77" t="s">
        <v>1484</v>
      </c>
      <c r="AJ213" t="b">
        <v>0</v>
      </c>
      <c r="AR213" t="s">
        <v>1792</v>
      </c>
      <c r="AW213" s="78" t="str">
        <f>HYPERLINK("https://pbs.twimg.com/media/GT_ZmFTWAAg4CZK.jpg")</f>
        <v>https://pbs.twimg.com/media/GT_ZmFTWAAg4CZK.jpg</v>
      </c>
      <c r="AX213" s="77" t="s">
        <v>1968</v>
      </c>
      <c r="AY213" s="77" t="s">
        <v>1968</v>
      </c>
      <c r="BA213" s="77" t="s">
        <v>2494</v>
      </c>
      <c r="BB213" s="77" t="s">
        <v>2494</v>
      </c>
      <c r="BC213" s="77" t="s">
        <v>2494</v>
      </c>
      <c r="BD213" s="77" t="s">
        <v>1968</v>
      </c>
      <c r="BE213" s="77" t="s">
        <v>2564</v>
      </c>
      <c r="BK213" s="112" t="str">
        <f>REPLACE(INDEX(GroupVertices[Group], MATCH("~"&amp;Edges[[#This Row],[Vertex 1]],GroupVertices[Vertex],0)),1,1,"")</f>
        <v>143</v>
      </c>
      <c r="BL213" s="112" t="str">
        <f>REPLACE(INDEX(GroupVertices[Group], MATCH("~"&amp;Edges[[#This Row],[Vertex 2]],GroupVertices[Vertex],0)),1,1,"")</f>
        <v>143</v>
      </c>
    </row>
    <row r="214" spans="1:64" x14ac:dyDescent="0.25">
      <c r="A214" s="61" t="s">
        <v>299</v>
      </c>
      <c r="B214" s="61" t="s">
        <v>576</v>
      </c>
      <c r="C214" s="62"/>
      <c r="D214" s="63"/>
      <c r="E214" s="64"/>
      <c r="F214" s="65"/>
      <c r="G214" s="62"/>
      <c r="H214" s="66"/>
      <c r="I214" s="67"/>
      <c r="J214" s="67"/>
      <c r="K214" s="31"/>
      <c r="L214" s="75">
        <v>214</v>
      </c>
      <c r="M214"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14" s="69"/>
      <c r="O214" t="s">
        <v>703</v>
      </c>
      <c r="P214" s="76">
        <v>45505.468622685185</v>
      </c>
      <c r="Q214" t="s">
        <v>849</v>
      </c>
      <c r="R214" t="b">
        <v>0</v>
      </c>
      <c r="S214">
        <v>0</v>
      </c>
      <c r="T214">
        <v>0</v>
      </c>
      <c r="U214">
        <v>0</v>
      </c>
      <c r="V214">
        <v>0</v>
      </c>
      <c r="W214">
        <v>59</v>
      </c>
      <c r="AA214" t="s">
        <v>1231</v>
      </c>
      <c r="AB214" t="s">
        <v>1287</v>
      </c>
      <c r="AC214" t="s">
        <v>1359</v>
      </c>
      <c r="AD214" s="77" t="s">
        <v>1365</v>
      </c>
      <c r="AE214" t="s">
        <v>1385</v>
      </c>
      <c r="AF214" s="78" t="str">
        <f>HYPERLINK("https://twitter.com/eldelasierrasoy/status/1818968624016593185")</f>
        <v>https://twitter.com/eldelasierrasoy/status/1818968624016593185</v>
      </c>
      <c r="AG214" s="76">
        <v>45505.468622685185</v>
      </c>
      <c r="AH214" s="80">
        <v>45505</v>
      </c>
      <c r="AI214" s="77" t="s">
        <v>1530</v>
      </c>
      <c r="AJ214" t="b">
        <v>0</v>
      </c>
      <c r="AR214" t="s">
        <v>1800</v>
      </c>
      <c r="AW214" s="78" t="str">
        <f>HYPERLINK("https://pbs.twimg.com/media/GT5GUj-XIAE61yK.jpg")</f>
        <v>https://pbs.twimg.com/media/GT5GUj-XIAE61yK.jpg</v>
      </c>
      <c r="AX214" s="77" t="s">
        <v>2015</v>
      </c>
      <c r="AY214" s="77" t="s">
        <v>2300</v>
      </c>
      <c r="AZ214" s="77" t="s">
        <v>2419</v>
      </c>
      <c r="BA214" s="77" t="s">
        <v>2300</v>
      </c>
      <c r="BB214" s="77" t="s">
        <v>2494</v>
      </c>
      <c r="BC214" s="77" t="s">
        <v>2494</v>
      </c>
      <c r="BD214" s="77" t="s">
        <v>2300</v>
      </c>
      <c r="BE214" s="77" t="s">
        <v>2567</v>
      </c>
      <c r="BK214" s="112" t="str">
        <f>REPLACE(INDEX(GroupVertices[Group], MATCH("~"&amp;Edges[[#This Row],[Vertex 1]],GroupVertices[Vertex],0)),1,1,"")</f>
        <v>38</v>
      </c>
      <c r="BL214" s="112" t="str">
        <f>REPLACE(INDEX(GroupVertices[Group], MATCH("~"&amp;Edges[[#This Row],[Vertex 2]],GroupVertices[Vertex],0)),1,1,"")</f>
        <v>38</v>
      </c>
    </row>
    <row r="215" spans="1:64" x14ac:dyDescent="0.25">
      <c r="A215" s="61" t="s">
        <v>299</v>
      </c>
      <c r="B215" s="61" t="s">
        <v>577</v>
      </c>
      <c r="C215" s="62"/>
      <c r="D215" s="63"/>
      <c r="E215" s="64"/>
      <c r="F215" s="65"/>
      <c r="G215" s="62"/>
      <c r="H215" s="66"/>
      <c r="I215" s="67"/>
      <c r="J215" s="67"/>
      <c r="K215" s="31"/>
      <c r="L215" s="75">
        <v>215</v>
      </c>
      <c r="M215"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15" s="69"/>
      <c r="O215" t="s">
        <v>701</v>
      </c>
      <c r="P215" s="76">
        <v>45505.468622685185</v>
      </c>
      <c r="Q215" t="s">
        <v>849</v>
      </c>
      <c r="R215" t="b">
        <v>0</v>
      </c>
      <c r="S215">
        <v>0</v>
      </c>
      <c r="T215">
        <v>0</v>
      </c>
      <c r="U215">
        <v>0</v>
      </c>
      <c r="V215">
        <v>0</v>
      </c>
      <c r="W215">
        <v>59</v>
      </c>
      <c r="AA215" t="s">
        <v>1231</v>
      </c>
      <c r="AB215" t="s">
        <v>1287</v>
      </c>
      <c r="AC215" t="s">
        <v>1359</v>
      </c>
      <c r="AD215" s="77" t="s">
        <v>1365</v>
      </c>
      <c r="AE215" t="s">
        <v>1385</v>
      </c>
      <c r="AF215" s="78" t="str">
        <f>HYPERLINK("https://twitter.com/eldelasierrasoy/status/1818968624016593185")</f>
        <v>https://twitter.com/eldelasierrasoy/status/1818968624016593185</v>
      </c>
      <c r="AG215" s="76">
        <v>45505.468622685185</v>
      </c>
      <c r="AH215" s="80">
        <v>45505</v>
      </c>
      <c r="AI215" s="77" t="s">
        <v>1530</v>
      </c>
      <c r="AJ215" t="b">
        <v>0</v>
      </c>
      <c r="AR215" t="s">
        <v>1800</v>
      </c>
      <c r="AW215" s="78" t="str">
        <f>HYPERLINK("https://pbs.twimg.com/media/GT5GUj-XIAE61yK.jpg")</f>
        <v>https://pbs.twimg.com/media/GT5GUj-XIAE61yK.jpg</v>
      </c>
      <c r="AX215" s="77" t="s">
        <v>2015</v>
      </c>
      <c r="AY215" s="77" t="s">
        <v>2300</v>
      </c>
      <c r="AZ215" s="77" t="s">
        <v>2419</v>
      </c>
      <c r="BA215" s="77" t="s">
        <v>2300</v>
      </c>
      <c r="BB215" s="77" t="s">
        <v>2494</v>
      </c>
      <c r="BC215" s="77" t="s">
        <v>2494</v>
      </c>
      <c r="BD215" s="77" t="s">
        <v>2300</v>
      </c>
      <c r="BE215" s="77" t="s">
        <v>2567</v>
      </c>
      <c r="BK215" s="112" t="str">
        <f>REPLACE(INDEX(GroupVertices[Group], MATCH("~"&amp;Edges[[#This Row],[Vertex 1]],GroupVertices[Vertex],0)),1,1,"")</f>
        <v>38</v>
      </c>
      <c r="BL215" s="112" t="str">
        <f>REPLACE(INDEX(GroupVertices[Group], MATCH("~"&amp;Edges[[#This Row],[Vertex 2]],GroupVertices[Vertex],0)),1,1,"")</f>
        <v>38</v>
      </c>
    </row>
    <row r="216" spans="1:64" x14ac:dyDescent="0.25">
      <c r="A216" s="61" t="s">
        <v>333</v>
      </c>
      <c r="B216" s="61" t="s">
        <v>333</v>
      </c>
      <c r="C216" s="62"/>
      <c r="D216" s="63"/>
      <c r="E216" s="64"/>
      <c r="F216" s="65"/>
      <c r="G216" s="62"/>
      <c r="H216" s="66"/>
      <c r="I216" s="67"/>
      <c r="J216" s="67"/>
      <c r="K216" s="31"/>
      <c r="L216" s="75">
        <v>216</v>
      </c>
      <c r="M216"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16" s="69"/>
      <c r="O216" t="s">
        <v>177</v>
      </c>
      <c r="P216" s="76">
        <v>45506.049016203702</v>
      </c>
      <c r="Q216" t="s">
        <v>887</v>
      </c>
      <c r="R216" t="b">
        <v>0</v>
      </c>
      <c r="S216">
        <v>0</v>
      </c>
      <c r="T216">
        <v>0</v>
      </c>
      <c r="U216">
        <v>0</v>
      </c>
      <c r="V216">
        <v>0</v>
      </c>
      <c r="W216">
        <v>59</v>
      </c>
      <c r="AB216" t="s">
        <v>1300</v>
      </c>
      <c r="AC216" t="s">
        <v>1359</v>
      </c>
      <c r="AD216" s="77" t="s">
        <v>1365</v>
      </c>
      <c r="AE216" t="s">
        <v>1385</v>
      </c>
      <c r="AF216" s="78" t="str">
        <f>HYPERLINK("https://twitter.com/tombolauy/status/1819178951379439879")</f>
        <v>https://twitter.com/tombolauy/status/1819178951379439879</v>
      </c>
      <c r="AG216" s="76">
        <v>45506.049016203702</v>
      </c>
      <c r="AH216" s="80">
        <v>45506</v>
      </c>
      <c r="AI216" s="77" t="s">
        <v>1567</v>
      </c>
      <c r="AJ216" t="b">
        <v>0</v>
      </c>
      <c r="AR216" t="s">
        <v>1813</v>
      </c>
      <c r="AW216" s="78" t="str">
        <f>HYPERLINK("https://pbs.twimg.com/media/GT8FnYJXUAAHrAR.jpg")</f>
        <v>https://pbs.twimg.com/media/GT8FnYJXUAAHrAR.jpg</v>
      </c>
      <c r="AX216" s="77" t="s">
        <v>2053</v>
      </c>
      <c r="AY216" s="77" t="s">
        <v>2053</v>
      </c>
      <c r="BA216" s="77" t="s">
        <v>2494</v>
      </c>
      <c r="BB216" s="77" t="s">
        <v>2494</v>
      </c>
      <c r="BC216" s="77" t="s">
        <v>2494</v>
      </c>
      <c r="BD216" s="77" t="s">
        <v>2053</v>
      </c>
      <c r="BE216" s="77" t="s">
        <v>2579</v>
      </c>
      <c r="BK216" s="112" t="str">
        <f>REPLACE(INDEX(GroupVertices[Group], MATCH("~"&amp;Edges[[#This Row],[Vertex 1]],GroupVertices[Vertex],0)),1,1,"")</f>
        <v>167</v>
      </c>
      <c r="BL216" s="112" t="str">
        <f>REPLACE(INDEX(GroupVertices[Group], MATCH("~"&amp;Edges[[#This Row],[Vertex 2]],GroupVertices[Vertex],0)),1,1,"")</f>
        <v>167</v>
      </c>
    </row>
    <row r="217" spans="1:64" x14ac:dyDescent="0.25">
      <c r="A217" s="61" t="s">
        <v>390</v>
      </c>
      <c r="B217" s="61" t="s">
        <v>649</v>
      </c>
      <c r="C217" s="62"/>
      <c r="D217" s="63"/>
      <c r="E217" s="64"/>
      <c r="F217" s="65"/>
      <c r="G217" s="62"/>
      <c r="H217" s="66"/>
      <c r="I217" s="67"/>
      <c r="J217" s="67"/>
      <c r="K217" s="31"/>
      <c r="L217" s="75">
        <v>217</v>
      </c>
      <c r="M217"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17" s="69"/>
      <c r="O217" t="s">
        <v>703</v>
      </c>
      <c r="P217" s="76">
        <v>45507.68109953704</v>
      </c>
      <c r="Q217" t="s">
        <v>955</v>
      </c>
      <c r="R217" t="b">
        <v>0</v>
      </c>
      <c r="S217">
        <v>0</v>
      </c>
      <c r="T217">
        <v>0</v>
      </c>
      <c r="U217">
        <v>1</v>
      </c>
      <c r="V217">
        <v>0</v>
      </c>
      <c r="W217">
        <v>57</v>
      </c>
      <c r="AA217" t="s">
        <v>1248</v>
      </c>
      <c r="AD217" s="77" t="s">
        <v>1367</v>
      </c>
      <c r="AE217" t="s">
        <v>1385</v>
      </c>
      <c r="AF217" s="78" t="str">
        <f>HYPERLINK("https://twitter.com/varucoo02/status/1819770397904007171")</f>
        <v>https://twitter.com/varucoo02/status/1819770397904007171</v>
      </c>
      <c r="AG217" s="76">
        <v>45507.68109953704</v>
      </c>
      <c r="AH217" s="80">
        <v>45507</v>
      </c>
      <c r="AI217" s="77" t="s">
        <v>1635</v>
      </c>
      <c r="AW217" s="78" t="str">
        <f>HYPERLINK("https://pbs.twimg.com/profile_images/1857508029559615488/bxDQ4VnG_normal.jpg")</f>
        <v>https://pbs.twimg.com/profile_images/1857508029559615488/bxDQ4VnG_normal.jpg</v>
      </c>
      <c r="AX217" s="77" t="s">
        <v>2121</v>
      </c>
      <c r="AY217" s="77" t="s">
        <v>2336</v>
      </c>
      <c r="AZ217" s="77" t="s">
        <v>2455</v>
      </c>
      <c r="BA217" s="77" t="s">
        <v>2144</v>
      </c>
      <c r="BB217" s="77" t="s">
        <v>2494</v>
      </c>
      <c r="BC217" s="77" t="s">
        <v>2494</v>
      </c>
      <c r="BD217" s="77" t="s">
        <v>2144</v>
      </c>
      <c r="BE217" s="77" t="s">
        <v>2603</v>
      </c>
      <c r="BK217" s="112" t="str">
        <f>REPLACE(INDEX(GroupVertices[Group], MATCH("~"&amp;Edges[[#This Row],[Vertex 1]],GroupVertices[Vertex],0)),1,1,"")</f>
        <v>27</v>
      </c>
      <c r="BL217" s="112" t="str">
        <f>REPLACE(INDEX(GroupVertices[Group], MATCH("~"&amp;Edges[[#This Row],[Vertex 2]],GroupVertices[Vertex],0)),1,1,"")</f>
        <v>27</v>
      </c>
    </row>
    <row r="218" spans="1:64" x14ac:dyDescent="0.25">
      <c r="A218" s="61" t="s">
        <v>390</v>
      </c>
      <c r="B218" s="61" t="s">
        <v>650</v>
      </c>
      <c r="C218" s="62"/>
      <c r="D218" s="63"/>
      <c r="E218" s="64"/>
      <c r="F218" s="65"/>
      <c r="G218" s="62"/>
      <c r="H218" s="66"/>
      <c r="I218" s="67"/>
      <c r="J218" s="67"/>
      <c r="K218" s="31"/>
      <c r="L218" s="75">
        <v>218</v>
      </c>
      <c r="M218"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18" s="69"/>
      <c r="O218" t="s">
        <v>703</v>
      </c>
      <c r="P218" s="76">
        <v>45507.68109953704</v>
      </c>
      <c r="Q218" t="s">
        <v>955</v>
      </c>
      <c r="R218" t="b">
        <v>0</v>
      </c>
      <c r="S218">
        <v>0</v>
      </c>
      <c r="T218">
        <v>0</v>
      </c>
      <c r="U218">
        <v>1</v>
      </c>
      <c r="V218">
        <v>0</v>
      </c>
      <c r="W218">
        <v>57</v>
      </c>
      <c r="AA218" t="s">
        <v>1248</v>
      </c>
      <c r="AD218" s="77" t="s">
        <v>1367</v>
      </c>
      <c r="AE218" t="s">
        <v>1385</v>
      </c>
      <c r="AF218" s="78" t="str">
        <f>HYPERLINK("https://twitter.com/varucoo02/status/1819770397904007171")</f>
        <v>https://twitter.com/varucoo02/status/1819770397904007171</v>
      </c>
      <c r="AG218" s="76">
        <v>45507.68109953704</v>
      </c>
      <c r="AH218" s="80">
        <v>45507</v>
      </c>
      <c r="AI218" s="77" t="s">
        <v>1635</v>
      </c>
      <c r="AW218" s="78" t="str">
        <f>HYPERLINK("https://pbs.twimg.com/profile_images/1857508029559615488/bxDQ4VnG_normal.jpg")</f>
        <v>https://pbs.twimg.com/profile_images/1857508029559615488/bxDQ4VnG_normal.jpg</v>
      </c>
      <c r="AX218" s="77" t="s">
        <v>2121</v>
      </c>
      <c r="AY218" s="77" t="s">
        <v>2336</v>
      </c>
      <c r="AZ218" s="77" t="s">
        <v>2455</v>
      </c>
      <c r="BA218" s="77" t="s">
        <v>2144</v>
      </c>
      <c r="BB218" s="77" t="s">
        <v>2494</v>
      </c>
      <c r="BC218" s="77" t="s">
        <v>2494</v>
      </c>
      <c r="BD218" s="77" t="s">
        <v>2144</v>
      </c>
      <c r="BE218" s="77" t="s">
        <v>2603</v>
      </c>
      <c r="BK218" s="112" t="str">
        <f>REPLACE(INDEX(GroupVertices[Group], MATCH("~"&amp;Edges[[#This Row],[Vertex 1]],GroupVertices[Vertex],0)),1,1,"")</f>
        <v>27</v>
      </c>
      <c r="BL218" s="112" t="str">
        <f>REPLACE(INDEX(GroupVertices[Group], MATCH("~"&amp;Edges[[#This Row],[Vertex 2]],GroupVertices[Vertex],0)),1,1,"")</f>
        <v>27</v>
      </c>
    </row>
    <row r="219" spans="1:64" x14ac:dyDescent="0.25">
      <c r="A219" s="61" t="s">
        <v>390</v>
      </c>
      <c r="B219" s="61" t="s">
        <v>410</v>
      </c>
      <c r="C219" s="62"/>
      <c r="D219" s="63"/>
      <c r="E219" s="64"/>
      <c r="F219" s="65"/>
      <c r="G219" s="62"/>
      <c r="H219" s="66"/>
      <c r="I219" s="67"/>
      <c r="J219" s="67"/>
      <c r="K219" s="31"/>
      <c r="L219" s="75">
        <v>219</v>
      </c>
      <c r="M219"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19" s="69"/>
      <c r="O219" t="s">
        <v>701</v>
      </c>
      <c r="P219" s="76">
        <v>45507.68109953704</v>
      </c>
      <c r="Q219" t="s">
        <v>955</v>
      </c>
      <c r="R219" t="b">
        <v>0</v>
      </c>
      <c r="S219">
        <v>0</v>
      </c>
      <c r="T219">
        <v>0</v>
      </c>
      <c r="U219">
        <v>1</v>
      </c>
      <c r="V219">
        <v>0</v>
      </c>
      <c r="W219">
        <v>57</v>
      </c>
      <c r="AA219" t="s">
        <v>1248</v>
      </c>
      <c r="AD219" s="77" t="s">
        <v>1367</v>
      </c>
      <c r="AE219" t="s">
        <v>1385</v>
      </c>
      <c r="AF219" s="78" t="str">
        <f>HYPERLINK("https://twitter.com/varucoo02/status/1819770397904007171")</f>
        <v>https://twitter.com/varucoo02/status/1819770397904007171</v>
      </c>
      <c r="AG219" s="76">
        <v>45507.68109953704</v>
      </c>
      <c r="AH219" s="80">
        <v>45507</v>
      </c>
      <c r="AI219" s="77" t="s">
        <v>1635</v>
      </c>
      <c r="AW219" s="78" t="str">
        <f>HYPERLINK("https://pbs.twimg.com/profile_images/1857508029559615488/bxDQ4VnG_normal.jpg")</f>
        <v>https://pbs.twimg.com/profile_images/1857508029559615488/bxDQ4VnG_normal.jpg</v>
      </c>
      <c r="AX219" s="77" t="s">
        <v>2121</v>
      </c>
      <c r="AY219" s="77" t="s">
        <v>2336</v>
      </c>
      <c r="AZ219" s="77" t="s">
        <v>2455</v>
      </c>
      <c r="BA219" s="77" t="s">
        <v>2144</v>
      </c>
      <c r="BB219" s="77" t="s">
        <v>2494</v>
      </c>
      <c r="BC219" s="77" t="s">
        <v>2494</v>
      </c>
      <c r="BD219" s="77" t="s">
        <v>2144</v>
      </c>
      <c r="BE219" s="77" t="s">
        <v>2603</v>
      </c>
      <c r="BK219" s="112" t="str">
        <f>REPLACE(INDEX(GroupVertices[Group], MATCH("~"&amp;Edges[[#This Row],[Vertex 1]],GroupVertices[Vertex],0)),1,1,"")</f>
        <v>27</v>
      </c>
      <c r="BL219" s="112" t="str">
        <f>REPLACE(INDEX(GroupVertices[Group], MATCH("~"&amp;Edges[[#This Row],[Vertex 2]],GroupVertices[Vertex],0)),1,1,"")</f>
        <v>27</v>
      </c>
    </row>
    <row r="220" spans="1:64" x14ac:dyDescent="0.25">
      <c r="A220" s="61" t="s">
        <v>500</v>
      </c>
      <c r="B220" s="61" t="s">
        <v>699</v>
      </c>
      <c r="C220" s="62"/>
      <c r="D220" s="63"/>
      <c r="E220" s="64"/>
      <c r="F220" s="65"/>
      <c r="G220" s="62"/>
      <c r="H220" s="66"/>
      <c r="I220" s="67"/>
      <c r="J220" s="67"/>
      <c r="K220" s="31"/>
      <c r="L220" s="75">
        <v>220</v>
      </c>
      <c r="M220"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20" s="69"/>
      <c r="O220" t="s">
        <v>701</v>
      </c>
      <c r="P220" s="76">
        <v>45506.894189814811</v>
      </c>
      <c r="Q220" t="s">
        <v>1082</v>
      </c>
      <c r="R220" t="b">
        <v>0</v>
      </c>
      <c r="S220">
        <v>0</v>
      </c>
      <c r="T220">
        <v>2</v>
      </c>
      <c r="U220">
        <v>0</v>
      </c>
      <c r="V220">
        <v>0</v>
      </c>
      <c r="W220">
        <v>57</v>
      </c>
      <c r="AA220" t="s">
        <v>699</v>
      </c>
      <c r="AD220" s="77" t="s">
        <v>1365</v>
      </c>
      <c r="AE220" t="s">
        <v>1387</v>
      </c>
      <c r="AF220" s="78" t="str">
        <f>HYPERLINK("https://twitter.com/josepmariarubi1/status/1819485232149500063")</f>
        <v>https://twitter.com/josepmariarubi1/status/1819485232149500063</v>
      </c>
      <c r="AG220" s="76">
        <v>45506.894189814811</v>
      </c>
      <c r="AH220" s="80">
        <v>45506</v>
      </c>
      <c r="AI220" s="77" t="s">
        <v>1758</v>
      </c>
      <c r="AW220" s="78" t="str">
        <f>HYPERLINK("https://pbs.twimg.com/profile_images/1323668515740667904/3dNeJCk7_normal.jpg")</f>
        <v>https://pbs.twimg.com/profile_images/1323668515740667904/3dNeJCk7_normal.jpg</v>
      </c>
      <c r="AX220" s="77" t="s">
        <v>2248</v>
      </c>
      <c r="AY220" s="77" t="s">
        <v>2368</v>
      </c>
      <c r="AZ220" s="77" t="s">
        <v>2492</v>
      </c>
      <c r="BA220" s="77" t="s">
        <v>2368</v>
      </c>
      <c r="BB220" s="77" t="s">
        <v>2494</v>
      </c>
      <c r="BC220" s="77" t="s">
        <v>2494</v>
      </c>
      <c r="BD220" s="77" t="s">
        <v>2368</v>
      </c>
      <c r="BE220" s="77" t="s">
        <v>2641</v>
      </c>
      <c r="BK220" s="112" t="str">
        <f>REPLACE(INDEX(GroupVertices[Group], MATCH("~"&amp;Edges[[#This Row],[Vertex 1]],GroupVertices[Vertex],0)),1,1,"")</f>
        <v>81</v>
      </c>
      <c r="BL220" s="112" t="str">
        <f>REPLACE(INDEX(GroupVertices[Group], MATCH("~"&amp;Edges[[#This Row],[Vertex 2]],GroupVertices[Vertex],0)),1,1,"")</f>
        <v>81</v>
      </c>
    </row>
    <row r="221" spans="1:64" x14ac:dyDescent="0.25">
      <c r="A221" s="61" t="s">
        <v>477</v>
      </c>
      <c r="B221" s="61" t="s">
        <v>690</v>
      </c>
      <c r="C221" s="62"/>
      <c r="D221" s="63"/>
      <c r="E221" s="64"/>
      <c r="F221" s="65"/>
      <c r="G221" s="62"/>
      <c r="H221" s="66"/>
      <c r="I221" s="67"/>
      <c r="J221" s="67"/>
      <c r="K221" s="31"/>
      <c r="L221" s="75">
        <v>221</v>
      </c>
      <c r="M221"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21" s="69"/>
      <c r="O221" t="s">
        <v>702</v>
      </c>
      <c r="P221" s="76">
        <v>45509.350694444445</v>
      </c>
      <c r="Q221" t="s">
        <v>1056</v>
      </c>
      <c r="R221" t="b">
        <v>0</v>
      </c>
      <c r="S221">
        <v>0</v>
      </c>
      <c r="T221">
        <v>0</v>
      </c>
      <c r="U221">
        <v>0</v>
      </c>
      <c r="V221">
        <v>0</v>
      </c>
      <c r="W221">
        <v>56</v>
      </c>
      <c r="X221" s="77" t="s">
        <v>1126</v>
      </c>
      <c r="Y221" s="78" t="str">
        <f>HYPERLINK("https://aljarafeymas.com/noticias/17495-La-Hermandad-del-Roco-de-Camas-pone-a-disposicin-del-pblico-pepones-para-contribuir-con-la-tmbola")</f>
        <v>https://aljarafeymas.com/noticias/17495-La-Hermandad-del-Roco-de-Camas-pone-a-disposicin-del-pblico-pepones-para-contribuir-con-la-tmbola</v>
      </c>
      <c r="Z221" t="s">
        <v>1202</v>
      </c>
      <c r="AA221" t="s">
        <v>1263</v>
      </c>
      <c r="AD221" s="77" t="s">
        <v>1367</v>
      </c>
      <c r="AE221" t="s">
        <v>1385</v>
      </c>
      <c r="AF221" s="78" t="str">
        <f>HYPERLINK("https://twitter.com/aljarafeymas/status/1820375439292117425")</f>
        <v>https://twitter.com/aljarafeymas/status/1820375439292117425</v>
      </c>
      <c r="AG221" s="76">
        <v>45509.350694444445</v>
      </c>
      <c r="AH221" s="80">
        <v>45509</v>
      </c>
      <c r="AI221" s="77" t="s">
        <v>1733</v>
      </c>
      <c r="AJ221" t="b">
        <v>0</v>
      </c>
      <c r="AW221" s="78" t="str">
        <f>HYPERLINK("https://pbs.twimg.com/profile_images/1354838355842920448/UV9A0B9S_normal.jpg")</f>
        <v>https://pbs.twimg.com/profile_images/1354838355842920448/UV9A0B9S_normal.jpg</v>
      </c>
      <c r="AX221" s="77" t="s">
        <v>2222</v>
      </c>
      <c r="AY221" s="77" t="s">
        <v>2222</v>
      </c>
      <c r="BA221" s="77" t="s">
        <v>2494</v>
      </c>
      <c r="BB221" s="77" t="s">
        <v>2494</v>
      </c>
      <c r="BC221" s="77" t="s">
        <v>2494</v>
      </c>
      <c r="BD221" s="77" t="s">
        <v>2222</v>
      </c>
      <c r="BE221" s="77" t="s">
        <v>2634</v>
      </c>
      <c r="BK221" s="112" t="str">
        <f>REPLACE(INDEX(GroupVertices[Group], MATCH("~"&amp;Edges[[#This Row],[Vertex 1]],GroupVertices[Vertex],0)),1,1,"")</f>
        <v>17</v>
      </c>
      <c r="BL221" s="112" t="str">
        <f>REPLACE(INDEX(GroupVertices[Group], MATCH("~"&amp;Edges[[#This Row],[Vertex 2]],GroupVertices[Vertex],0)),1,1,"")</f>
        <v>17</v>
      </c>
    </row>
    <row r="222" spans="1:64" x14ac:dyDescent="0.25">
      <c r="A222" s="61" t="s">
        <v>477</v>
      </c>
      <c r="B222" s="61" t="s">
        <v>691</v>
      </c>
      <c r="C222" s="62"/>
      <c r="D222" s="63"/>
      <c r="E222" s="64"/>
      <c r="F222" s="65"/>
      <c r="G222" s="62"/>
      <c r="H222" s="66"/>
      <c r="I222" s="67"/>
      <c r="J222" s="67"/>
      <c r="K222" s="31"/>
      <c r="L222" s="75">
        <v>222</v>
      </c>
      <c r="M222"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22" s="69"/>
      <c r="O222" t="s">
        <v>702</v>
      </c>
      <c r="P222" s="76">
        <v>45509.350694444445</v>
      </c>
      <c r="Q222" t="s">
        <v>1056</v>
      </c>
      <c r="R222" t="b">
        <v>0</v>
      </c>
      <c r="S222">
        <v>0</v>
      </c>
      <c r="T222">
        <v>0</v>
      </c>
      <c r="U222">
        <v>0</v>
      </c>
      <c r="V222">
        <v>0</v>
      </c>
      <c r="W222">
        <v>56</v>
      </c>
      <c r="X222" s="77" t="s">
        <v>1126</v>
      </c>
      <c r="Y222" s="78" t="str">
        <f>HYPERLINK("https://aljarafeymas.com/noticias/17495-La-Hermandad-del-Roco-de-Camas-pone-a-disposicin-del-pblico-pepones-para-contribuir-con-la-tmbola")</f>
        <v>https://aljarafeymas.com/noticias/17495-La-Hermandad-del-Roco-de-Camas-pone-a-disposicin-del-pblico-pepones-para-contribuir-con-la-tmbola</v>
      </c>
      <c r="Z222" t="s">
        <v>1202</v>
      </c>
      <c r="AA222" t="s">
        <v>1263</v>
      </c>
      <c r="AD222" s="77" t="s">
        <v>1367</v>
      </c>
      <c r="AE222" t="s">
        <v>1385</v>
      </c>
      <c r="AF222" s="78" t="str">
        <f>HYPERLINK("https://twitter.com/aljarafeymas/status/1820375439292117425")</f>
        <v>https://twitter.com/aljarafeymas/status/1820375439292117425</v>
      </c>
      <c r="AG222" s="76">
        <v>45509.350694444445</v>
      </c>
      <c r="AH222" s="80">
        <v>45509</v>
      </c>
      <c r="AI222" s="77" t="s">
        <v>1733</v>
      </c>
      <c r="AJ222" t="b">
        <v>0</v>
      </c>
      <c r="AW222" s="78" t="str">
        <f>HYPERLINK("https://pbs.twimg.com/profile_images/1354838355842920448/UV9A0B9S_normal.jpg")</f>
        <v>https://pbs.twimg.com/profile_images/1354838355842920448/UV9A0B9S_normal.jpg</v>
      </c>
      <c r="AX222" s="77" t="s">
        <v>2222</v>
      </c>
      <c r="AY222" s="77" t="s">
        <v>2222</v>
      </c>
      <c r="BA222" s="77" t="s">
        <v>2494</v>
      </c>
      <c r="BB222" s="77" t="s">
        <v>2494</v>
      </c>
      <c r="BC222" s="77" t="s">
        <v>2494</v>
      </c>
      <c r="BD222" s="77" t="s">
        <v>2222</v>
      </c>
      <c r="BE222" s="77" t="s">
        <v>2634</v>
      </c>
      <c r="BK222" s="112" t="str">
        <f>REPLACE(INDEX(GroupVertices[Group], MATCH("~"&amp;Edges[[#This Row],[Vertex 1]],GroupVertices[Vertex],0)),1,1,"")</f>
        <v>17</v>
      </c>
      <c r="BL222" s="112" t="str">
        <f>REPLACE(INDEX(GroupVertices[Group], MATCH("~"&amp;Edges[[#This Row],[Vertex 2]],GroupVertices[Vertex],0)),1,1,"")</f>
        <v>17</v>
      </c>
    </row>
    <row r="223" spans="1:64" x14ac:dyDescent="0.25">
      <c r="A223" s="61" t="s">
        <v>477</v>
      </c>
      <c r="B223" s="61" t="s">
        <v>692</v>
      </c>
      <c r="C223" s="62"/>
      <c r="D223" s="63"/>
      <c r="E223" s="64"/>
      <c r="F223" s="65"/>
      <c r="G223" s="62"/>
      <c r="H223" s="66"/>
      <c r="I223" s="67"/>
      <c r="J223" s="67"/>
      <c r="K223" s="31"/>
      <c r="L223" s="75">
        <v>223</v>
      </c>
      <c r="M223"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23" s="69"/>
      <c r="O223" t="s">
        <v>702</v>
      </c>
      <c r="P223" s="76">
        <v>45509.350694444445</v>
      </c>
      <c r="Q223" t="s">
        <v>1056</v>
      </c>
      <c r="R223" t="b">
        <v>0</v>
      </c>
      <c r="S223">
        <v>0</v>
      </c>
      <c r="T223">
        <v>0</v>
      </c>
      <c r="U223">
        <v>0</v>
      </c>
      <c r="V223">
        <v>0</v>
      </c>
      <c r="W223">
        <v>56</v>
      </c>
      <c r="X223" s="77" t="s">
        <v>1126</v>
      </c>
      <c r="Y223" s="78" t="str">
        <f>HYPERLINK("https://aljarafeymas.com/noticias/17495-La-Hermandad-del-Roco-de-Camas-pone-a-disposicin-del-pblico-pepones-para-contribuir-con-la-tmbola")</f>
        <v>https://aljarafeymas.com/noticias/17495-La-Hermandad-del-Roco-de-Camas-pone-a-disposicin-del-pblico-pepones-para-contribuir-con-la-tmbola</v>
      </c>
      <c r="Z223" t="s">
        <v>1202</v>
      </c>
      <c r="AA223" t="s">
        <v>1263</v>
      </c>
      <c r="AD223" s="77" t="s">
        <v>1367</v>
      </c>
      <c r="AE223" t="s">
        <v>1385</v>
      </c>
      <c r="AF223" s="78" t="str">
        <f>HYPERLINK("https://twitter.com/aljarafeymas/status/1820375439292117425")</f>
        <v>https://twitter.com/aljarafeymas/status/1820375439292117425</v>
      </c>
      <c r="AG223" s="76">
        <v>45509.350694444445</v>
      </c>
      <c r="AH223" s="80">
        <v>45509</v>
      </c>
      <c r="AI223" s="77" t="s">
        <v>1733</v>
      </c>
      <c r="AJ223" t="b">
        <v>0</v>
      </c>
      <c r="AW223" s="78" t="str">
        <f>HYPERLINK("https://pbs.twimg.com/profile_images/1354838355842920448/UV9A0B9S_normal.jpg")</f>
        <v>https://pbs.twimg.com/profile_images/1354838355842920448/UV9A0B9S_normal.jpg</v>
      </c>
      <c r="AX223" s="77" t="s">
        <v>2222</v>
      </c>
      <c r="AY223" s="77" t="s">
        <v>2222</v>
      </c>
      <c r="BA223" s="77" t="s">
        <v>2494</v>
      </c>
      <c r="BB223" s="77" t="s">
        <v>2494</v>
      </c>
      <c r="BC223" s="77" t="s">
        <v>2494</v>
      </c>
      <c r="BD223" s="77" t="s">
        <v>2222</v>
      </c>
      <c r="BE223" s="77" t="s">
        <v>2634</v>
      </c>
      <c r="BK223" s="112" t="str">
        <f>REPLACE(INDEX(GroupVertices[Group], MATCH("~"&amp;Edges[[#This Row],[Vertex 1]],GroupVertices[Vertex],0)),1,1,"")</f>
        <v>17</v>
      </c>
      <c r="BL223" s="112" t="str">
        <f>REPLACE(INDEX(GroupVertices[Group], MATCH("~"&amp;Edges[[#This Row],[Vertex 2]],GroupVertices[Vertex],0)),1,1,"")</f>
        <v>17</v>
      </c>
    </row>
    <row r="224" spans="1:64" x14ac:dyDescent="0.25">
      <c r="A224" s="61" t="s">
        <v>477</v>
      </c>
      <c r="B224" s="61" t="s">
        <v>693</v>
      </c>
      <c r="C224" s="62"/>
      <c r="D224" s="63"/>
      <c r="E224" s="64"/>
      <c r="F224" s="65"/>
      <c r="G224" s="62"/>
      <c r="H224" s="66"/>
      <c r="I224" s="67"/>
      <c r="J224" s="67"/>
      <c r="K224" s="31"/>
      <c r="L224" s="75">
        <v>224</v>
      </c>
      <c r="M224"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24" s="69"/>
      <c r="O224" t="s">
        <v>702</v>
      </c>
      <c r="P224" s="76">
        <v>45509.350694444445</v>
      </c>
      <c r="Q224" t="s">
        <v>1056</v>
      </c>
      <c r="R224" t="b">
        <v>0</v>
      </c>
      <c r="S224">
        <v>0</v>
      </c>
      <c r="T224">
        <v>0</v>
      </c>
      <c r="U224">
        <v>0</v>
      </c>
      <c r="V224">
        <v>0</v>
      </c>
      <c r="W224">
        <v>56</v>
      </c>
      <c r="X224" s="77" t="s">
        <v>1126</v>
      </c>
      <c r="Y224" s="78" t="str">
        <f>HYPERLINK("https://aljarafeymas.com/noticias/17495-La-Hermandad-del-Roco-de-Camas-pone-a-disposicin-del-pblico-pepones-para-contribuir-con-la-tmbola")</f>
        <v>https://aljarafeymas.com/noticias/17495-La-Hermandad-del-Roco-de-Camas-pone-a-disposicin-del-pblico-pepones-para-contribuir-con-la-tmbola</v>
      </c>
      <c r="Z224" t="s">
        <v>1202</v>
      </c>
      <c r="AA224" t="s">
        <v>1263</v>
      </c>
      <c r="AD224" s="77" t="s">
        <v>1367</v>
      </c>
      <c r="AE224" t="s">
        <v>1385</v>
      </c>
      <c r="AF224" s="78" t="str">
        <f>HYPERLINK("https://twitter.com/aljarafeymas/status/1820375439292117425")</f>
        <v>https://twitter.com/aljarafeymas/status/1820375439292117425</v>
      </c>
      <c r="AG224" s="76">
        <v>45509.350694444445</v>
      </c>
      <c r="AH224" s="80">
        <v>45509</v>
      </c>
      <c r="AI224" s="77" t="s">
        <v>1733</v>
      </c>
      <c r="AJ224" t="b">
        <v>0</v>
      </c>
      <c r="AW224" s="78" t="str">
        <f>HYPERLINK("https://pbs.twimg.com/profile_images/1354838355842920448/UV9A0B9S_normal.jpg")</f>
        <v>https://pbs.twimg.com/profile_images/1354838355842920448/UV9A0B9S_normal.jpg</v>
      </c>
      <c r="AX224" s="77" t="s">
        <v>2222</v>
      </c>
      <c r="AY224" s="77" t="s">
        <v>2222</v>
      </c>
      <c r="BA224" s="77" t="s">
        <v>2494</v>
      </c>
      <c r="BB224" s="77" t="s">
        <v>2494</v>
      </c>
      <c r="BC224" s="77" t="s">
        <v>2494</v>
      </c>
      <c r="BD224" s="77" t="s">
        <v>2222</v>
      </c>
      <c r="BE224" s="77" t="s">
        <v>2634</v>
      </c>
      <c r="BK224" s="112" t="str">
        <f>REPLACE(INDEX(GroupVertices[Group], MATCH("~"&amp;Edges[[#This Row],[Vertex 1]],GroupVertices[Vertex],0)),1,1,"")</f>
        <v>17</v>
      </c>
      <c r="BL224" s="112" t="str">
        <f>REPLACE(INDEX(GroupVertices[Group], MATCH("~"&amp;Edges[[#This Row],[Vertex 2]],GroupVertices[Vertex],0)),1,1,"")</f>
        <v>17</v>
      </c>
    </row>
    <row r="225" spans="1:64" x14ac:dyDescent="0.25">
      <c r="A225" s="61" t="s">
        <v>265</v>
      </c>
      <c r="B225" s="61" t="s">
        <v>541</v>
      </c>
      <c r="C225" s="62"/>
      <c r="D225" s="63"/>
      <c r="E225" s="64"/>
      <c r="F225" s="65"/>
      <c r="G225" s="62"/>
      <c r="H225" s="66"/>
      <c r="I225" s="67"/>
      <c r="J225" s="67"/>
      <c r="K225" s="31"/>
      <c r="L225" s="75">
        <v>225</v>
      </c>
      <c r="M225"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25" s="69"/>
      <c r="O225" t="s">
        <v>701</v>
      </c>
      <c r="P225" s="76">
        <v>45507.587083333332</v>
      </c>
      <c r="Q225" t="s">
        <v>758</v>
      </c>
      <c r="R225" t="b">
        <v>0</v>
      </c>
      <c r="S225">
        <v>0</v>
      </c>
      <c r="T225">
        <v>0</v>
      </c>
      <c r="U225">
        <v>0</v>
      </c>
      <c r="V225">
        <v>0</v>
      </c>
      <c r="W225">
        <v>55</v>
      </c>
      <c r="AA225" t="s">
        <v>541</v>
      </c>
      <c r="AD225" s="77" t="s">
        <v>1365</v>
      </c>
      <c r="AE225" t="s">
        <v>1385</v>
      </c>
      <c r="AF225" s="78" t="str">
        <f>HYPERLINK("https://twitter.com/sergio361278762/status/1819736330269847613")</f>
        <v>https://twitter.com/sergio361278762/status/1819736330269847613</v>
      </c>
      <c r="AG225" s="76">
        <v>45507.587083333332</v>
      </c>
      <c r="AH225" s="80">
        <v>45507</v>
      </c>
      <c r="AI225" s="77" t="s">
        <v>1440</v>
      </c>
      <c r="AW225" s="78" t="str">
        <f>HYPERLINK("https://pbs.twimg.com/profile_images/1860362905734004736/Zuy7dk4E_normal.jpg")</f>
        <v>https://pbs.twimg.com/profile_images/1860362905734004736/Zuy7dk4E_normal.jpg</v>
      </c>
      <c r="AX225" s="77" t="s">
        <v>1924</v>
      </c>
      <c r="AY225" s="77" t="s">
        <v>2278</v>
      </c>
      <c r="AZ225" s="77" t="s">
        <v>2392</v>
      </c>
      <c r="BA225" s="77" t="s">
        <v>2278</v>
      </c>
      <c r="BB225" s="77" t="s">
        <v>2494</v>
      </c>
      <c r="BC225" s="77" t="s">
        <v>2494</v>
      </c>
      <c r="BD225" s="77" t="s">
        <v>2278</v>
      </c>
      <c r="BE225" s="77" t="s">
        <v>2552</v>
      </c>
      <c r="BK225" s="112" t="str">
        <f>REPLACE(INDEX(GroupVertices[Group], MATCH("~"&amp;Edges[[#This Row],[Vertex 1]],GroupVertices[Vertex],0)),1,1,"")</f>
        <v>80</v>
      </c>
      <c r="BL225" s="112" t="str">
        <f>REPLACE(INDEX(GroupVertices[Group], MATCH("~"&amp;Edges[[#This Row],[Vertex 2]],GroupVertices[Vertex],0)),1,1,"")</f>
        <v>80</v>
      </c>
    </row>
    <row r="226" spans="1:64" x14ac:dyDescent="0.25">
      <c r="A226" s="61" t="s">
        <v>266</v>
      </c>
      <c r="B226" s="61" t="s">
        <v>551</v>
      </c>
      <c r="C226" s="62"/>
      <c r="D226" s="63"/>
      <c r="E226" s="64"/>
      <c r="F226" s="65"/>
      <c r="G226" s="62"/>
      <c r="H226" s="66"/>
      <c r="I226" s="67"/>
      <c r="J226" s="67"/>
      <c r="K226" s="31"/>
      <c r="L226" s="75">
        <v>226</v>
      </c>
      <c r="M226"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26" s="69"/>
      <c r="O226" t="s">
        <v>701</v>
      </c>
      <c r="P226" s="76">
        <v>45506.766747685186</v>
      </c>
      <c r="Q226" t="s">
        <v>768</v>
      </c>
      <c r="R226" t="b">
        <v>0</v>
      </c>
      <c r="S226">
        <v>0</v>
      </c>
      <c r="T226">
        <v>0</v>
      </c>
      <c r="U226">
        <v>0</v>
      </c>
      <c r="V226">
        <v>0</v>
      </c>
      <c r="W226">
        <v>55</v>
      </c>
      <c r="AA226" t="s">
        <v>551</v>
      </c>
      <c r="AD226" s="77" t="s">
        <v>1367</v>
      </c>
      <c r="AE226" t="s">
        <v>1385</v>
      </c>
      <c r="AF226" s="78" t="str">
        <f>HYPERLINK("https://twitter.com/admisionescolar/status/1819439050056458364")</f>
        <v>https://twitter.com/admisionescolar/status/1819439050056458364</v>
      </c>
      <c r="AG226" s="76">
        <v>45506.766747685186</v>
      </c>
      <c r="AH226" s="80">
        <v>45506</v>
      </c>
      <c r="AI226" s="77" t="s">
        <v>1450</v>
      </c>
      <c r="AW226" s="78" t="str">
        <f>HYPERLINK("https://pbs.twimg.com/profile_images/1814702908295798784/D2-qs3dC_normal.jpg")</f>
        <v>https://pbs.twimg.com/profile_images/1814702908295798784/D2-qs3dC_normal.jpg</v>
      </c>
      <c r="AX226" s="77" t="s">
        <v>1934</v>
      </c>
      <c r="AY226" s="77" t="s">
        <v>2011</v>
      </c>
      <c r="AZ226" s="77" t="s">
        <v>2394</v>
      </c>
      <c r="BA226" s="77" t="s">
        <v>2501</v>
      </c>
      <c r="BB226" s="77" t="s">
        <v>2494</v>
      </c>
      <c r="BC226" s="77" t="s">
        <v>2494</v>
      </c>
      <c r="BD226" s="77" t="s">
        <v>2501</v>
      </c>
      <c r="BE226" s="77" t="s">
        <v>2553</v>
      </c>
      <c r="BK226" s="112" t="str">
        <f>REPLACE(INDEX(GroupVertices[Group], MATCH("~"&amp;Edges[[#This Row],[Vertex 1]],GroupVertices[Vertex],0)),1,1,"")</f>
        <v>5</v>
      </c>
      <c r="BL226" s="112" t="str">
        <f>REPLACE(INDEX(GroupVertices[Group], MATCH("~"&amp;Edges[[#This Row],[Vertex 2]],GroupVertices[Vertex],0)),1,1,"")</f>
        <v>5</v>
      </c>
    </row>
    <row r="227" spans="1:64" x14ac:dyDescent="0.25">
      <c r="A227" s="61" t="s">
        <v>398</v>
      </c>
      <c r="B227" s="61" t="s">
        <v>664</v>
      </c>
      <c r="C227" s="62"/>
      <c r="D227" s="63"/>
      <c r="E227" s="64"/>
      <c r="F227" s="65"/>
      <c r="G227" s="62"/>
      <c r="H227" s="66"/>
      <c r="I227" s="67"/>
      <c r="J227" s="67"/>
      <c r="K227" s="31"/>
      <c r="L227" s="75">
        <v>227</v>
      </c>
      <c r="M227"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27" s="69"/>
      <c r="O227" t="s">
        <v>703</v>
      </c>
      <c r="P227" s="76">
        <v>45509.543344907404</v>
      </c>
      <c r="Q227" t="s">
        <v>966</v>
      </c>
      <c r="R227" t="b">
        <v>0</v>
      </c>
      <c r="S227">
        <v>0</v>
      </c>
      <c r="T227">
        <v>0</v>
      </c>
      <c r="U227">
        <v>0</v>
      </c>
      <c r="V227">
        <v>0</v>
      </c>
      <c r="W227">
        <v>55</v>
      </c>
      <c r="AA227" t="s">
        <v>1250</v>
      </c>
      <c r="AD227" s="77" t="s">
        <v>1365</v>
      </c>
      <c r="AE227" t="s">
        <v>1385</v>
      </c>
      <c r="AF227" s="78" t="str">
        <f>HYPERLINK("https://twitter.com/gonzalorguezm/status/1820445253721059339")</f>
        <v>https://twitter.com/gonzalorguezm/status/1820445253721059339</v>
      </c>
      <c r="AG227" s="76">
        <v>45509.543344907404</v>
      </c>
      <c r="AH227" s="80">
        <v>45509</v>
      </c>
      <c r="AI227" s="77" t="s">
        <v>1646</v>
      </c>
      <c r="AW227" s="78" t="str">
        <f>HYPERLINK("https://pbs.twimg.com/profile_images/1923063487841927168/CDPK27Dr_normal.jpg")</f>
        <v>https://pbs.twimg.com/profile_images/1923063487841927168/CDPK27Dr_normal.jpg</v>
      </c>
      <c r="AX227" s="77" t="s">
        <v>2132</v>
      </c>
      <c r="AY227" s="77" t="s">
        <v>2341</v>
      </c>
      <c r="AZ227" s="77" t="s">
        <v>2459</v>
      </c>
      <c r="BA227" s="77" t="s">
        <v>2520</v>
      </c>
      <c r="BB227" s="77" t="s">
        <v>2494</v>
      </c>
      <c r="BC227" s="77" t="s">
        <v>2494</v>
      </c>
      <c r="BD227" s="77" t="s">
        <v>2520</v>
      </c>
      <c r="BE227" s="77" t="s">
        <v>2606</v>
      </c>
      <c r="BK227" s="112" t="str">
        <f>REPLACE(INDEX(GroupVertices[Group], MATCH("~"&amp;Edges[[#This Row],[Vertex 1]],GroupVertices[Vertex],0)),1,1,"")</f>
        <v>3</v>
      </c>
      <c r="BL227" s="112" t="str">
        <f>REPLACE(INDEX(GroupVertices[Group], MATCH("~"&amp;Edges[[#This Row],[Vertex 2]],GroupVertices[Vertex],0)),1,1,"")</f>
        <v>3</v>
      </c>
    </row>
    <row r="228" spans="1:64" x14ac:dyDescent="0.25">
      <c r="A228" s="61" t="s">
        <v>398</v>
      </c>
      <c r="B228" s="61" t="s">
        <v>665</v>
      </c>
      <c r="C228" s="62"/>
      <c r="D228" s="63"/>
      <c r="E228" s="64"/>
      <c r="F228" s="65"/>
      <c r="G228" s="62"/>
      <c r="H228" s="66"/>
      <c r="I228" s="67"/>
      <c r="J228" s="67"/>
      <c r="K228" s="31"/>
      <c r="L228" s="75">
        <v>228</v>
      </c>
      <c r="M228"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28" s="69"/>
      <c r="O228" t="s">
        <v>701</v>
      </c>
      <c r="P228" s="76">
        <v>45509.543344907404</v>
      </c>
      <c r="Q228" t="s">
        <v>966</v>
      </c>
      <c r="R228" t="b">
        <v>0</v>
      </c>
      <c r="S228">
        <v>0</v>
      </c>
      <c r="T228">
        <v>0</v>
      </c>
      <c r="U228">
        <v>0</v>
      </c>
      <c r="V228">
        <v>0</v>
      </c>
      <c r="W228">
        <v>55</v>
      </c>
      <c r="AA228" t="s">
        <v>1250</v>
      </c>
      <c r="AD228" s="77" t="s">
        <v>1365</v>
      </c>
      <c r="AE228" t="s">
        <v>1385</v>
      </c>
      <c r="AF228" s="78" t="str">
        <f>HYPERLINK("https://twitter.com/gonzalorguezm/status/1820445253721059339")</f>
        <v>https://twitter.com/gonzalorguezm/status/1820445253721059339</v>
      </c>
      <c r="AG228" s="76">
        <v>45509.543344907404</v>
      </c>
      <c r="AH228" s="80">
        <v>45509</v>
      </c>
      <c r="AI228" s="77" t="s">
        <v>1646</v>
      </c>
      <c r="AW228" s="78" t="str">
        <f>HYPERLINK("https://pbs.twimg.com/profile_images/1923063487841927168/CDPK27Dr_normal.jpg")</f>
        <v>https://pbs.twimg.com/profile_images/1923063487841927168/CDPK27Dr_normal.jpg</v>
      </c>
      <c r="AX228" s="77" t="s">
        <v>2132</v>
      </c>
      <c r="AY228" s="77" t="s">
        <v>2341</v>
      </c>
      <c r="AZ228" s="77" t="s">
        <v>2459</v>
      </c>
      <c r="BA228" s="77" t="s">
        <v>2520</v>
      </c>
      <c r="BB228" s="77" t="s">
        <v>2494</v>
      </c>
      <c r="BC228" s="77" t="s">
        <v>2494</v>
      </c>
      <c r="BD228" s="77" t="s">
        <v>2520</v>
      </c>
      <c r="BE228" s="77" t="s">
        <v>2606</v>
      </c>
      <c r="BK228" s="112" t="str">
        <f>REPLACE(INDEX(GroupVertices[Group], MATCH("~"&amp;Edges[[#This Row],[Vertex 1]],GroupVertices[Vertex],0)),1,1,"")</f>
        <v>3</v>
      </c>
      <c r="BL228" s="112" t="str">
        <f>REPLACE(INDEX(GroupVertices[Group], MATCH("~"&amp;Edges[[#This Row],[Vertex 2]],GroupVertices[Vertex],0)),1,1,"")</f>
        <v>3</v>
      </c>
    </row>
    <row r="229" spans="1:64" x14ac:dyDescent="0.25">
      <c r="A229" s="61" t="s">
        <v>333</v>
      </c>
      <c r="B229" s="61" t="s">
        <v>333</v>
      </c>
      <c r="C229" s="62"/>
      <c r="D229" s="63"/>
      <c r="E229" s="64"/>
      <c r="F229" s="65"/>
      <c r="G229" s="62"/>
      <c r="H229" s="66"/>
      <c r="I229" s="67"/>
      <c r="J229" s="67"/>
      <c r="K229" s="31"/>
      <c r="L229" s="75">
        <v>229</v>
      </c>
      <c r="M229"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29" s="69"/>
      <c r="O229" t="s">
        <v>177</v>
      </c>
      <c r="P229" s="76">
        <v>45511.032824074071</v>
      </c>
      <c r="Q229" t="s">
        <v>892</v>
      </c>
      <c r="R229" t="b">
        <v>0</v>
      </c>
      <c r="S229">
        <v>0</v>
      </c>
      <c r="T229">
        <v>1</v>
      </c>
      <c r="U229">
        <v>0</v>
      </c>
      <c r="V229">
        <v>0</v>
      </c>
      <c r="W229">
        <v>53</v>
      </c>
      <c r="AB229" t="s">
        <v>1305</v>
      </c>
      <c r="AC229" t="s">
        <v>1359</v>
      </c>
      <c r="AD229" s="77" t="s">
        <v>1367</v>
      </c>
      <c r="AE229" t="s">
        <v>1385</v>
      </c>
      <c r="AF229" s="78" t="str">
        <f>HYPERLINK("https://twitter.com/tombolauy/status/1820985022775537881")</f>
        <v>https://twitter.com/tombolauy/status/1820985022775537881</v>
      </c>
      <c r="AG229" s="76">
        <v>45511.032824074071</v>
      </c>
      <c r="AH229" s="80">
        <v>45511</v>
      </c>
      <c r="AI229" s="77" t="s">
        <v>1572</v>
      </c>
      <c r="AJ229" t="b">
        <v>0</v>
      </c>
      <c r="AR229" t="s">
        <v>1818</v>
      </c>
      <c r="AW229" s="78" t="str">
        <f>HYPERLINK("https://pbs.twimg.com/media/GUVwOPsXoAAPPb-.jpg")</f>
        <v>https://pbs.twimg.com/media/GUVwOPsXoAAPPb-.jpg</v>
      </c>
      <c r="AX229" s="77" t="s">
        <v>2058</v>
      </c>
      <c r="AY229" s="77" t="s">
        <v>2058</v>
      </c>
      <c r="BA229" s="77" t="s">
        <v>2494</v>
      </c>
      <c r="BB229" s="77" t="s">
        <v>2494</v>
      </c>
      <c r="BC229" s="77" t="s">
        <v>2494</v>
      </c>
      <c r="BD229" s="77" t="s">
        <v>2058</v>
      </c>
      <c r="BE229" s="77" t="s">
        <v>2579</v>
      </c>
      <c r="BK229" s="112" t="str">
        <f>REPLACE(INDEX(GroupVertices[Group], MATCH("~"&amp;Edges[[#This Row],[Vertex 1]],GroupVertices[Vertex],0)),1,1,"")</f>
        <v>167</v>
      </c>
      <c r="BL229" s="112" t="str">
        <f>REPLACE(INDEX(GroupVertices[Group], MATCH("~"&amp;Edges[[#This Row],[Vertex 2]],GroupVertices[Vertex],0)),1,1,"")</f>
        <v>167</v>
      </c>
    </row>
    <row r="230" spans="1:64" x14ac:dyDescent="0.25">
      <c r="A230" s="61" t="s">
        <v>462</v>
      </c>
      <c r="B230" s="61" t="s">
        <v>462</v>
      </c>
      <c r="C230" s="62"/>
      <c r="D230" s="63"/>
      <c r="E230" s="64"/>
      <c r="F230" s="65"/>
      <c r="G230" s="62"/>
      <c r="H230" s="66"/>
      <c r="I230" s="67"/>
      <c r="J230" s="67"/>
      <c r="K230" s="31"/>
      <c r="L230" s="75">
        <v>230</v>
      </c>
      <c r="M230"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30" s="69"/>
      <c r="O230" t="s">
        <v>177</v>
      </c>
      <c r="P230" s="76">
        <v>45505.516342592593</v>
      </c>
      <c r="Q230" t="s">
        <v>1039</v>
      </c>
      <c r="R230" t="b">
        <v>0</v>
      </c>
      <c r="S230">
        <v>0</v>
      </c>
      <c r="T230">
        <v>0</v>
      </c>
      <c r="U230">
        <v>0</v>
      </c>
      <c r="V230">
        <v>0</v>
      </c>
      <c r="W230">
        <v>53</v>
      </c>
      <c r="Y230" s="78" t="str">
        <f>HYPERLINK("http://www.tiroalblanco.cl")</f>
        <v>http://www.tiroalblanco.cl</v>
      </c>
      <c r="Z230" t="s">
        <v>1199</v>
      </c>
      <c r="AD230" s="77" t="s">
        <v>1367</v>
      </c>
      <c r="AE230" t="s">
        <v>1385</v>
      </c>
      <c r="AF230" s="78" t="str">
        <f>HYPERLINK("https://twitter.com/1tiroalblanco1/status/1818985916377010432")</f>
        <v>https://twitter.com/1tiroalblanco1/status/1818985916377010432</v>
      </c>
      <c r="AG230" s="76">
        <v>45505.516342592593</v>
      </c>
      <c r="AH230" s="80">
        <v>45505</v>
      </c>
      <c r="AI230" s="77" t="s">
        <v>1717</v>
      </c>
      <c r="AJ230" t="b">
        <v>0</v>
      </c>
      <c r="AW230" s="78" t="str">
        <f>HYPERLINK("https://pbs.twimg.com/profile_images/1432413180970610689/7NtcFMvq_normal.jpg")</f>
        <v>https://pbs.twimg.com/profile_images/1432413180970610689/7NtcFMvq_normal.jpg</v>
      </c>
      <c r="AX230" s="77" t="s">
        <v>2205</v>
      </c>
      <c r="AY230" s="77" t="s">
        <v>2205</v>
      </c>
      <c r="BA230" s="77" t="s">
        <v>2494</v>
      </c>
      <c r="BB230" s="77" t="s">
        <v>2494</v>
      </c>
      <c r="BC230" s="77" t="s">
        <v>2494</v>
      </c>
      <c r="BD230" s="77" t="s">
        <v>2205</v>
      </c>
      <c r="BE230">
        <v>283190504</v>
      </c>
      <c r="BK230" s="112" t="str">
        <f>REPLACE(INDEX(GroupVertices[Group], MATCH("~"&amp;Edges[[#This Row],[Vertex 1]],GroupVertices[Vertex],0)),1,1,"")</f>
        <v>142</v>
      </c>
      <c r="BL230" s="112" t="str">
        <f>REPLACE(INDEX(GroupVertices[Group], MATCH("~"&amp;Edges[[#This Row],[Vertex 2]],GroupVertices[Vertex],0)),1,1,"")</f>
        <v>142</v>
      </c>
    </row>
    <row r="231" spans="1:64" x14ac:dyDescent="0.25">
      <c r="A231" s="61" t="s">
        <v>248</v>
      </c>
      <c r="B231" s="61" t="s">
        <v>530</v>
      </c>
      <c r="C231" s="62"/>
      <c r="D231" s="63"/>
      <c r="E231" s="64"/>
      <c r="F231" s="65"/>
      <c r="G231" s="62"/>
      <c r="H231" s="66"/>
      <c r="I231" s="67"/>
      <c r="J231" s="67"/>
      <c r="K231" s="31"/>
      <c r="L231" s="75">
        <v>231</v>
      </c>
      <c r="M231"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31" s="69"/>
      <c r="O231" t="s">
        <v>703</v>
      </c>
      <c r="P231" s="76">
        <v>45510.571296296293</v>
      </c>
      <c r="Q231" t="s">
        <v>739</v>
      </c>
      <c r="R231" t="b">
        <v>0</v>
      </c>
      <c r="S231">
        <v>1</v>
      </c>
      <c r="T231">
        <v>3</v>
      </c>
      <c r="U231">
        <v>1</v>
      </c>
      <c r="V231">
        <v>0</v>
      </c>
      <c r="W231">
        <v>52</v>
      </c>
      <c r="AA231" t="s">
        <v>1215</v>
      </c>
      <c r="AD231" s="77" t="s">
        <v>1365</v>
      </c>
      <c r="AE231" t="s">
        <v>1385</v>
      </c>
      <c r="AF231" s="78" t="str">
        <f>HYPERLINK("https://twitter.com/ggilsanz/status/1820817771384492490")</f>
        <v>https://twitter.com/ggilsanz/status/1820817771384492490</v>
      </c>
      <c r="AG231" s="76">
        <v>45510.571296296293</v>
      </c>
      <c r="AH231" s="80">
        <v>45510</v>
      </c>
      <c r="AI231" s="77" t="s">
        <v>1421</v>
      </c>
      <c r="AW231" s="78" t="str">
        <f>HYPERLINK("https://pbs.twimg.com/profile_images/2859753093/2c543100ac860383fc1bd0a2e94aa1b6_normal.png")</f>
        <v>https://pbs.twimg.com/profile_images/2859753093/2c543100ac860383fc1bd0a2e94aa1b6_normal.png</v>
      </c>
      <c r="AX231" s="77" t="s">
        <v>1905</v>
      </c>
      <c r="AY231" s="77" t="s">
        <v>2270</v>
      </c>
      <c r="AZ231" s="77" t="s">
        <v>2384</v>
      </c>
      <c r="BA231" s="77" t="s">
        <v>2270</v>
      </c>
      <c r="BB231" s="77" t="s">
        <v>2494</v>
      </c>
      <c r="BC231" s="77" t="s">
        <v>2494</v>
      </c>
      <c r="BD231" s="77" t="s">
        <v>2270</v>
      </c>
      <c r="BE231">
        <v>331897934</v>
      </c>
      <c r="BK231" s="112" t="str">
        <f>REPLACE(INDEX(GroupVertices[Group], MATCH("~"&amp;Edges[[#This Row],[Vertex 1]],GroupVertices[Vertex],0)),1,1,"")</f>
        <v>26</v>
      </c>
      <c r="BL231" s="112" t="str">
        <f>REPLACE(INDEX(GroupVertices[Group], MATCH("~"&amp;Edges[[#This Row],[Vertex 2]],GroupVertices[Vertex],0)),1,1,"")</f>
        <v>26</v>
      </c>
    </row>
    <row r="232" spans="1:64" x14ac:dyDescent="0.25">
      <c r="A232" s="61" t="s">
        <v>248</v>
      </c>
      <c r="B232" s="61" t="s">
        <v>531</v>
      </c>
      <c r="C232" s="62"/>
      <c r="D232" s="63"/>
      <c r="E232" s="64"/>
      <c r="F232" s="65"/>
      <c r="G232" s="62"/>
      <c r="H232" s="66"/>
      <c r="I232" s="67"/>
      <c r="J232" s="67"/>
      <c r="K232" s="31"/>
      <c r="L232" s="75">
        <v>232</v>
      </c>
      <c r="M232"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32" s="69"/>
      <c r="O232" t="s">
        <v>701</v>
      </c>
      <c r="P232" s="76">
        <v>45510.571296296293</v>
      </c>
      <c r="Q232" t="s">
        <v>739</v>
      </c>
      <c r="R232" t="b">
        <v>0</v>
      </c>
      <c r="S232">
        <v>1</v>
      </c>
      <c r="T232">
        <v>3</v>
      </c>
      <c r="U232">
        <v>1</v>
      </c>
      <c r="V232">
        <v>0</v>
      </c>
      <c r="W232">
        <v>52</v>
      </c>
      <c r="AA232" t="s">
        <v>1215</v>
      </c>
      <c r="AD232" s="77" t="s">
        <v>1365</v>
      </c>
      <c r="AE232" t="s">
        <v>1385</v>
      </c>
      <c r="AF232" s="78" t="str">
        <f>HYPERLINK("https://twitter.com/ggilsanz/status/1820817771384492490")</f>
        <v>https://twitter.com/ggilsanz/status/1820817771384492490</v>
      </c>
      <c r="AG232" s="76">
        <v>45510.571296296293</v>
      </c>
      <c r="AH232" s="80">
        <v>45510</v>
      </c>
      <c r="AI232" s="77" t="s">
        <v>1421</v>
      </c>
      <c r="AW232" s="78" t="str">
        <f>HYPERLINK("https://pbs.twimg.com/profile_images/2859753093/2c543100ac860383fc1bd0a2e94aa1b6_normal.png")</f>
        <v>https://pbs.twimg.com/profile_images/2859753093/2c543100ac860383fc1bd0a2e94aa1b6_normal.png</v>
      </c>
      <c r="AX232" s="77" t="s">
        <v>1905</v>
      </c>
      <c r="AY232" s="77" t="s">
        <v>2270</v>
      </c>
      <c r="AZ232" s="77" t="s">
        <v>2384</v>
      </c>
      <c r="BA232" s="77" t="s">
        <v>2270</v>
      </c>
      <c r="BB232" s="77" t="s">
        <v>2494</v>
      </c>
      <c r="BC232" s="77" t="s">
        <v>2494</v>
      </c>
      <c r="BD232" s="77" t="s">
        <v>2270</v>
      </c>
      <c r="BE232">
        <v>331897934</v>
      </c>
      <c r="BK232" s="112" t="str">
        <f>REPLACE(INDEX(GroupVertices[Group], MATCH("~"&amp;Edges[[#This Row],[Vertex 1]],GroupVertices[Vertex],0)),1,1,"")</f>
        <v>26</v>
      </c>
      <c r="BL232" s="112" t="str">
        <f>REPLACE(INDEX(GroupVertices[Group], MATCH("~"&amp;Edges[[#This Row],[Vertex 2]],GroupVertices[Vertex],0)),1,1,"")</f>
        <v>26</v>
      </c>
    </row>
    <row r="233" spans="1:64" x14ac:dyDescent="0.25">
      <c r="A233" s="61" t="s">
        <v>322</v>
      </c>
      <c r="B233" s="61" t="s">
        <v>607</v>
      </c>
      <c r="C233" s="62"/>
      <c r="D233" s="63"/>
      <c r="E233" s="64"/>
      <c r="F233" s="65"/>
      <c r="G233" s="62"/>
      <c r="H233" s="66"/>
      <c r="I233" s="67"/>
      <c r="J233" s="67"/>
      <c r="K233" s="31"/>
      <c r="L233" s="75">
        <v>233</v>
      </c>
      <c r="M233"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33" s="69"/>
      <c r="O233" t="s">
        <v>701</v>
      </c>
      <c r="P233" s="76">
        <v>45509.028483796297</v>
      </c>
      <c r="Q233" t="s">
        <v>873</v>
      </c>
      <c r="R233" t="b">
        <v>0</v>
      </c>
      <c r="S233">
        <v>0</v>
      </c>
      <c r="T233">
        <v>0</v>
      </c>
      <c r="U233">
        <v>1</v>
      </c>
      <c r="V233">
        <v>0</v>
      </c>
      <c r="W233">
        <v>52</v>
      </c>
      <c r="AA233" t="s">
        <v>1236</v>
      </c>
      <c r="AD233" s="77" t="s">
        <v>1366</v>
      </c>
      <c r="AE233" t="s">
        <v>1385</v>
      </c>
      <c r="AF233" s="78" t="str">
        <f>HYPERLINK("https://twitter.com/_mpez/status/1820258675820245316")</f>
        <v>https://twitter.com/_mpez/status/1820258675820245316</v>
      </c>
      <c r="AG233" s="76">
        <v>45509.028483796297</v>
      </c>
      <c r="AH233" s="80">
        <v>45509</v>
      </c>
      <c r="AI233" s="77" t="s">
        <v>1554</v>
      </c>
      <c r="AW233" s="78" t="str">
        <f>HYPERLINK("https://pbs.twimg.com/profile_images/1500979201897164800/tfDltMA9_normal.jpg")</f>
        <v>https://pbs.twimg.com/profile_images/1500979201897164800/tfDltMA9_normal.jpg</v>
      </c>
      <c r="AX233" s="77" t="s">
        <v>2039</v>
      </c>
      <c r="AY233" s="77" t="s">
        <v>2309</v>
      </c>
      <c r="AZ233" s="77" t="s">
        <v>2428</v>
      </c>
      <c r="BA233" s="77" t="s">
        <v>2511</v>
      </c>
      <c r="BB233" s="77" t="s">
        <v>2494</v>
      </c>
      <c r="BC233" s="77" t="s">
        <v>2494</v>
      </c>
      <c r="BD233" s="77" t="s">
        <v>2511</v>
      </c>
      <c r="BE233">
        <v>59316426</v>
      </c>
      <c r="BK233" s="112" t="str">
        <f>REPLACE(INDEX(GroupVertices[Group], MATCH("~"&amp;Edges[[#This Row],[Vertex 1]],GroupVertices[Vertex],0)),1,1,"")</f>
        <v>1</v>
      </c>
      <c r="BL233" s="112" t="str">
        <f>REPLACE(INDEX(GroupVertices[Group], MATCH("~"&amp;Edges[[#This Row],[Vertex 2]],GroupVertices[Vertex],0)),1,1,"")</f>
        <v>1</v>
      </c>
    </row>
    <row r="234" spans="1:64" x14ac:dyDescent="0.25">
      <c r="A234" s="61" t="s">
        <v>322</v>
      </c>
      <c r="B234" s="61" t="s">
        <v>497</v>
      </c>
      <c r="C234" s="62"/>
      <c r="D234" s="63"/>
      <c r="E234" s="64"/>
      <c r="F234" s="65"/>
      <c r="G234" s="62"/>
      <c r="H234" s="66"/>
      <c r="I234" s="67"/>
      <c r="J234" s="67"/>
      <c r="K234" s="31"/>
      <c r="L234" s="75">
        <v>234</v>
      </c>
      <c r="M234"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34" s="69"/>
      <c r="O234" t="s">
        <v>703</v>
      </c>
      <c r="P234" s="76">
        <v>45509.028483796297</v>
      </c>
      <c r="Q234" t="s">
        <v>873</v>
      </c>
      <c r="R234" t="b">
        <v>0</v>
      </c>
      <c r="S234">
        <v>0</v>
      </c>
      <c r="T234">
        <v>0</v>
      </c>
      <c r="U234">
        <v>1</v>
      </c>
      <c r="V234">
        <v>0</v>
      </c>
      <c r="W234">
        <v>52</v>
      </c>
      <c r="AA234" t="s">
        <v>1236</v>
      </c>
      <c r="AD234" s="77" t="s">
        <v>1366</v>
      </c>
      <c r="AE234" t="s">
        <v>1385</v>
      </c>
      <c r="AF234" s="78" t="str">
        <f>HYPERLINK("https://twitter.com/_mpez/status/1820258675820245316")</f>
        <v>https://twitter.com/_mpez/status/1820258675820245316</v>
      </c>
      <c r="AG234" s="76">
        <v>45509.028483796297</v>
      </c>
      <c r="AH234" s="80">
        <v>45509</v>
      </c>
      <c r="AI234" s="77" t="s">
        <v>1554</v>
      </c>
      <c r="AW234" s="78" t="str">
        <f>HYPERLINK("https://pbs.twimg.com/profile_images/1500979201897164800/tfDltMA9_normal.jpg")</f>
        <v>https://pbs.twimg.com/profile_images/1500979201897164800/tfDltMA9_normal.jpg</v>
      </c>
      <c r="AX234" s="77" t="s">
        <v>2039</v>
      </c>
      <c r="AY234" s="77" t="s">
        <v>2309</v>
      </c>
      <c r="AZ234" s="77" t="s">
        <v>2428</v>
      </c>
      <c r="BA234" s="77" t="s">
        <v>2511</v>
      </c>
      <c r="BB234" s="77" t="s">
        <v>2494</v>
      </c>
      <c r="BC234" s="77" t="s">
        <v>2494</v>
      </c>
      <c r="BD234" s="77" t="s">
        <v>2511</v>
      </c>
      <c r="BE234">
        <v>59316426</v>
      </c>
      <c r="BK234" s="112" t="str">
        <f>REPLACE(INDEX(GroupVertices[Group], MATCH("~"&amp;Edges[[#This Row],[Vertex 1]],GroupVertices[Vertex],0)),1,1,"")</f>
        <v>1</v>
      </c>
      <c r="BL234" s="112" t="str">
        <f>REPLACE(INDEX(GroupVertices[Group], MATCH("~"&amp;Edges[[#This Row],[Vertex 2]],GroupVertices[Vertex],0)),1,1,"")</f>
        <v>1</v>
      </c>
    </row>
    <row r="235" spans="1:64" x14ac:dyDescent="0.25">
      <c r="A235" s="61" t="s">
        <v>333</v>
      </c>
      <c r="B235" s="61" t="s">
        <v>333</v>
      </c>
      <c r="C235" s="62"/>
      <c r="D235" s="63"/>
      <c r="E235" s="64"/>
      <c r="F235" s="65"/>
      <c r="G235" s="62"/>
      <c r="H235" s="66"/>
      <c r="I235" s="67"/>
      <c r="J235" s="67"/>
      <c r="K235" s="31"/>
      <c r="L235" s="75">
        <v>235</v>
      </c>
      <c r="M235"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35" s="69"/>
      <c r="O235" t="s">
        <v>177</v>
      </c>
      <c r="P235" s="76">
        <v>45506.504895833335</v>
      </c>
      <c r="Q235" t="s">
        <v>891</v>
      </c>
      <c r="R235" t="b">
        <v>0</v>
      </c>
      <c r="S235">
        <v>0</v>
      </c>
      <c r="T235">
        <v>2</v>
      </c>
      <c r="U235">
        <v>0</v>
      </c>
      <c r="V235">
        <v>0</v>
      </c>
      <c r="W235">
        <v>52</v>
      </c>
      <c r="AB235" t="s">
        <v>1304</v>
      </c>
      <c r="AC235" t="s">
        <v>1359</v>
      </c>
      <c r="AD235" s="77" t="s">
        <v>1367</v>
      </c>
      <c r="AE235" t="s">
        <v>1385</v>
      </c>
      <c r="AF235" s="78" t="str">
        <f>HYPERLINK("https://twitter.com/tombolauy/status/1819344157074194861")</f>
        <v>https://twitter.com/tombolauy/status/1819344157074194861</v>
      </c>
      <c r="AG235" s="76">
        <v>45506.504895833335</v>
      </c>
      <c r="AH235" s="80">
        <v>45506</v>
      </c>
      <c r="AI235" s="77" t="s">
        <v>1571</v>
      </c>
      <c r="AJ235" t="b">
        <v>0</v>
      </c>
      <c r="AR235" t="s">
        <v>1817</v>
      </c>
      <c r="AW235" s="78" t="str">
        <f>HYPERLINK("https://pbs.twimg.com/media/GT-b3GIWsAEUqah.jpg")</f>
        <v>https://pbs.twimg.com/media/GT-b3GIWsAEUqah.jpg</v>
      </c>
      <c r="AX235" s="77" t="s">
        <v>2057</v>
      </c>
      <c r="AY235" s="77" t="s">
        <v>2057</v>
      </c>
      <c r="BA235" s="77" t="s">
        <v>2494</v>
      </c>
      <c r="BB235" s="77" t="s">
        <v>2494</v>
      </c>
      <c r="BC235" s="77" t="s">
        <v>2494</v>
      </c>
      <c r="BD235" s="77" t="s">
        <v>2057</v>
      </c>
      <c r="BE235" s="77" t="s">
        <v>2579</v>
      </c>
      <c r="BK235" s="112" t="str">
        <f>REPLACE(INDEX(GroupVertices[Group], MATCH("~"&amp;Edges[[#This Row],[Vertex 1]],GroupVertices[Vertex],0)),1,1,"")</f>
        <v>167</v>
      </c>
      <c r="BL235" s="112" t="str">
        <f>REPLACE(INDEX(GroupVertices[Group], MATCH("~"&amp;Edges[[#This Row],[Vertex 2]],GroupVertices[Vertex],0)),1,1,"")</f>
        <v>167</v>
      </c>
    </row>
    <row r="236" spans="1:64" x14ac:dyDescent="0.25">
      <c r="A236" s="61" t="s">
        <v>392</v>
      </c>
      <c r="B236" s="61" t="s">
        <v>392</v>
      </c>
      <c r="C236" s="62"/>
      <c r="D236" s="63"/>
      <c r="E236" s="64"/>
      <c r="F236" s="65"/>
      <c r="G236" s="62"/>
      <c r="H236" s="66"/>
      <c r="I236" s="67"/>
      <c r="J236" s="67"/>
      <c r="K236" s="31"/>
      <c r="L236" s="75">
        <v>236</v>
      </c>
      <c r="M236"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36" s="69"/>
      <c r="O236" t="s">
        <v>701</v>
      </c>
      <c r="P236" s="76">
        <v>45505.790023148147</v>
      </c>
      <c r="Q236" t="s">
        <v>959</v>
      </c>
      <c r="R236" t="b">
        <v>0</v>
      </c>
      <c r="S236">
        <v>3</v>
      </c>
      <c r="T236">
        <v>3</v>
      </c>
      <c r="U236">
        <v>1</v>
      </c>
      <c r="V236">
        <v>0</v>
      </c>
      <c r="W236">
        <v>52</v>
      </c>
      <c r="AB236" t="s">
        <v>1324</v>
      </c>
      <c r="AC236" t="s">
        <v>1363</v>
      </c>
      <c r="AD236" s="77" t="s">
        <v>1366</v>
      </c>
      <c r="AE236" t="s">
        <v>1385</v>
      </c>
      <c r="AF236" s="78" t="str">
        <f>HYPERLINK("https://twitter.com/politicaspba/status/1819085095837552826")</f>
        <v>https://twitter.com/politicaspba/status/1819085095837552826</v>
      </c>
      <c r="AG236" s="76">
        <v>45505.790023148147</v>
      </c>
      <c r="AH236" s="80">
        <v>45505</v>
      </c>
      <c r="AI236" s="77" t="s">
        <v>1639</v>
      </c>
      <c r="AJ236" t="b">
        <v>0</v>
      </c>
      <c r="AR236" t="s">
        <v>1837</v>
      </c>
      <c r="AW236" s="78" t="str">
        <f>HYPERLINK("https://pbs.twimg.com/media/GT6wP_MWYAAV4Or.jpg")</f>
        <v>https://pbs.twimg.com/media/GT6wP_MWYAAV4Or.jpg</v>
      </c>
      <c r="AX236" s="77" t="s">
        <v>2125</v>
      </c>
      <c r="AY236" s="77" t="s">
        <v>2338</v>
      </c>
      <c r="AZ236" s="77" t="s">
        <v>2456</v>
      </c>
      <c r="BA236" s="77" t="s">
        <v>2338</v>
      </c>
      <c r="BB236" s="77" t="s">
        <v>2494</v>
      </c>
      <c r="BC236" s="77" t="s">
        <v>2494</v>
      </c>
      <c r="BD236" s="77" t="s">
        <v>2338</v>
      </c>
      <c r="BE236" s="77" t="s">
        <v>2456</v>
      </c>
      <c r="BK236" s="112" t="str">
        <f>REPLACE(INDEX(GroupVertices[Group], MATCH("~"&amp;Edges[[#This Row],[Vertex 1]],GroupVertices[Vertex],0)),1,1,"")</f>
        <v>141</v>
      </c>
      <c r="BL236" s="112" t="str">
        <f>REPLACE(INDEX(GroupVertices[Group], MATCH("~"&amp;Edges[[#This Row],[Vertex 2]],GroupVertices[Vertex],0)),1,1,"")</f>
        <v>141</v>
      </c>
    </row>
    <row r="237" spans="1:64" x14ac:dyDescent="0.25">
      <c r="A237" s="61" t="s">
        <v>266</v>
      </c>
      <c r="B237" s="61" t="s">
        <v>542</v>
      </c>
      <c r="C237" s="62"/>
      <c r="D237" s="63"/>
      <c r="E237" s="64"/>
      <c r="F237" s="65"/>
      <c r="G237" s="62"/>
      <c r="H237" s="66"/>
      <c r="I237" s="67"/>
      <c r="J237" s="67"/>
      <c r="K237" s="31"/>
      <c r="L237" s="75">
        <v>237</v>
      </c>
      <c r="M237"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37" s="69"/>
      <c r="O237" t="s">
        <v>703</v>
      </c>
      <c r="P237" s="76">
        <v>45508.70716435185</v>
      </c>
      <c r="Q237" t="s">
        <v>759</v>
      </c>
      <c r="R237" t="b">
        <v>0</v>
      </c>
      <c r="S237">
        <v>0</v>
      </c>
      <c r="T237">
        <v>0</v>
      </c>
      <c r="U237">
        <v>0</v>
      </c>
      <c r="V237">
        <v>0</v>
      </c>
      <c r="W237">
        <v>51</v>
      </c>
      <c r="AA237" t="s">
        <v>1218</v>
      </c>
      <c r="AD237" s="77" t="s">
        <v>1367</v>
      </c>
      <c r="AE237" t="s">
        <v>1385</v>
      </c>
      <c r="AF237" s="78" t="str">
        <f>HYPERLINK("https://twitter.com/admisionescolar/status/1820142233053786354")</f>
        <v>https://twitter.com/admisionescolar/status/1820142233053786354</v>
      </c>
      <c r="AG237" s="76">
        <v>45508.70716435185</v>
      </c>
      <c r="AH237" s="80">
        <v>45508</v>
      </c>
      <c r="AI237" s="77" t="s">
        <v>1441</v>
      </c>
      <c r="AW237" s="78" t="str">
        <f>HYPERLINK("https://pbs.twimg.com/profile_images/1814702908295798784/D2-qs3dC_normal.jpg")</f>
        <v>https://pbs.twimg.com/profile_images/1814702908295798784/D2-qs3dC_normal.jpg</v>
      </c>
      <c r="AX237" s="77" t="s">
        <v>1925</v>
      </c>
      <c r="AY237" s="77" t="s">
        <v>2279</v>
      </c>
      <c r="AZ237" s="77" t="s">
        <v>2393</v>
      </c>
      <c r="BA237" s="77" t="s">
        <v>2279</v>
      </c>
      <c r="BB237" s="77" t="s">
        <v>2494</v>
      </c>
      <c r="BC237" s="77" t="s">
        <v>2494</v>
      </c>
      <c r="BD237" s="77" t="s">
        <v>2279</v>
      </c>
      <c r="BE237" s="77" t="s">
        <v>2553</v>
      </c>
      <c r="BK237" s="112" t="str">
        <f>REPLACE(INDEX(GroupVertices[Group], MATCH("~"&amp;Edges[[#This Row],[Vertex 1]],GroupVertices[Vertex],0)),1,1,"")</f>
        <v>5</v>
      </c>
      <c r="BL237" s="112" t="str">
        <f>REPLACE(INDEX(GroupVertices[Group], MATCH("~"&amp;Edges[[#This Row],[Vertex 2]],GroupVertices[Vertex],0)),1,1,"")</f>
        <v>5</v>
      </c>
    </row>
    <row r="238" spans="1:64" x14ac:dyDescent="0.25">
      <c r="A238" s="61" t="s">
        <v>266</v>
      </c>
      <c r="B238" s="61" t="s">
        <v>543</v>
      </c>
      <c r="C238" s="62"/>
      <c r="D238" s="63"/>
      <c r="E238" s="64"/>
      <c r="F238" s="65"/>
      <c r="G238" s="62"/>
      <c r="H238" s="66"/>
      <c r="I238" s="67"/>
      <c r="J238" s="67"/>
      <c r="K238" s="31"/>
      <c r="L238" s="75">
        <v>238</v>
      </c>
      <c r="M238"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38" s="69"/>
      <c r="O238" t="s">
        <v>701</v>
      </c>
      <c r="P238" s="76">
        <v>45508.70716435185</v>
      </c>
      <c r="Q238" t="s">
        <v>759</v>
      </c>
      <c r="R238" t="b">
        <v>0</v>
      </c>
      <c r="S238">
        <v>0</v>
      </c>
      <c r="T238">
        <v>0</v>
      </c>
      <c r="U238">
        <v>0</v>
      </c>
      <c r="V238">
        <v>0</v>
      </c>
      <c r="W238">
        <v>51</v>
      </c>
      <c r="AA238" t="s">
        <v>1218</v>
      </c>
      <c r="AD238" s="77" t="s">
        <v>1367</v>
      </c>
      <c r="AE238" t="s">
        <v>1385</v>
      </c>
      <c r="AF238" s="78" t="str">
        <f>HYPERLINK("https://twitter.com/admisionescolar/status/1820142233053786354")</f>
        <v>https://twitter.com/admisionescolar/status/1820142233053786354</v>
      </c>
      <c r="AG238" s="76">
        <v>45508.70716435185</v>
      </c>
      <c r="AH238" s="80">
        <v>45508</v>
      </c>
      <c r="AI238" s="77" t="s">
        <v>1441</v>
      </c>
      <c r="AW238" s="78" t="str">
        <f>HYPERLINK("https://pbs.twimg.com/profile_images/1814702908295798784/D2-qs3dC_normal.jpg")</f>
        <v>https://pbs.twimg.com/profile_images/1814702908295798784/D2-qs3dC_normal.jpg</v>
      </c>
      <c r="AX238" s="77" t="s">
        <v>1925</v>
      </c>
      <c r="AY238" s="77" t="s">
        <v>2279</v>
      </c>
      <c r="AZ238" s="77" t="s">
        <v>2393</v>
      </c>
      <c r="BA238" s="77" t="s">
        <v>2279</v>
      </c>
      <c r="BB238" s="77" t="s">
        <v>2494</v>
      </c>
      <c r="BC238" s="77" t="s">
        <v>2494</v>
      </c>
      <c r="BD238" s="77" t="s">
        <v>2279</v>
      </c>
      <c r="BE238" s="77" t="s">
        <v>2553</v>
      </c>
      <c r="BK238" s="112" t="str">
        <f>REPLACE(INDEX(GroupVertices[Group], MATCH("~"&amp;Edges[[#This Row],[Vertex 1]],GroupVertices[Vertex],0)),1,1,"")</f>
        <v>5</v>
      </c>
      <c r="BL238" s="112" t="str">
        <f>REPLACE(INDEX(GroupVertices[Group], MATCH("~"&amp;Edges[[#This Row],[Vertex 2]],GroupVertices[Vertex],0)),1,1,"")</f>
        <v>5</v>
      </c>
    </row>
    <row r="239" spans="1:64" x14ac:dyDescent="0.25">
      <c r="A239" s="61" t="s">
        <v>266</v>
      </c>
      <c r="B239" s="61" t="s">
        <v>497</v>
      </c>
      <c r="C239" s="62"/>
      <c r="D239" s="63"/>
      <c r="E239" s="64"/>
      <c r="F239" s="65"/>
      <c r="G239" s="62"/>
      <c r="H239" s="66"/>
      <c r="I239" s="67"/>
      <c r="J239" s="67"/>
      <c r="K239" s="31"/>
      <c r="L239" s="75">
        <v>239</v>
      </c>
      <c r="M239"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39" s="69"/>
      <c r="O239" t="s">
        <v>703</v>
      </c>
      <c r="P239" s="76">
        <v>45508.70716435185</v>
      </c>
      <c r="Q239" t="s">
        <v>759</v>
      </c>
      <c r="R239" t="b">
        <v>0</v>
      </c>
      <c r="S239">
        <v>0</v>
      </c>
      <c r="T239">
        <v>0</v>
      </c>
      <c r="U239">
        <v>0</v>
      </c>
      <c r="V239">
        <v>0</v>
      </c>
      <c r="W239">
        <v>51</v>
      </c>
      <c r="AA239" t="s">
        <v>1218</v>
      </c>
      <c r="AD239" s="77" t="s">
        <v>1367</v>
      </c>
      <c r="AE239" t="s">
        <v>1385</v>
      </c>
      <c r="AF239" s="78" t="str">
        <f>HYPERLINK("https://twitter.com/admisionescolar/status/1820142233053786354")</f>
        <v>https://twitter.com/admisionescolar/status/1820142233053786354</v>
      </c>
      <c r="AG239" s="76">
        <v>45508.70716435185</v>
      </c>
      <c r="AH239" s="80">
        <v>45508</v>
      </c>
      <c r="AI239" s="77" t="s">
        <v>1441</v>
      </c>
      <c r="AW239" s="78" t="str">
        <f>HYPERLINK("https://pbs.twimg.com/profile_images/1814702908295798784/D2-qs3dC_normal.jpg")</f>
        <v>https://pbs.twimg.com/profile_images/1814702908295798784/D2-qs3dC_normal.jpg</v>
      </c>
      <c r="AX239" s="77" t="s">
        <v>1925</v>
      </c>
      <c r="AY239" s="77" t="s">
        <v>2279</v>
      </c>
      <c r="AZ239" s="77" t="s">
        <v>2393</v>
      </c>
      <c r="BA239" s="77" t="s">
        <v>2279</v>
      </c>
      <c r="BB239" s="77" t="s">
        <v>2494</v>
      </c>
      <c r="BC239" s="77" t="s">
        <v>2494</v>
      </c>
      <c r="BD239" s="77" t="s">
        <v>2279</v>
      </c>
      <c r="BE239" s="77" t="s">
        <v>2553</v>
      </c>
      <c r="BK239" s="112" t="str">
        <f>REPLACE(INDEX(GroupVertices[Group], MATCH("~"&amp;Edges[[#This Row],[Vertex 1]],GroupVertices[Vertex],0)),1,1,"")</f>
        <v>5</v>
      </c>
      <c r="BL239" s="112" t="str">
        <f>REPLACE(INDEX(GroupVertices[Group], MATCH("~"&amp;Edges[[#This Row],[Vertex 2]],GroupVertices[Vertex],0)),1,1,"")</f>
        <v>1</v>
      </c>
    </row>
    <row r="240" spans="1:64" x14ac:dyDescent="0.25">
      <c r="A240" s="61" t="s">
        <v>408</v>
      </c>
      <c r="B240" s="61" t="s">
        <v>668</v>
      </c>
      <c r="C240" s="62"/>
      <c r="D240" s="63"/>
      <c r="E240" s="64"/>
      <c r="F240" s="65"/>
      <c r="G240" s="62"/>
      <c r="H240" s="66"/>
      <c r="I240" s="67"/>
      <c r="J240" s="67"/>
      <c r="K240" s="31"/>
      <c r="L240" s="75">
        <v>240</v>
      </c>
      <c r="M240"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40" s="69"/>
      <c r="O240" t="s">
        <v>703</v>
      </c>
      <c r="P240" s="76">
        <v>45505.264513888891</v>
      </c>
      <c r="Q240" t="s">
        <v>976</v>
      </c>
      <c r="R240" t="b">
        <v>0</v>
      </c>
      <c r="S240">
        <v>0</v>
      </c>
      <c r="T240">
        <v>5</v>
      </c>
      <c r="U240">
        <v>0</v>
      </c>
      <c r="V240">
        <v>0</v>
      </c>
      <c r="W240">
        <v>50</v>
      </c>
      <c r="AA240" t="s">
        <v>1252</v>
      </c>
      <c r="AD240" s="77" t="s">
        <v>1365</v>
      </c>
      <c r="AE240" t="s">
        <v>1385</v>
      </c>
      <c r="AF240" s="78" t="str">
        <f>HYPERLINK("https://twitter.com/misfon/status/1818894657482268875")</f>
        <v>https://twitter.com/misfon/status/1818894657482268875</v>
      </c>
      <c r="AG240" s="76">
        <v>45505.264513888891</v>
      </c>
      <c r="AH240" s="80">
        <v>45505</v>
      </c>
      <c r="AI240" s="77" t="s">
        <v>1656</v>
      </c>
      <c r="AW240" s="78" t="str">
        <f>HYPERLINK("https://pbs.twimg.com/profile_images/1224015179878404097/HzO8t6K4_normal.jpg")</f>
        <v>https://pbs.twimg.com/profile_images/1224015179878404097/HzO8t6K4_normal.jpg</v>
      </c>
      <c r="AX240" s="77" t="s">
        <v>2142</v>
      </c>
      <c r="AY240" s="77" t="s">
        <v>2343</v>
      </c>
      <c r="AZ240" s="77" t="s">
        <v>2461</v>
      </c>
      <c r="BA240" s="77" t="s">
        <v>2521</v>
      </c>
      <c r="BB240" s="77" t="s">
        <v>2494</v>
      </c>
      <c r="BC240" s="77" t="s">
        <v>2494</v>
      </c>
      <c r="BD240" s="77" t="s">
        <v>2521</v>
      </c>
      <c r="BE240">
        <v>502996206</v>
      </c>
      <c r="BK240" s="112" t="str">
        <f>REPLACE(INDEX(GroupVertices[Group], MATCH("~"&amp;Edges[[#This Row],[Vertex 1]],GroupVertices[Vertex],0)),1,1,"")</f>
        <v>25</v>
      </c>
      <c r="BL240" s="112" t="str">
        <f>REPLACE(INDEX(GroupVertices[Group], MATCH("~"&amp;Edges[[#This Row],[Vertex 2]],GroupVertices[Vertex],0)),1,1,"")</f>
        <v>25</v>
      </c>
    </row>
    <row r="241" spans="1:64" x14ac:dyDescent="0.25">
      <c r="A241" s="61" t="s">
        <v>408</v>
      </c>
      <c r="B241" s="61" t="s">
        <v>669</v>
      </c>
      <c r="C241" s="62"/>
      <c r="D241" s="63"/>
      <c r="E241" s="64"/>
      <c r="F241" s="65"/>
      <c r="G241" s="62"/>
      <c r="H241" s="66"/>
      <c r="I241" s="67"/>
      <c r="J241" s="67"/>
      <c r="K241" s="31"/>
      <c r="L241" s="75">
        <v>241</v>
      </c>
      <c r="M241"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41" s="69"/>
      <c r="O241" t="s">
        <v>703</v>
      </c>
      <c r="P241" s="76">
        <v>45505.264513888891</v>
      </c>
      <c r="Q241" t="s">
        <v>976</v>
      </c>
      <c r="R241" t="b">
        <v>0</v>
      </c>
      <c r="S241">
        <v>0</v>
      </c>
      <c r="T241">
        <v>5</v>
      </c>
      <c r="U241">
        <v>0</v>
      </c>
      <c r="V241">
        <v>0</v>
      </c>
      <c r="W241">
        <v>50</v>
      </c>
      <c r="AA241" t="s">
        <v>1252</v>
      </c>
      <c r="AD241" s="77" t="s">
        <v>1365</v>
      </c>
      <c r="AE241" t="s">
        <v>1385</v>
      </c>
      <c r="AF241" s="78" t="str">
        <f>HYPERLINK("https://twitter.com/misfon/status/1818894657482268875")</f>
        <v>https://twitter.com/misfon/status/1818894657482268875</v>
      </c>
      <c r="AG241" s="76">
        <v>45505.264513888891</v>
      </c>
      <c r="AH241" s="80">
        <v>45505</v>
      </c>
      <c r="AI241" s="77" t="s">
        <v>1656</v>
      </c>
      <c r="AW241" s="78" t="str">
        <f>HYPERLINK("https://pbs.twimg.com/profile_images/1224015179878404097/HzO8t6K4_normal.jpg")</f>
        <v>https://pbs.twimg.com/profile_images/1224015179878404097/HzO8t6K4_normal.jpg</v>
      </c>
      <c r="AX241" s="77" t="s">
        <v>2142</v>
      </c>
      <c r="AY241" s="77" t="s">
        <v>2343</v>
      </c>
      <c r="AZ241" s="77" t="s">
        <v>2461</v>
      </c>
      <c r="BA241" s="77" t="s">
        <v>2521</v>
      </c>
      <c r="BB241" s="77" t="s">
        <v>2494</v>
      </c>
      <c r="BC241" s="77" t="s">
        <v>2494</v>
      </c>
      <c r="BD241" s="77" t="s">
        <v>2521</v>
      </c>
      <c r="BE241">
        <v>502996206</v>
      </c>
      <c r="BK241" s="112" t="str">
        <f>REPLACE(INDEX(GroupVertices[Group], MATCH("~"&amp;Edges[[#This Row],[Vertex 1]],GroupVertices[Vertex],0)),1,1,"")</f>
        <v>25</v>
      </c>
      <c r="BL241" s="112" t="str">
        <f>REPLACE(INDEX(GroupVertices[Group], MATCH("~"&amp;Edges[[#This Row],[Vertex 2]],GroupVertices[Vertex],0)),1,1,"")</f>
        <v>25</v>
      </c>
    </row>
    <row r="242" spans="1:64" x14ac:dyDescent="0.25">
      <c r="A242" s="61" t="s">
        <v>408</v>
      </c>
      <c r="B242" s="61" t="s">
        <v>670</v>
      </c>
      <c r="C242" s="62"/>
      <c r="D242" s="63"/>
      <c r="E242" s="64"/>
      <c r="F242" s="65"/>
      <c r="G242" s="62"/>
      <c r="H242" s="66"/>
      <c r="I242" s="67"/>
      <c r="J242" s="67"/>
      <c r="K242" s="31"/>
      <c r="L242" s="75">
        <v>242</v>
      </c>
      <c r="M242"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42" s="69"/>
      <c r="O242" t="s">
        <v>701</v>
      </c>
      <c r="P242" s="76">
        <v>45505.264513888891</v>
      </c>
      <c r="Q242" t="s">
        <v>976</v>
      </c>
      <c r="R242" t="b">
        <v>0</v>
      </c>
      <c r="S242">
        <v>0</v>
      </c>
      <c r="T242">
        <v>5</v>
      </c>
      <c r="U242">
        <v>0</v>
      </c>
      <c r="V242">
        <v>0</v>
      </c>
      <c r="W242">
        <v>50</v>
      </c>
      <c r="AA242" t="s">
        <v>1252</v>
      </c>
      <c r="AD242" s="77" t="s">
        <v>1365</v>
      </c>
      <c r="AE242" t="s">
        <v>1385</v>
      </c>
      <c r="AF242" s="78" t="str">
        <f>HYPERLINK("https://twitter.com/misfon/status/1818894657482268875")</f>
        <v>https://twitter.com/misfon/status/1818894657482268875</v>
      </c>
      <c r="AG242" s="76">
        <v>45505.264513888891</v>
      </c>
      <c r="AH242" s="80">
        <v>45505</v>
      </c>
      <c r="AI242" s="77" t="s">
        <v>1656</v>
      </c>
      <c r="AW242" s="78" t="str">
        <f>HYPERLINK("https://pbs.twimg.com/profile_images/1224015179878404097/HzO8t6K4_normal.jpg")</f>
        <v>https://pbs.twimg.com/profile_images/1224015179878404097/HzO8t6K4_normal.jpg</v>
      </c>
      <c r="AX242" s="77" t="s">
        <v>2142</v>
      </c>
      <c r="AY242" s="77" t="s">
        <v>2343</v>
      </c>
      <c r="AZ242" s="77" t="s">
        <v>2461</v>
      </c>
      <c r="BA242" s="77" t="s">
        <v>2521</v>
      </c>
      <c r="BB242" s="77" t="s">
        <v>2494</v>
      </c>
      <c r="BC242" s="77" t="s">
        <v>2494</v>
      </c>
      <c r="BD242" s="77" t="s">
        <v>2521</v>
      </c>
      <c r="BE242">
        <v>502996206</v>
      </c>
      <c r="BK242" s="112" t="str">
        <f>REPLACE(INDEX(GroupVertices[Group], MATCH("~"&amp;Edges[[#This Row],[Vertex 1]],GroupVertices[Vertex],0)),1,1,"")</f>
        <v>25</v>
      </c>
      <c r="BL242" s="112" t="str">
        <f>REPLACE(INDEX(GroupVertices[Group], MATCH("~"&amp;Edges[[#This Row],[Vertex 2]],GroupVertices[Vertex],0)),1,1,"")</f>
        <v>25</v>
      </c>
    </row>
    <row r="243" spans="1:64" x14ac:dyDescent="0.25">
      <c r="A243" s="61" t="s">
        <v>475</v>
      </c>
      <c r="B243" s="61" t="s">
        <v>475</v>
      </c>
      <c r="C243" s="62"/>
      <c r="D243" s="63"/>
      <c r="E243" s="64"/>
      <c r="F243" s="65"/>
      <c r="G243" s="62"/>
      <c r="H243" s="66"/>
      <c r="I243" s="67"/>
      <c r="J243" s="67"/>
      <c r="K243" s="31"/>
      <c r="L243" s="75">
        <v>243</v>
      </c>
      <c r="M243"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43" s="69"/>
      <c r="O243" t="s">
        <v>177</v>
      </c>
      <c r="P243" s="76">
        <v>45507.09375</v>
      </c>
      <c r="Q243" t="s">
        <v>1053</v>
      </c>
      <c r="R243" t="b">
        <v>0</v>
      </c>
      <c r="S243">
        <v>0</v>
      </c>
      <c r="T243">
        <v>0</v>
      </c>
      <c r="U243">
        <v>0</v>
      </c>
      <c r="V243">
        <v>0</v>
      </c>
      <c r="W243">
        <v>49</v>
      </c>
      <c r="X243" s="77" t="s">
        <v>1125</v>
      </c>
      <c r="Y243" s="78" t="str">
        <f>HYPERLINK("https://www.somosjujuy.com.ar/jujuy/tombola-jujena-numeros-viernes-2-agosto-n94341")</f>
        <v>https://www.somosjujuy.com.ar/jujuy/tombola-jujena-numeros-viernes-2-agosto-n94341</v>
      </c>
      <c r="Z243" t="s">
        <v>1162</v>
      </c>
      <c r="AD243" s="77" t="s">
        <v>1367</v>
      </c>
      <c r="AE243" t="s">
        <v>1385</v>
      </c>
      <c r="AF243" s="78" t="str">
        <f>HYPERLINK("https://twitter.com/somosjujuy/status/1819557549760221637")</f>
        <v>https://twitter.com/somosjujuy/status/1819557549760221637</v>
      </c>
      <c r="AG243" s="76">
        <v>45507.09375</v>
      </c>
      <c r="AH243" s="80">
        <v>45507</v>
      </c>
      <c r="AI243" s="77" t="s">
        <v>1731</v>
      </c>
      <c r="AJ243" t="b">
        <v>0</v>
      </c>
      <c r="AW243" s="78" t="str">
        <f>HYPERLINK("https://pbs.twimg.com/profile_images/1344842838350176256/SoW5s1T5_normal.jpg")</f>
        <v>https://pbs.twimg.com/profile_images/1344842838350176256/SoW5s1T5_normal.jpg</v>
      </c>
      <c r="AX243" s="77" t="s">
        <v>2219</v>
      </c>
      <c r="AY243" s="77" t="s">
        <v>2219</v>
      </c>
      <c r="BA243" s="77" t="s">
        <v>2494</v>
      </c>
      <c r="BB243" s="77" t="s">
        <v>2494</v>
      </c>
      <c r="BC243" s="77" t="s">
        <v>2494</v>
      </c>
      <c r="BD243" s="77" t="s">
        <v>2219</v>
      </c>
      <c r="BE243">
        <v>3377502832</v>
      </c>
      <c r="BK243" s="112" t="str">
        <f>REPLACE(INDEX(GroupVertices[Group], MATCH("~"&amp;Edges[[#This Row],[Vertex 1]],GroupVertices[Vertex],0)),1,1,"")</f>
        <v>140</v>
      </c>
      <c r="BL243" s="112" t="str">
        <f>REPLACE(INDEX(GroupVertices[Group], MATCH("~"&amp;Edges[[#This Row],[Vertex 2]],GroupVertices[Vertex],0)),1,1,"")</f>
        <v>140</v>
      </c>
    </row>
    <row r="244" spans="1:64" x14ac:dyDescent="0.25">
      <c r="A244" s="61" t="s">
        <v>291</v>
      </c>
      <c r="B244" s="61" t="s">
        <v>291</v>
      </c>
      <c r="C244" s="62"/>
      <c r="D244" s="63"/>
      <c r="E244" s="64"/>
      <c r="F244" s="65"/>
      <c r="G244" s="62"/>
      <c r="H244" s="66"/>
      <c r="I244" s="67"/>
      <c r="J244" s="67"/>
      <c r="K244" s="31"/>
      <c r="L244" s="75">
        <v>244</v>
      </c>
      <c r="M244"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44" s="69"/>
      <c r="O244" t="s">
        <v>702</v>
      </c>
      <c r="P244" s="76">
        <v>45506.645104166666</v>
      </c>
      <c r="Q244" t="s">
        <v>803</v>
      </c>
      <c r="R244" t="b">
        <v>0</v>
      </c>
      <c r="S244">
        <v>0</v>
      </c>
      <c r="T244">
        <v>0</v>
      </c>
      <c r="U244">
        <v>0</v>
      </c>
      <c r="V244">
        <v>0</v>
      </c>
      <c r="W244">
        <v>48</v>
      </c>
      <c r="Y244" s="78" t="str">
        <f>HYPERLINK("https://portaleduca.cl/2-de-agosto-comienza-las-postulaciones-al-sistema-de-admision-escolar-sae-para-el-ano-2025/")</f>
        <v>https://portaleduca.cl/2-de-agosto-comienza-las-postulaciones-al-sistema-de-admision-escolar-sae-para-el-ano-2025/</v>
      </c>
      <c r="Z244" t="s">
        <v>1148</v>
      </c>
      <c r="AA244" t="s">
        <v>291</v>
      </c>
      <c r="AD244" s="77" t="s">
        <v>1367</v>
      </c>
      <c r="AE244" t="s">
        <v>1385</v>
      </c>
      <c r="AF244" s="78" t="str">
        <f>HYPERLINK("https://twitter.com/prensa_educa/status/1819394965002133676")</f>
        <v>https://twitter.com/prensa_educa/status/1819394965002133676</v>
      </c>
      <c r="AG244" s="76">
        <v>45506.645104166666</v>
      </c>
      <c r="AH244" s="80">
        <v>45506</v>
      </c>
      <c r="AI244" s="77" t="s">
        <v>1485</v>
      </c>
      <c r="AJ244" t="b">
        <v>0</v>
      </c>
      <c r="AW244" s="78" t="str">
        <f>HYPERLINK("https://pbs.twimg.com/profile_images/1266088127895986176/foWjU4Ss_normal.jpg")</f>
        <v>https://pbs.twimg.com/profile_images/1266088127895986176/foWjU4Ss_normal.jpg</v>
      </c>
      <c r="AX244" s="77" t="s">
        <v>1969</v>
      </c>
      <c r="AY244" s="77" t="s">
        <v>1969</v>
      </c>
      <c r="BA244" s="77" t="s">
        <v>2494</v>
      </c>
      <c r="BB244" s="77" t="s">
        <v>2494</v>
      </c>
      <c r="BC244" s="77" t="s">
        <v>2494</v>
      </c>
      <c r="BD244" s="77" t="s">
        <v>1969</v>
      </c>
      <c r="BE244" s="77" t="s">
        <v>2564</v>
      </c>
      <c r="BK244" s="112" t="str">
        <f>REPLACE(INDEX(GroupVertices[Group], MATCH("~"&amp;Edges[[#This Row],[Vertex 1]],GroupVertices[Vertex],0)),1,1,"")</f>
        <v>143</v>
      </c>
      <c r="BL244" s="112" t="str">
        <f>REPLACE(INDEX(GroupVertices[Group], MATCH("~"&amp;Edges[[#This Row],[Vertex 2]],GroupVertices[Vertex],0)),1,1,"")</f>
        <v>143</v>
      </c>
    </row>
    <row r="245" spans="1:64" x14ac:dyDescent="0.25">
      <c r="A245" s="61" t="s">
        <v>292</v>
      </c>
      <c r="B245" s="61" t="s">
        <v>292</v>
      </c>
      <c r="C245" s="62"/>
      <c r="D245" s="63"/>
      <c r="E245" s="64"/>
      <c r="F245" s="65"/>
      <c r="G245" s="62"/>
      <c r="H245" s="66"/>
      <c r="I245" s="67"/>
      <c r="J245" s="67"/>
      <c r="K245" s="31"/>
      <c r="L245" s="75">
        <v>245</v>
      </c>
      <c r="M245"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45" s="69"/>
      <c r="O245" t="s">
        <v>177</v>
      </c>
      <c r="P245" s="76">
        <v>45506.79184027778</v>
      </c>
      <c r="Q245" t="s">
        <v>823</v>
      </c>
      <c r="R245" t="b">
        <v>0</v>
      </c>
      <c r="S245">
        <v>0</v>
      </c>
      <c r="T245">
        <v>0</v>
      </c>
      <c r="U245">
        <v>0</v>
      </c>
      <c r="V245">
        <v>0</v>
      </c>
      <c r="W245">
        <v>48</v>
      </c>
      <c r="X245" s="77" t="s">
        <v>1099</v>
      </c>
      <c r="Y245" s="78" t="str">
        <f>HYPERLINK("https://vm.tiktok.com/ZGe7CaaHk/")</f>
        <v>https://vm.tiktok.com/ZGe7CaaHk/</v>
      </c>
      <c r="Z245" t="s">
        <v>1149</v>
      </c>
      <c r="AD245" s="77" t="s">
        <v>1365</v>
      </c>
      <c r="AE245" t="s">
        <v>1385</v>
      </c>
      <c r="AF245" s="78" t="str">
        <f>HYPERLINK("https://twitter.com/atologocito1/status/1819448140657013020")</f>
        <v>https://twitter.com/atologocito1/status/1819448140657013020</v>
      </c>
      <c r="AG245" s="76">
        <v>45506.79184027778</v>
      </c>
      <c r="AH245" s="80">
        <v>45506</v>
      </c>
      <c r="AI245" s="77" t="s">
        <v>1505</v>
      </c>
      <c r="AJ245" t="b">
        <v>0</v>
      </c>
      <c r="AW245" s="78" t="str">
        <f>HYPERLINK("https://pbs.twimg.com/profile_images/1497222336470298628/AOSxZ6NT_normal.jpg")</f>
        <v>https://pbs.twimg.com/profile_images/1497222336470298628/AOSxZ6NT_normal.jpg</v>
      </c>
      <c r="AX245" s="77" t="s">
        <v>1989</v>
      </c>
      <c r="AY245" s="77" t="s">
        <v>1989</v>
      </c>
      <c r="BA245" s="77" t="s">
        <v>2494</v>
      </c>
      <c r="BB245" s="77" t="s">
        <v>2494</v>
      </c>
      <c r="BC245" s="77" t="s">
        <v>2494</v>
      </c>
      <c r="BD245" s="77" t="s">
        <v>1989</v>
      </c>
      <c r="BE245" s="77" t="s">
        <v>2565</v>
      </c>
      <c r="BK245" s="112" t="str">
        <f>REPLACE(INDEX(GroupVertices[Group], MATCH("~"&amp;Edges[[#This Row],[Vertex 1]],GroupVertices[Vertex],0)),1,1,"")</f>
        <v>13</v>
      </c>
      <c r="BL245" s="112" t="str">
        <f>REPLACE(INDEX(GroupVertices[Group], MATCH("~"&amp;Edges[[#This Row],[Vertex 2]],GroupVertices[Vertex],0)),1,1,"")</f>
        <v>13</v>
      </c>
    </row>
    <row r="246" spans="1:64" x14ac:dyDescent="0.25">
      <c r="A246" s="61" t="s">
        <v>386</v>
      </c>
      <c r="B246" s="61" t="s">
        <v>386</v>
      </c>
      <c r="C246" s="62"/>
      <c r="D246" s="63"/>
      <c r="E246" s="64"/>
      <c r="F246" s="65"/>
      <c r="G246" s="62"/>
      <c r="H246" s="66"/>
      <c r="I246" s="67"/>
      <c r="J246" s="67"/>
      <c r="K246" s="31"/>
      <c r="L246" s="75">
        <v>246</v>
      </c>
      <c r="M246"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46" s="69"/>
      <c r="O246" t="s">
        <v>177</v>
      </c>
      <c r="P246" s="76">
        <v>45510.142430555556</v>
      </c>
      <c r="Q246" t="s">
        <v>950</v>
      </c>
      <c r="R246" t="b">
        <v>0</v>
      </c>
      <c r="S246">
        <v>0</v>
      </c>
      <c r="T246">
        <v>0</v>
      </c>
      <c r="U246">
        <v>1</v>
      </c>
      <c r="V246">
        <v>0</v>
      </c>
      <c r="W246">
        <v>48</v>
      </c>
      <c r="AD246" s="77" t="s">
        <v>1366</v>
      </c>
      <c r="AE246" t="s">
        <v>1385</v>
      </c>
      <c r="AF246" s="78" t="str">
        <f>HYPERLINK("https://twitter.com/yasbelninaa/status/1820662353693745595")</f>
        <v>https://twitter.com/yasbelninaa/status/1820662353693745595</v>
      </c>
      <c r="AG246" s="76">
        <v>45510.142430555556</v>
      </c>
      <c r="AH246" s="80">
        <v>45510</v>
      </c>
      <c r="AI246" s="77" t="s">
        <v>1630</v>
      </c>
      <c r="AW246" s="78" t="str">
        <f>HYPERLINK("https://pbs.twimg.com/profile_images/1894453023495036929/pCjyD-iA_normal.jpg")</f>
        <v>https://pbs.twimg.com/profile_images/1894453023495036929/pCjyD-iA_normal.jpg</v>
      </c>
      <c r="AX246" s="77" t="s">
        <v>2116</v>
      </c>
      <c r="AY246" s="77" t="s">
        <v>2116</v>
      </c>
      <c r="BA246" s="77" t="s">
        <v>2494</v>
      </c>
      <c r="BB246" s="77" t="s">
        <v>2494</v>
      </c>
      <c r="BC246" s="77" t="s">
        <v>2494</v>
      </c>
      <c r="BD246" s="77" t="s">
        <v>2116</v>
      </c>
      <c r="BE246" s="77" t="s">
        <v>2601</v>
      </c>
      <c r="BK246" s="112" t="str">
        <f>REPLACE(INDEX(GroupVertices[Group], MATCH("~"&amp;Edges[[#This Row],[Vertex 1]],GroupVertices[Vertex],0)),1,1,"")</f>
        <v>139</v>
      </c>
      <c r="BL246" s="112" t="str">
        <f>REPLACE(INDEX(GroupVertices[Group], MATCH("~"&amp;Edges[[#This Row],[Vertex 2]],GroupVertices[Vertex],0)),1,1,"")</f>
        <v>139</v>
      </c>
    </row>
    <row r="247" spans="1:64" x14ac:dyDescent="0.25">
      <c r="A247" s="61" t="s">
        <v>375</v>
      </c>
      <c r="B247" s="61" t="s">
        <v>632</v>
      </c>
      <c r="C247" s="62"/>
      <c r="D247" s="63"/>
      <c r="E247" s="64"/>
      <c r="F247" s="65"/>
      <c r="G247" s="62"/>
      <c r="H247" s="66"/>
      <c r="I247" s="67"/>
      <c r="J247" s="67"/>
      <c r="K247" s="31"/>
      <c r="L247" s="75">
        <v>247</v>
      </c>
      <c r="M247"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47" s="69"/>
      <c r="O247" t="s">
        <v>703</v>
      </c>
      <c r="P247" s="76">
        <v>45505.866620370369</v>
      </c>
      <c r="Q247" t="s">
        <v>939</v>
      </c>
      <c r="R247" t="b">
        <v>0</v>
      </c>
      <c r="S247">
        <v>0</v>
      </c>
      <c r="T247">
        <v>0</v>
      </c>
      <c r="U247">
        <v>0</v>
      </c>
      <c r="V247">
        <v>0</v>
      </c>
      <c r="W247">
        <v>47</v>
      </c>
      <c r="AA247" t="s">
        <v>1243</v>
      </c>
      <c r="AD247" s="77" t="s">
        <v>1365</v>
      </c>
      <c r="AE247" t="s">
        <v>1385</v>
      </c>
      <c r="AF247" s="78" t="str">
        <f>HYPERLINK("https://twitter.com/valenti94010220/status/1819112852503830889")</f>
        <v>https://twitter.com/valenti94010220/status/1819112852503830889</v>
      </c>
      <c r="AG247" s="76">
        <v>45505.866620370369</v>
      </c>
      <c r="AH247" s="80">
        <v>45505</v>
      </c>
      <c r="AI247" s="77" t="s">
        <v>1619</v>
      </c>
      <c r="AW247" s="78" t="str">
        <f>HYPERLINK("https://pbs.twimg.com/profile_images/1904616566269849600/IKIHAqnz_normal.jpg")</f>
        <v>https://pbs.twimg.com/profile_images/1904616566269849600/IKIHAqnz_normal.jpg</v>
      </c>
      <c r="AX247" s="77" t="s">
        <v>2105</v>
      </c>
      <c r="AY247" s="77" t="s">
        <v>2326</v>
      </c>
      <c r="AZ247" s="77" t="s">
        <v>2445</v>
      </c>
      <c r="BA247" s="77" t="s">
        <v>2326</v>
      </c>
      <c r="BB247" s="77" t="s">
        <v>2494</v>
      </c>
      <c r="BC247" s="77" t="s">
        <v>2494</v>
      </c>
      <c r="BD247" s="77" t="s">
        <v>2326</v>
      </c>
      <c r="BE247" s="77" t="s">
        <v>2597</v>
      </c>
      <c r="BK247" s="112" t="str">
        <f>REPLACE(INDEX(GroupVertices[Group], MATCH("~"&amp;Edges[[#This Row],[Vertex 1]],GroupVertices[Vertex],0)),1,1,"")</f>
        <v>37</v>
      </c>
      <c r="BL247" s="112" t="str">
        <f>REPLACE(INDEX(GroupVertices[Group], MATCH("~"&amp;Edges[[#This Row],[Vertex 2]],GroupVertices[Vertex],0)),1,1,"")</f>
        <v>37</v>
      </c>
    </row>
    <row r="248" spans="1:64" x14ac:dyDescent="0.25">
      <c r="A248" s="61" t="s">
        <v>375</v>
      </c>
      <c r="B248" s="61" t="s">
        <v>633</v>
      </c>
      <c r="C248" s="62"/>
      <c r="D248" s="63"/>
      <c r="E248" s="64"/>
      <c r="F248" s="65"/>
      <c r="G248" s="62"/>
      <c r="H248" s="66"/>
      <c r="I248" s="67"/>
      <c r="J248" s="67"/>
      <c r="K248" s="31"/>
      <c r="L248" s="75">
        <v>248</v>
      </c>
      <c r="M248"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48" s="69"/>
      <c r="O248" t="s">
        <v>701</v>
      </c>
      <c r="P248" s="76">
        <v>45505.866620370369</v>
      </c>
      <c r="Q248" t="s">
        <v>939</v>
      </c>
      <c r="R248" t="b">
        <v>0</v>
      </c>
      <c r="S248">
        <v>0</v>
      </c>
      <c r="T248">
        <v>0</v>
      </c>
      <c r="U248">
        <v>0</v>
      </c>
      <c r="V248">
        <v>0</v>
      </c>
      <c r="W248">
        <v>47</v>
      </c>
      <c r="AA248" t="s">
        <v>1243</v>
      </c>
      <c r="AD248" s="77" t="s">
        <v>1365</v>
      </c>
      <c r="AE248" t="s">
        <v>1385</v>
      </c>
      <c r="AF248" s="78" t="str">
        <f>HYPERLINK("https://twitter.com/valenti94010220/status/1819112852503830889")</f>
        <v>https://twitter.com/valenti94010220/status/1819112852503830889</v>
      </c>
      <c r="AG248" s="76">
        <v>45505.866620370369</v>
      </c>
      <c r="AH248" s="80">
        <v>45505</v>
      </c>
      <c r="AI248" s="77" t="s">
        <v>1619</v>
      </c>
      <c r="AW248" s="78" t="str">
        <f>HYPERLINK("https://pbs.twimg.com/profile_images/1904616566269849600/IKIHAqnz_normal.jpg")</f>
        <v>https://pbs.twimg.com/profile_images/1904616566269849600/IKIHAqnz_normal.jpg</v>
      </c>
      <c r="AX248" s="77" t="s">
        <v>2105</v>
      </c>
      <c r="AY248" s="77" t="s">
        <v>2326</v>
      </c>
      <c r="AZ248" s="77" t="s">
        <v>2445</v>
      </c>
      <c r="BA248" s="77" t="s">
        <v>2326</v>
      </c>
      <c r="BB248" s="77" t="s">
        <v>2494</v>
      </c>
      <c r="BC248" s="77" t="s">
        <v>2494</v>
      </c>
      <c r="BD248" s="77" t="s">
        <v>2326</v>
      </c>
      <c r="BE248" s="77" t="s">
        <v>2597</v>
      </c>
      <c r="BK248" s="112" t="str">
        <f>REPLACE(INDEX(GroupVertices[Group], MATCH("~"&amp;Edges[[#This Row],[Vertex 1]],GroupVertices[Vertex],0)),1,1,"")</f>
        <v>37</v>
      </c>
      <c r="BL248" s="112" t="str">
        <f>REPLACE(INDEX(GroupVertices[Group], MATCH("~"&amp;Edges[[#This Row],[Vertex 2]],GroupVertices[Vertex],0)),1,1,"")</f>
        <v>37</v>
      </c>
    </row>
    <row r="249" spans="1:64" x14ac:dyDescent="0.25">
      <c r="A249" s="61" t="s">
        <v>331</v>
      </c>
      <c r="B249" s="61" t="s">
        <v>331</v>
      </c>
      <c r="C249" s="62"/>
      <c r="D249" s="63"/>
      <c r="E249" s="64"/>
      <c r="F249" s="65"/>
      <c r="G249" s="62"/>
      <c r="H249" s="66"/>
      <c r="I249" s="67"/>
      <c r="J249" s="67"/>
      <c r="K249" s="31"/>
      <c r="L249" s="75">
        <v>249</v>
      </c>
      <c r="M249"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49" s="69"/>
      <c r="O249" t="s">
        <v>177</v>
      </c>
      <c r="P249" s="76">
        <v>45505.270891203705</v>
      </c>
      <c r="Q249" t="s">
        <v>883</v>
      </c>
      <c r="R249" t="b">
        <v>0</v>
      </c>
      <c r="S249">
        <v>0</v>
      </c>
      <c r="T249">
        <v>1</v>
      </c>
      <c r="U249">
        <v>0</v>
      </c>
      <c r="V249">
        <v>0</v>
      </c>
      <c r="W249">
        <v>46</v>
      </c>
      <c r="X249" s="77" t="s">
        <v>1108</v>
      </c>
      <c r="AB249" t="s">
        <v>1297</v>
      </c>
      <c r="AC249" t="s">
        <v>1359</v>
      </c>
      <c r="AD249" s="77" t="s">
        <v>1365</v>
      </c>
      <c r="AE249" t="s">
        <v>1385</v>
      </c>
      <c r="AF249" s="78" t="str">
        <f>HYPERLINK("https://twitter.com/adano1989/status/1818896968099176779")</f>
        <v>https://twitter.com/adano1989/status/1818896968099176779</v>
      </c>
      <c r="AG249" s="76">
        <v>45505.270891203705</v>
      </c>
      <c r="AH249" s="80">
        <v>45505</v>
      </c>
      <c r="AI249" s="77" t="s">
        <v>1563</v>
      </c>
      <c r="AJ249" t="b">
        <v>0</v>
      </c>
      <c r="AR249" t="s">
        <v>1810</v>
      </c>
      <c r="AW249" s="78" t="str">
        <f>HYPERLINK("https://pbs.twimg.com/media/GT4FJzqWEAA8Ip8.jpg")</f>
        <v>https://pbs.twimg.com/media/GT4FJzqWEAA8Ip8.jpg</v>
      </c>
      <c r="AX249" s="77" t="s">
        <v>2049</v>
      </c>
      <c r="AY249" s="77" t="s">
        <v>2049</v>
      </c>
      <c r="BA249" s="77" t="s">
        <v>2494</v>
      </c>
      <c r="BB249" s="77" t="s">
        <v>2494</v>
      </c>
      <c r="BC249" s="77" t="s">
        <v>2494</v>
      </c>
      <c r="BD249" s="77" t="s">
        <v>2049</v>
      </c>
      <c r="BE249">
        <v>791379487</v>
      </c>
      <c r="BK249" s="112" t="str">
        <f>REPLACE(INDEX(GroupVertices[Group], MATCH("~"&amp;Edges[[#This Row],[Vertex 1]],GroupVertices[Vertex],0)),1,1,"")</f>
        <v>138</v>
      </c>
      <c r="BL249" s="112" t="str">
        <f>REPLACE(INDEX(GroupVertices[Group], MATCH("~"&amp;Edges[[#This Row],[Vertex 2]],GroupVertices[Vertex],0)),1,1,"")</f>
        <v>138</v>
      </c>
    </row>
    <row r="250" spans="1:64" x14ac:dyDescent="0.25">
      <c r="A250" s="61" t="s">
        <v>503</v>
      </c>
      <c r="B250" s="61" t="s">
        <v>503</v>
      </c>
      <c r="C250" s="62"/>
      <c r="D250" s="63"/>
      <c r="E250" s="64"/>
      <c r="F250" s="65"/>
      <c r="G250" s="62"/>
      <c r="H250" s="66"/>
      <c r="I250" s="67"/>
      <c r="J250" s="67"/>
      <c r="K250" s="31"/>
      <c r="L250" s="75">
        <v>250</v>
      </c>
      <c r="M250"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50" s="69"/>
      <c r="O250" t="s">
        <v>702</v>
      </c>
      <c r="P250" s="76">
        <v>45506.645960648151</v>
      </c>
      <c r="Q250" t="s">
        <v>1085</v>
      </c>
      <c r="R250" t="b">
        <v>0</v>
      </c>
      <c r="S250">
        <v>0</v>
      </c>
      <c r="T250">
        <v>0</v>
      </c>
      <c r="U250">
        <v>0</v>
      </c>
      <c r="V250">
        <v>0</v>
      </c>
      <c r="W250">
        <v>46</v>
      </c>
      <c r="Y250" s="78" t="str">
        <f>HYPERLINK("https://prensaeventos.cl/sistema-de-admision-escolar-sae-mineduc-entrega-consejos-a-familias-que-este-ano-deben-postular-a-un-establecimiento-educativo/")</f>
        <v>https://prensaeventos.cl/sistema-de-admision-escolar-sae-mineduc-entrega-consejos-a-familias-que-este-ano-deben-postular-a-un-establecimiento-educativo/</v>
      </c>
      <c r="Z250" t="s">
        <v>1209</v>
      </c>
      <c r="AA250" t="s">
        <v>503</v>
      </c>
      <c r="AD250" s="77" t="s">
        <v>1367</v>
      </c>
      <c r="AE250" t="s">
        <v>1385</v>
      </c>
      <c r="AF250" s="78" t="str">
        <f>HYPERLINK("https://twitter.com/prensaevento/status/1819395278002143556")</f>
        <v>https://twitter.com/prensaevento/status/1819395278002143556</v>
      </c>
      <c r="AG250" s="76">
        <v>45506.645960648151</v>
      </c>
      <c r="AH250" s="80">
        <v>45506</v>
      </c>
      <c r="AI250" s="77" t="s">
        <v>1761</v>
      </c>
      <c r="AJ250" t="b">
        <v>0</v>
      </c>
      <c r="AW250" s="78" t="str">
        <f>HYPERLINK("https://pbs.twimg.com/profile_images/1266124631997476865/GLRMuy6y_normal.jpg")</f>
        <v>https://pbs.twimg.com/profile_images/1266124631997476865/GLRMuy6y_normal.jpg</v>
      </c>
      <c r="AX250" s="77" t="s">
        <v>2251</v>
      </c>
      <c r="AY250" s="77" t="s">
        <v>2251</v>
      </c>
      <c r="BA250" s="77" t="s">
        <v>2494</v>
      </c>
      <c r="BB250" s="77" t="s">
        <v>2494</v>
      </c>
      <c r="BC250" s="77" t="s">
        <v>2494</v>
      </c>
      <c r="BD250" s="77" t="s">
        <v>2251</v>
      </c>
      <c r="BE250">
        <v>1618972646</v>
      </c>
      <c r="BK250" s="112" t="str">
        <f>REPLACE(INDEX(GroupVertices[Group], MATCH("~"&amp;Edges[[#This Row],[Vertex 1]],GroupVertices[Vertex],0)),1,1,"")</f>
        <v>137</v>
      </c>
      <c r="BL250" s="112" t="str">
        <f>REPLACE(INDEX(GroupVertices[Group], MATCH("~"&amp;Edges[[#This Row],[Vertex 2]],GroupVertices[Vertex],0)),1,1,"")</f>
        <v>137</v>
      </c>
    </row>
    <row r="251" spans="1:64" x14ac:dyDescent="0.25">
      <c r="A251" s="61" t="s">
        <v>380</v>
      </c>
      <c r="B251" s="61" t="s">
        <v>380</v>
      </c>
      <c r="C251" s="62"/>
      <c r="D251" s="63"/>
      <c r="E251" s="64"/>
      <c r="F251" s="65"/>
      <c r="G251" s="62"/>
      <c r="H251" s="66"/>
      <c r="I251" s="67"/>
      <c r="J251" s="67"/>
      <c r="K251" s="31"/>
      <c r="L251" s="75">
        <v>251</v>
      </c>
      <c r="M251"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51" s="69"/>
      <c r="O251" t="s">
        <v>177</v>
      </c>
      <c r="P251" s="76">
        <v>45506.762511574074</v>
      </c>
      <c r="Q251" t="s">
        <v>944</v>
      </c>
      <c r="R251" t="b">
        <v>0</v>
      </c>
      <c r="S251">
        <v>0</v>
      </c>
      <c r="T251">
        <v>0</v>
      </c>
      <c r="U251">
        <v>0</v>
      </c>
      <c r="V251">
        <v>0</v>
      </c>
      <c r="W251">
        <v>45</v>
      </c>
      <c r="AD251" s="77" t="s">
        <v>1366</v>
      </c>
      <c r="AE251" t="s">
        <v>1385</v>
      </c>
      <c r="AF251" s="78" t="str">
        <f>HYPERLINK("https://twitter.com/aallvaaroo05/status/1819437515712901176")</f>
        <v>https://twitter.com/aallvaaroo05/status/1819437515712901176</v>
      </c>
      <c r="AG251" s="76">
        <v>45506.762511574074</v>
      </c>
      <c r="AH251" s="80">
        <v>45506</v>
      </c>
      <c r="AI251" s="77" t="s">
        <v>1624</v>
      </c>
      <c r="AW251" s="78" t="str">
        <f>HYPERLINK("https://pbs.twimg.com/profile_images/1820010642742394881/57DTFRCy_normal.jpg")</f>
        <v>https://pbs.twimg.com/profile_images/1820010642742394881/57DTFRCy_normal.jpg</v>
      </c>
      <c r="AX251" s="77" t="s">
        <v>2110</v>
      </c>
      <c r="AY251" s="77" t="s">
        <v>2110</v>
      </c>
      <c r="BA251" s="77" t="s">
        <v>2494</v>
      </c>
      <c r="BB251" s="77" t="s">
        <v>2494</v>
      </c>
      <c r="BC251" s="77" t="s">
        <v>2494</v>
      </c>
      <c r="BD251" s="77" t="s">
        <v>2110</v>
      </c>
      <c r="BE251" s="77" t="s">
        <v>2599</v>
      </c>
      <c r="BK251" s="112" t="str">
        <f>REPLACE(INDEX(GroupVertices[Group], MATCH("~"&amp;Edges[[#This Row],[Vertex 1]],GroupVertices[Vertex],0)),1,1,"")</f>
        <v>136</v>
      </c>
      <c r="BL251" s="112" t="str">
        <f>REPLACE(INDEX(GroupVertices[Group], MATCH("~"&amp;Edges[[#This Row],[Vertex 2]],GroupVertices[Vertex],0)),1,1,"")</f>
        <v>136</v>
      </c>
    </row>
    <row r="252" spans="1:64" x14ac:dyDescent="0.25">
      <c r="A252" s="61" t="s">
        <v>233</v>
      </c>
      <c r="B252" s="61" t="s">
        <v>512</v>
      </c>
      <c r="C252" s="62"/>
      <c r="D252" s="63"/>
      <c r="E252" s="64"/>
      <c r="F252" s="65"/>
      <c r="G252" s="62"/>
      <c r="H252" s="66"/>
      <c r="I252" s="67"/>
      <c r="J252" s="67"/>
      <c r="K252" s="31"/>
      <c r="L252" s="75">
        <v>252</v>
      </c>
      <c r="M252"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52" s="69"/>
      <c r="O252" t="s">
        <v>702</v>
      </c>
      <c r="P252" s="76">
        <v>45510.868275462963</v>
      </c>
      <c r="Q252" t="s">
        <v>716</v>
      </c>
      <c r="R252" t="b">
        <v>0</v>
      </c>
      <c r="S252">
        <v>0</v>
      </c>
      <c r="T252">
        <v>0</v>
      </c>
      <c r="U252">
        <v>0</v>
      </c>
      <c r="V252">
        <v>0</v>
      </c>
      <c r="W252">
        <v>44</v>
      </c>
      <c r="AA252" t="s">
        <v>1210</v>
      </c>
      <c r="AD252" s="77" t="s">
        <v>1366</v>
      </c>
      <c r="AE252" t="s">
        <v>1385</v>
      </c>
      <c r="AF252" s="78" t="str">
        <f>HYPERLINK("https://twitter.com/edu_valparaiso/status/1820925393710338319")</f>
        <v>https://twitter.com/edu_valparaiso/status/1820925393710338319</v>
      </c>
      <c r="AG252" s="76">
        <v>45510.868275462963</v>
      </c>
      <c r="AH252" s="80">
        <v>45510</v>
      </c>
      <c r="AI252" s="77" t="s">
        <v>1398</v>
      </c>
      <c r="AW252" s="78" t="str">
        <f>HYPERLINK("https://pbs.twimg.com/profile_images/1339949660115525634/-U_4-GcL_normal.jpg")</f>
        <v>https://pbs.twimg.com/profile_images/1339949660115525634/-U_4-GcL_normal.jpg</v>
      </c>
      <c r="AX252" s="77" t="s">
        <v>1882</v>
      </c>
      <c r="AY252" s="77" t="s">
        <v>1882</v>
      </c>
      <c r="BA252" s="77" t="s">
        <v>2494</v>
      </c>
      <c r="BB252" s="77" t="s">
        <v>2494</v>
      </c>
      <c r="BC252" s="77" t="s">
        <v>2494</v>
      </c>
      <c r="BD252" s="77" t="s">
        <v>1882</v>
      </c>
      <c r="BE252" s="77" t="s">
        <v>2536</v>
      </c>
      <c r="BK252" s="112" t="str">
        <f>REPLACE(INDEX(GroupVertices[Group], MATCH("~"&amp;Edges[[#This Row],[Vertex 1]],GroupVertices[Vertex],0)),1,1,"")</f>
        <v>36</v>
      </c>
      <c r="BL252" s="112" t="str">
        <f>REPLACE(INDEX(GroupVertices[Group], MATCH("~"&amp;Edges[[#This Row],[Vertex 2]],GroupVertices[Vertex],0)),1,1,"")</f>
        <v>36</v>
      </c>
    </row>
    <row r="253" spans="1:64" x14ac:dyDescent="0.25">
      <c r="A253" s="61" t="s">
        <v>233</v>
      </c>
      <c r="B253" s="61" t="s">
        <v>513</v>
      </c>
      <c r="C253" s="62"/>
      <c r="D253" s="63"/>
      <c r="E253" s="64"/>
      <c r="F253" s="65"/>
      <c r="G253" s="62"/>
      <c r="H253" s="66"/>
      <c r="I253" s="67"/>
      <c r="J253" s="67"/>
      <c r="K253" s="31"/>
      <c r="L253" s="75">
        <v>253</v>
      </c>
      <c r="M253"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53" s="69"/>
      <c r="O253" t="s">
        <v>702</v>
      </c>
      <c r="P253" s="76">
        <v>45510.868275462963</v>
      </c>
      <c r="Q253" t="s">
        <v>716</v>
      </c>
      <c r="R253" t="b">
        <v>0</v>
      </c>
      <c r="S253">
        <v>0</v>
      </c>
      <c r="T253">
        <v>0</v>
      </c>
      <c r="U253">
        <v>0</v>
      </c>
      <c r="V253">
        <v>0</v>
      </c>
      <c r="W253">
        <v>44</v>
      </c>
      <c r="AA253" t="s">
        <v>1210</v>
      </c>
      <c r="AD253" s="77" t="s">
        <v>1366</v>
      </c>
      <c r="AE253" t="s">
        <v>1385</v>
      </c>
      <c r="AF253" s="78" t="str">
        <f>HYPERLINK("https://twitter.com/edu_valparaiso/status/1820925393710338319")</f>
        <v>https://twitter.com/edu_valparaiso/status/1820925393710338319</v>
      </c>
      <c r="AG253" s="76">
        <v>45510.868275462963</v>
      </c>
      <c r="AH253" s="80">
        <v>45510</v>
      </c>
      <c r="AI253" s="77" t="s">
        <v>1398</v>
      </c>
      <c r="AW253" s="78" t="str">
        <f>HYPERLINK("https://pbs.twimg.com/profile_images/1339949660115525634/-U_4-GcL_normal.jpg")</f>
        <v>https://pbs.twimg.com/profile_images/1339949660115525634/-U_4-GcL_normal.jpg</v>
      </c>
      <c r="AX253" s="77" t="s">
        <v>1882</v>
      </c>
      <c r="AY253" s="77" t="s">
        <v>1882</v>
      </c>
      <c r="BA253" s="77" t="s">
        <v>2494</v>
      </c>
      <c r="BB253" s="77" t="s">
        <v>2494</v>
      </c>
      <c r="BC253" s="77" t="s">
        <v>2494</v>
      </c>
      <c r="BD253" s="77" t="s">
        <v>1882</v>
      </c>
      <c r="BE253" s="77" t="s">
        <v>2536</v>
      </c>
      <c r="BK253" s="112" t="str">
        <f>REPLACE(INDEX(GroupVertices[Group], MATCH("~"&amp;Edges[[#This Row],[Vertex 1]],GroupVertices[Vertex],0)),1,1,"")</f>
        <v>36</v>
      </c>
      <c r="BL253" s="112" t="str">
        <f>REPLACE(INDEX(GroupVertices[Group], MATCH("~"&amp;Edges[[#This Row],[Vertex 2]],GroupVertices[Vertex],0)),1,1,"")</f>
        <v>36</v>
      </c>
    </row>
    <row r="254" spans="1:64" x14ac:dyDescent="0.25">
      <c r="A254" s="61" t="s">
        <v>290</v>
      </c>
      <c r="B254" s="61" t="s">
        <v>290</v>
      </c>
      <c r="C254" s="62"/>
      <c r="D254" s="63"/>
      <c r="E254" s="64"/>
      <c r="F254" s="65"/>
      <c r="G254" s="62"/>
      <c r="H254" s="66"/>
      <c r="I254" s="67"/>
      <c r="J254" s="67"/>
      <c r="K254" s="31"/>
      <c r="L254" s="75">
        <v>254</v>
      </c>
      <c r="M254"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54" s="69"/>
      <c r="O254" t="s">
        <v>177</v>
      </c>
      <c r="P254" s="76">
        <v>45509.499143518522</v>
      </c>
      <c r="Q254" t="s">
        <v>801</v>
      </c>
      <c r="R254" t="b">
        <v>0</v>
      </c>
      <c r="S254">
        <v>0</v>
      </c>
      <c r="T254">
        <v>0</v>
      </c>
      <c r="U254">
        <v>0</v>
      </c>
      <c r="V254">
        <v>0</v>
      </c>
      <c r="W254">
        <v>44</v>
      </c>
      <c r="X254" s="77" t="s">
        <v>1098</v>
      </c>
      <c r="Y254" s="78" t="str">
        <f>HYPERLINK("https://bionoticias.cl/sistema-de-admision-escolar-sae-los-mitos-y-verdades-de-la-plataforma-de-postulacion-a-colegios/")</f>
        <v>https://bionoticias.cl/sistema-de-admision-escolar-sae-los-mitos-y-verdades-de-la-plataforma-de-postulacion-a-colegios/</v>
      </c>
      <c r="Z254" t="s">
        <v>1147</v>
      </c>
      <c r="AB254" t="s">
        <v>1278</v>
      </c>
      <c r="AC254" t="s">
        <v>1359</v>
      </c>
      <c r="AD254" s="77" t="s">
        <v>1367</v>
      </c>
      <c r="AE254" t="s">
        <v>1385</v>
      </c>
      <c r="AF254" s="78" t="str">
        <f>HYPERLINK("https://twitter.com/chandiafer/status/1820429234172481867")</f>
        <v>https://twitter.com/chandiafer/status/1820429234172481867</v>
      </c>
      <c r="AG254" s="76">
        <v>45509.499143518522</v>
      </c>
      <c r="AH254" s="80">
        <v>45509</v>
      </c>
      <c r="AI254" s="77" t="s">
        <v>1483</v>
      </c>
      <c r="AJ254" t="b">
        <v>0</v>
      </c>
      <c r="AR254" t="s">
        <v>1791</v>
      </c>
      <c r="AW254" s="78" t="str">
        <f>HYPERLINK("https://pbs.twimg.com/media/GUN2q5VXAAEznJu.jpg")</f>
        <v>https://pbs.twimg.com/media/GUN2q5VXAAEznJu.jpg</v>
      </c>
      <c r="AX254" s="77" t="s">
        <v>1967</v>
      </c>
      <c r="AY254" s="77" t="s">
        <v>1967</v>
      </c>
      <c r="BA254" s="77" t="s">
        <v>2494</v>
      </c>
      <c r="BB254" s="77" t="s">
        <v>2494</v>
      </c>
      <c r="BC254" s="77" t="s">
        <v>2494</v>
      </c>
      <c r="BD254" s="77" t="s">
        <v>1967</v>
      </c>
      <c r="BE254">
        <v>141240332</v>
      </c>
      <c r="BK254" s="112" t="str">
        <f>REPLACE(INDEX(GroupVertices[Group], MATCH("~"&amp;Edges[[#This Row],[Vertex 1]],GroupVertices[Vertex],0)),1,1,"")</f>
        <v>135</v>
      </c>
      <c r="BL254" s="112" t="str">
        <f>REPLACE(INDEX(GroupVertices[Group], MATCH("~"&amp;Edges[[#This Row],[Vertex 2]],GroupVertices[Vertex],0)),1,1,"")</f>
        <v>135</v>
      </c>
    </row>
    <row r="255" spans="1:64" x14ac:dyDescent="0.25">
      <c r="A255" s="61" t="s">
        <v>333</v>
      </c>
      <c r="B255" s="61" t="s">
        <v>333</v>
      </c>
      <c r="C255" s="62"/>
      <c r="D255" s="63"/>
      <c r="E255" s="64"/>
      <c r="F255" s="65"/>
      <c r="G255" s="62"/>
      <c r="H255" s="66"/>
      <c r="I255" s="67"/>
      <c r="J255" s="67"/>
      <c r="K255" s="31"/>
      <c r="L255" s="75">
        <v>255</v>
      </c>
      <c r="M255"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55" s="69"/>
      <c r="O255" t="s">
        <v>177</v>
      </c>
      <c r="P255" s="76">
        <v>45510.540393518517</v>
      </c>
      <c r="Q255" t="s">
        <v>888</v>
      </c>
      <c r="R255" t="b">
        <v>0</v>
      </c>
      <c r="S255">
        <v>0</v>
      </c>
      <c r="T255">
        <v>0</v>
      </c>
      <c r="U255">
        <v>0</v>
      </c>
      <c r="V255">
        <v>0</v>
      </c>
      <c r="W255">
        <v>43</v>
      </c>
      <c r="AB255" t="s">
        <v>1301</v>
      </c>
      <c r="AC255" t="s">
        <v>1359</v>
      </c>
      <c r="AD255" s="77" t="s">
        <v>1367</v>
      </c>
      <c r="AE255" t="s">
        <v>1385</v>
      </c>
      <c r="AF255" s="78" t="str">
        <f>HYPERLINK("https://twitter.com/tombolauy/status/1820806571368079757")</f>
        <v>https://twitter.com/tombolauy/status/1820806571368079757</v>
      </c>
      <c r="AG255" s="76">
        <v>45510.540393518517</v>
      </c>
      <c r="AH255" s="80">
        <v>45510</v>
      </c>
      <c r="AI255" s="77" t="s">
        <v>1568</v>
      </c>
      <c r="AJ255" t="b">
        <v>0</v>
      </c>
      <c r="AR255" t="s">
        <v>1814</v>
      </c>
      <c r="AW255" s="78" t="str">
        <f>HYPERLINK("https://pbs.twimg.com/media/GUTN6VLWsAEVBRs.jpg")</f>
        <v>https://pbs.twimg.com/media/GUTN6VLWsAEVBRs.jpg</v>
      </c>
      <c r="AX255" s="77" t="s">
        <v>2054</v>
      </c>
      <c r="AY255" s="77" t="s">
        <v>2054</v>
      </c>
      <c r="BA255" s="77" t="s">
        <v>2494</v>
      </c>
      <c r="BB255" s="77" t="s">
        <v>2494</v>
      </c>
      <c r="BC255" s="77" t="s">
        <v>2494</v>
      </c>
      <c r="BD255" s="77" t="s">
        <v>2054</v>
      </c>
      <c r="BE255" s="77" t="s">
        <v>2579</v>
      </c>
      <c r="BK255" s="112" t="str">
        <f>REPLACE(INDEX(GroupVertices[Group], MATCH("~"&amp;Edges[[#This Row],[Vertex 1]],GroupVertices[Vertex],0)),1,1,"")</f>
        <v>167</v>
      </c>
      <c r="BL255" s="112" t="str">
        <f>REPLACE(INDEX(GroupVertices[Group], MATCH("~"&amp;Edges[[#This Row],[Vertex 2]],GroupVertices[Vertex],0)),1,1,"")</f>
        <v>167</v>
      </c>
    </row>
    <row r="256" spans="1:64" x14ac:dyDescent="0.25">
      <c r="A256" s="61" t="s">
        <v>392</v>
      </c>
      <c r="B256" s="61" t="s">
        <v>392</v>
      </c>
      <c r="C256" s="62"/>
      <c r="D256" s="63"/>
      <c r="E256" s="64"/>
      <c r="F256" s="65"/>
      <c r="G256" s="62"/>
      <c r="H256" s="66"/>
      <c r="I256" s="67"/>
      <c r="J256" s="67"/>
      <c r="K256" s="31"/>
      <c r="L256" s="75">
        <v>256</v>
      </c>
      <c r="M256"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56" s="69"/>
      <c r="O256" t="s">
        <v>701</v>
      </c>
      <c r="P256" s="76">
        <v>45509.657442129632</v>
      </c>
      <c r="Q256" t="s">
        <v>958</v>
      </c>
      <c r="R256" t="b">
        <v>0</v>
      </c>
      <c r="S256">
        <v>1</v>
      </c>
      <c r="T256">
        <v>0</v>
      </c>
      <c r="U256">
        <v>1</v>
      </c>
      <c r="V256">
        <v>0</v>
      </c>
      <c r="W256">
        <v>43</v>
      </c>
      <c r="AB256" t="s">
        <v>1323</v>
      </c>
      <c r="AC256" t="s">
        <v>1363</v>
      </c>
      <c r="AD256" s="77" t="s">
        <v>1366</v>
      </c>
      <c r="AE256" t="s">
        <v>1385</v>
      </c>
      <c r="AF256" s="78" t="str">
        <f>HYPERLINK("https://twitter.com/politicaspba/status/1820486600108982453")</f>
        <v>https://twitter.com/politicaspba/status/1820486600108982453</v>
      </c>
      <c r="AG256" s="76">
        <v>45509.657442129632</v>
      </c>
      <c r="AH256" s="80">
        <v>45509</v>
      </c>
      <c r="AI256" s="77" t="s">
        <v>1638</v>
      </c>
      <c r="AJ256" t="b">
        <v>0</v>
      </c>
      <c r="AR256" t="s">
        <v>1836</v>
      </c>
      <c r="AW256" s="78" t="str">
        <f>HYPERLINK("https://pbs.twimg.com/media/GUOq4a9XkAAhJtC.jpg")</f>
        <v>https://pbs.twimg.com/media/GUOq4a9XkAAhJtC.jpg</v>
      </c>
      <c r="AX256" s="77" t="s">
        <v>2124</v>
      </c>
      <c r="AY256" s="77" t="s">
        <v>2337</v>
      </c>
      <c r="AZ256" s="77" t="s">
        <v>2456</v>
      </c>
      <c r="BA256" s="77" t="s">
        <v>2337</v>
      </c>
      <c r="BB256" s="77" t="s">
        <v>2494</v>
      </c>
      <c r="BC256" s="77" t="s">
        <v>2494</v>
      </c>
      <c r="BD256" s="77" t="s">
        <v>2337</v>
      </c>
      <c r="BE256" s="77" t="s">
        <v>2456</v>
      </c>
      <c r="BK256" s="112" t="str">
        <f>REPLACE(INDEX(GroupVertices[Group], MATCH("~"&amp;Edges[[#This Row],[Vertex 1]],GroupVertices[Vertex],0)),1,1,"")</f>
        <v>141</v>
      </c>
      <c r="BL256" s="112" t="str">
        <f>REPLACE(INDEX(GroupVertices[Group], MATCH("~"&amp;Edges[[#This Row],[Vertex 2]],GroupVertices[Vertex],0)),1,1,"")</f>
        <v>141</v>
      </c>
    </row>
    <row r="257" spans="1:64" x14ac:dyDescent="0.25">
      <c r="A257" s="61" t="s">
        <v>266</v>
      </c>
      <c r="B257" s="61" t="s">
        <v>550</v>
      </c>
      <c r="C257" s="62"/>
      <c r="D257" s="63"/>
      <c r="E257" s="64"/>
      <c r="F257" s="65"/>
      <c r="G257" s="62"/>
      <c r="H257" s="66"/>
      <c r="I257" s="67"/>
      <c r="J257" s="67"/>
      <c r="K257" s="31"/>
      <c r="L257" s="75">
        <v>257</v>
      </c>
      <c r="M257"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57" s="69"/>
      <c r="O257" t="s">
        <v>701</v>
      </c>
      <c r="P257" s="76">
        <v>45506.795381944445</v>
      </c>
      <c r="Q257" t="s">
        <v>766</v>
      </c>
      <c r="R257" t="b">
        <v>0</v>
      </c>
      <c r="S257">
        <v>0</v>
      </c>
      <c r="T257">
        <v>0</v>
      </c>
      <c r="U257">
        <v>0</v>
      </c>
      <c r="V257">
        <v>0</v>
      </c>
      <c r="W257">
        <v>42</v>
      </c>
      <c r="AA257" t="s">
        <v>550</v>
      </c>
      <c r="AD257" s="77" t="s">
        <v>1367</v>
      </c>
      <c r="AE257" t="s">
        <v>1385</v>
      </c>
      <c r="AF257" s="78" t="str">
        <f>HYPERLINK("https://twitter.com/admisionescolar/status/1819449424080523342")</f>
        <v>https://twitter.com/admisionescolar/status/1819449424080523342</v>
      </c>
      <c r="AG257" s="76">
        <v>45506.795381944445</v>
      </c>
      <c r="AH257" s="80">
        <v>45506</v>
      </c>
      <c r="AI257" s="77" t="s">
        <v>1448</v>
      </c>
      <c r="AW257" s="78" t="str">
        <f>HYPERLINK("https://pbs.twimg.com/profile_images/1814702908295798784/D2-qs3dC_normal.jpg")</f>
        <v>https://pbs.twimg.com/profile_images/1814702908295798784/D2-qs3dC_normal.jpg</v>
      </c>
      <c r="AX257" s="77" t="s">
        <v>1932</v>
      </c>
      <c r="AY257" s="77" t="s">
        <v>2011</v>
      </c>
      <c r="AZ257" s="77" t="s">
        <v>2400</v>
      </c>
      <c r="BA257" s="77" t="s">
        <v>2500</v>
      </c>
      <c r="BB257" s="77" t="s">
        <v>2494</v>
      </c>
      <c r="BC257" s="77" t="s">
        <v>2494</v>
      </c>
      <c r="BD257" s="77" t="s">
        <v>2500</v>
      </c>
      <c r="BE257" s="77" t="s">
        <v>2553</v>
      </c>
      <c r="BK257" s="112" t="str">
        <f>REPLACE(INDEX(GroupVertices[Group], MATCH("~"&amp;Edges[[#This Row],[Vertex 1]],GroupVertices[Vertex],0)),1,1,"")</f>
        <v>5</v>
      </c>
      <c r="BL257" s="112" t="str">
        <f>REPLACE(INDEX(GroupVertices[Group], MATCH("~"&amp;Edges[[#This Row],[Vertex 2]],GroupVertices[Vertex],0)),1,1,"")</f>
        <v>5</v>
      </c>
    </row>
    <row r="258" spans="1:64" x14ac:dyDescent="0.25">
      <c r="A258" s="61" t="s">
        <v>268</v>
      </c>
      <c r="B258" s="61" t="s">
        <v>552</v>
      </c>
      <c r="C258" s="62"/>
      <c r="D258" s="63"/>
      <c r="E258" s="64"/>
      <c r="F258" s="65"/>
      <c r="G258" s="62"/>
      <c r="H258" s="66"/>
      <c r="I258" s="67"/>
      <c r="J258" s="67"/>
      <c r="K258" s="31"/>
      <c r="L258" s="75">
        <v>258</v>
      </c>
      <c r="M258"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58" s="69"/>
      <c r="O258" t="s">
        <v>703</v>
      </c>
      <c r="P258" s="76">
        <v>45510.571956018517</v>
      </c>
      <c r="Q258" t="s">
        <v>770</v>
      </c>
      <c r="R258" t="b">
        <v>0</v>
      </c>
      <c r="S258">
        <v>0</v>
      </c>
      <c r="T258">
        <v>1</v>
      </c>
      <c r="U258">
        <v>0</v>
      </c>
      <c r="V258">
        <v>0</v>
      </c>
      <c r="W258">
        <v>42</v>
      </c>
      <c r="AA258" t="s">
        <v>1220</v>
      </c>
      <c r="AD258" s="77" t="s">
        <v>1365</v>
      </c>
      <c r="AE258" t="s">
        <v>1385</v>
      </c>
      <c r="AF258" s="78" t="str">
        <f>HYPERLINK("https://twitter.com/estellerria/status/1820818011294417132")</f>
        <v>https://twitter.com/estellerria/status/1820818011294417132</v>
      </c>
      <c r="AG258" s="76">
        <v>45510.571956018517</v>
      </c>
      <c r="AH258" s="80">
        <v>45510</v>
      </c>
      <c r="AI258" s="77" t="s">
        <v>1452</v>
      </c>
      <c r="AW258" s="78" t="str">
        <f>HYPERLINK("https://pbs.twimg.com/profile_images/1616772802639536128/hA5o5A1L_normal.jpg")</f>
        <v>https://pbs.twimg.com/profile_images/1616772802639536128/hA5o5A1L_normal.jpg</v>
      </c>
      <c r="AX258" s="77" t="s">
        <v>1936</v>
      </c>
      <c r="AY258" s="77" t="s">
        <v>2282</v>
      </c>
      <c r="AZ258" s="77" t="s">
        <v>2401</v>
      </c>
      <c r="BA258" s="77" t="s">
        <v>2502</v>
      </c>
      <c r="BB258" s="77" t="s">
        <v>2494</v>
      </c>
      <c r="BC258" s="77" t="s">
        <v>2494</v>
      </c>
      <c r="BD258" s="77" t="s">
        <v>2502</v>
      </c>
      <c r="BE258" s="77" t="s">
        <v>2554</v>
      </c>
      <c r="BK258" s="112" t="str">
        <f>REPLACE(INDEX(GroupVertices[Group], MATCH("~"&amp;Edges[[#This Row],[Vertex 1]],GroupVertices[Vertex],0)),1,1,"")</f>
        <v>16</v>
      </c>
      <c r="BL258" s="112" t="str">
        <f>REPLACE(INDEX(GroupVertices[Group], MATCH("~"&amp;Edges[[#This Row],[Vertex 2]],GroupVertices[Vertex],0)),1,1,"")</f>
        <v>16</v>
      </c>
    </row>
    <row r="259" spans="1:64" x14ac:dyDescent="0.25">
      <c r="A259" s="61" t="s">
        <v>268</v>
      </c>
      <c r="B259" s="61" t="s">
        <v>362</v>
      </c>
      <c r="C259" s="62"/>
      <c r="D259" s="63"/>
      <c r="E259" s="64"/>
      <c r="F259" s="65"/>
      <c r="G259" s="62"/>
      <c r="H259" s="66"/>
      <c r="I259" s="67"/>
      <c r="J259" s="67"/>
      <c r="K259" s="31"/>
      <c r="L259" s="75">
        <v>259</v>
      </c>
      <c r="M259"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59" s="69"/>
      <c r="O259" t="s">
        <v>703</v>
      </c>
      <c r="P259" s="76">
        <v>45510.571956018517</v>
      </c>
      <c r="Q259" t="s">
        <v>770</v>
      </c>
      <c r="R259" t="b">
        <v>0</v>
      </c>
      <c r="S259">
        <v>0</v>
      </c>
      <c r="T259">
        <v>1</v>
      </c>
      <c r="U259">
        <v>0</v>
      </c>
      <c r="V259">
        <v>0</v>
      </c>
      <c r="W259">
        <v>42</v>
      </c>
      <c r="AA259" t="s">
        <v>1220</v>
      </c>
      <c r="AD259" s="77" t="s">
        <v>1365</v>
      </c>
      <c r="AE259" t="s">
        <v>1385</v>
      </c>
      <c r="AF259" s="78" t="str">
        <f>HYPERLINK("https://twitter.com/estellerria/status/1820818011294417132")</f>
        <v>https://twitter.com/estellerria/status/1820818011294417132</v>
      </c>
      <c r="AG259" s="76">
        <v>45510.571956018517</v>
      </c>
      <c r="AH259" s="80">
        <v>45510</v>
      </c>
      <c r="AI259" s="77" t="s">
        <v>1452</v>
      </c>
      <c r="AW259" s="78" t="str">
        <f>HYPERLINK("https://pbs.twimg.com/profile_images/1616772802639536128/hA5o5A1L_normal.jpg")</f>
        <v>https://pbs.twimg.com/profile_images/1616772802639536128/hA5o5A1L_normal.jpg</v>
      </c>
      <c r="AX259" s="77" t="s">
        <v>1936</v>
      </c>
      <c r="AY259" s="77" t="s">
        <v>2282</v>
      </c>
      <c r="AZ259" s="77" t="s">
        <v>2401</v>
      </c>
      <c r="BA259" s="77" t="s">
        <v>2502</v>
      </c>
      <c r="BB259" s="77" t="s">
        <v>2494</v>
      </c>
      <c r="BC259" s="77" t="s">
        <v>2494</v>
      </c>
      <c r="BD259" s="77" t="s">
        <v>2502</v>
      </c>
      <c r="BE259" s="77" t="s">
        <v>2554</v>
      </c>
      <c r="BK259" s="112" t="str">
        <f>REPLACE(INDEX(GroupVertices[Group], MATCH("~"&amp;Edges[[#This Row],[Vertex 1]],GroupVertices[Vertex],0)),1,1,"")</f>
        <v>16</v>
      </c>
      <c r="BL259" s="112" t="str">
        <f>REPLACE(INDEX(GroupVertices[Group], MATCH("~"&amp;Edges[[#This Row],[Vertex 2]],GroupVertices[Vertex],0)),1,1,"")</f>
        <v>16</v>
      </c>
    </row>
    <row r="260" spans="1:64" x14ac:dyDescent="0.25">
      <c r="A260" s="61" t="s">
        <v>268</v>
      </c>
      <c r="B260" s="61" t="s">
        <v>418</v>
      </c>
      <c r="C260" s="62"/>
      <c r="D260" s="63"/>
      <c r="E260" s="64"/>
      <c r="F260" s="65"/>
      <c r="G260" s="62"/>
      <c r="H260" s="66"/>
      <c r="I260" s="67"/>
      <c r="J260" s="67"/>
      <c r="K260" s="31"/>
      <c r="L260" s="75">
        <v>260</v>
      </c>
      <c r="M260"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60" s="69"/>
      <c r="O260" t="s">
        <v>701</v>
      </c>
      <c r="P260" s="76">
        <v>45510.571956018517</v>
      </c>
      <c r="Q260" t="s">
        <v>770</v>
      </c>
      <c r="R260" t="b">
        <v>0</v>
      </c>
      <c r="S260">
        <v>0</v>
      </c>
      <c r="T260">
        <v>1</v>
      </c>
      <c r="U260">
        <v>0</v>
      </c>
      <c r="V260">
        <v>0</v>
      </c>
      <c r="W260">
        <v>42</v>
      </c>
      <c r="AA260" t="s">
        <v>1220</v>
      </c>
      <c r="AD260" s="77" t="s">
        <v>1365</v>
      </c>
      <c r="AE260" t="s">
        <v>1385</v>
      </c>
      <c r="AF260" s="78" t="str">
        <f>HYPERLINK("https://twitter.com/estellerria/status/1820818011294417132")</f>
        <v>https://twitter.com/estellerria/status/1820818011294417132</v>
      </c>
      <c r="AG260" s="76">
        <v>45510.571956018517</v>
      </c>
      <c r="AH260" s="80">
        <v>45510</v>
      </c>
      <c r="AI260" s="77" t="s">
        <v>1452</v>
      </c>
      <c r="AW260" s="78" t="str">
        <f>HYPERLINK("https://pbs.twimg.com/profile_images/1616772802639536128/hA5o5A1L_normal.jpg")</f>
        <v>https://pbs.twimg.com/profile_images/1616772802639536128/hA5o5A1L_normal.jpg</v>
      </c>
      <c r="AX260" s="77" t="s">
        <v>1936</v>
      </c>
      <c r="AY260" s="77" t="s">
        <v>2282</v>
      </c>
      <c r="AZ260" s="77" t="s">
        <v>2401</v>
      </c>
      <c r="BA260" s="77" t="s">
        <v>2502</v>
      </c>
      <c r="BB260" s="77" t="s">
        <v>2494</v>
      </c>
      <c r="BC260" s="77" t="s">
        <v>2494</v>
      </c>
      <c r="BD260" s="77" t="s">
        <v>2502</v>
      </c>
      <c r="BE260" s="77" t="s">
        <v>2554</v>
      </c>
      <c r="BK260" s="112" t="str">
        <f>REPLACE(INDEX(GroupVertices[Group], MATCH("~"&amp;Edges[[#This Row],[Vertex 1]],GroupVertices[Vertex],0)),1,1,"")</f>
        <v>16</v>
      </c>
      <c r="BL260" s="112" t="str">
        <f>REPLACE(INDEX(GroupVertices[Group], MATCH("~"&amp;Edges[[#This Row],[Vertex 2]],GroupVertices[Vertex],0)),1,1,"")</f>
        <v>16</v>
      </c>
    </row>
    <row r="261" spans="1:64" x14ac:dyDescent="0.25">
      <c r="A261" s="61" t="s">
        <v>271</v>
      </c>
      <c r="B261" s="61" t="s">
        <v>271</v>
      </c>
      <c r="C261" s="62"/>
      <c r="D261" s="63"/>
      <c r="E261" s="64"/>
      <c r="F261" s="65"/>
      <c r="G261" s="62"/>
      <c r="H261" s="66"/>
      <c r="I261" s="67"/>
      <c r="J261" s="67"/>
      <c r="K261" s="31"/>
      <c r="L261" s="75">
        <v>261</v>
      </c>
      <c r="M261"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61" s="69"/>
      <c r="O261" t="s">
        <v>177</v>
      </c>
      <c r="P261" s="76">
        <v>45506.809606481482</v>
      </c>
      <c r="Q261" t="s">
        <v>773</v>
      </c>
      <c r="R261" t="b">
        <v>0</v>
      </c>
      <c r="S261">
        <v>0</v>
      </c>
      <c r="T261">
        <v>0</v>
      </c>
      <c r="U261">
        <v>0</v>
      </c>
      <c r="V261">
        <v>0</v>
      </c>
      <c r="W261">
        <v>42</v>
      </c>
      <c r="X261" s="77" t="s">
        <v>1096</v>
      </c>
      <c r="Y261" s="78" t="str">
        <f>HYPERLINK("https://www.contingenciachile.cl/comenzo-proceso-de-postulacion-a-colegios-a-traves-del-sistema-de-admision-escolar-sae/")</f>
        <v>https://www.contingenciachile.cl/comenzo-proceso-de-postulacion-a-colegios-a-traves-del-sistema-de-admision-escolar-sae/</v>
      </c>
      <c r="Z261" t="s">
        <v>1144</v>
      </c>
      <c r="AD261" s="77" t="s">
        <v>1367</v>
      </c>
      <c r="AE261" t="s">
        <v>1385</v>
      </c>
      <c r="AF261" s="78" t="str">
        <f>HYPERLINK("https://twitter.com/contingenciacl_/status/1819454580889211301")</f>
        <v>https://twitter.com/contingenciacl_/status/1819454580889211301</v>
      </c>
      <c r="AG261" s="76">
        <v>45506.809606481482</v>
      </c>
      <c r="AH261" s="80">
        <v>45506</v>
      </c>
      <c r="AI261" s="77" t="s">
        <v>1455</v>
      </c>
      <c r="AJ261" t="b">
        <v>0</v>
      </c>
      <c r="AW261" s="78" t="str">
        <f>HYPERLINK("https://pbs.twimg.com/profile_images/1876053471473901568/vTdwi0ii_normal.jpg")</f>
        <v>https://pbs.twimg.com/profile_images/1876053471473901568/vTdwi0ii_normal.jpg</v>
      </c>
      <c r="AX261" s="77" t="s">
        <v>1939</v>
      </c>
      <c r="AY261" s="77" t="s">
        <v>1939</v>
      </c>
      <c r="BA261" s="77" t="s">
        <v>2494</v>
      </c>
      <c r="BB261" s="77" t="s">
        <v>2494</v>
      </c>
      <c r="BC261" s="77" t="s">
        <v>2494</v>
      </c>
      <c r="BD261" s="77" t="s">
        <v>1939</v>
      </c>
      <c r="BE261" s="77" t="s">
        <v>2555</v>
      </c>
      <c r="BK261" s="112" t="str">
        <f>REPLACE(INDEX(GroupVertices[Group], MATCH("~"&amp;Edges[[#This Row],[Vertex 1]],GroupVertices[Vertex],0)),1,1,"")</f>
        <v>134</v>
      </c>
      <c r="BL261" s="112" t="str">
        <f>REPLACE(INDEX(GroupVertices[Group], MATCH("~"&amp;Edges[[#This Row],[Vertex 2]],GroupVertices[Vertex],0)),1,1,"")</f>
        <v>134</v>
      </c>
    </row>
    <row r="262" spans="1:64" x14ac:dyDescent="0.25">
      <c r="A262" s="61" t="s">
        <v>337</v>
      </c>
      <c r="B262" s="61" t="s">
        <v>337</v>
      </c>
      <c r="C262" s="62"/>
      <c r="D262" s="63"/>
      <c r="E262" s="64"/>
      <c r="F262" s="65"/>
      <c r="G262" s="62"/>
      <c r="H262" s="66"/>
      <c r="I262" s="67"/>
      <c r="J262" s="67"/>
      <c r="K262" s="31"/>
      <c r="L262" s="75">
        <v>262</v>
      </c>
      <c r="M262"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62" s="69"/>
      <c r="O262" t="s">
        <v>177</v>
      </c>
      <c r="P262" s="76">
        <v>45505.639849537038</v>
      </c>
      <c r="Q262" t="s">
        <v>896</v>
      </c>
      <c r="R262" t="b">
        <v>0</v>
      </c>
      <c r="S262">
        <v>0</v>
      </c>
      <c r="T262">
        <v>0</v>
      </c>
      <c r="U262">
        <v>0</v>
      </c>
      <c r="V262">
        <v>0</v>
      </c>
      <c r="W262">
        <v>42</v>
      </c>
      <c r="X262" s="77" t="s">
        <v>1109</v>
      </c>
      <c r="AB262" t="s">
        <v>1306</v>
      </c>
      <c r="AC262" t="s">
        <v>1359</v>
      </c>
      <c r="AD262" s="77" t="s">
        <v>1367</v>
      </c>
      <c r="AE262" t="s">
        <v>1385</v>
      </c>
      <c r="AF262" s="78" t="str">
        <f>HYPERLINK("https://twitter.com/aytopinosgenil/status/1819030673400758623")</f>
        <v>https://twitter.com/aytopinosgenil/status/1819030673400758623</v>
      </c>
      <c r="AG262" s="76">
        <v>45505.639849537038</v>
      </c>
      <c r="AH262" s="80">
        <v>45505</v>
      </c>
      <c r="AI262" s="77" t="s">
        <v>1576</v>
      </c>
      <c r="AJ262" t="b">
        <v>0</v>
      </c>
      <c r="AR262" t="s">
        <v>1819</v>
      </c>
      <c r="AW262" s="78" t="str">
        <f>HYPERLINK("https://pbs.twimg.com/media/GT5-uFjXsAAdEr4.jpg")</f>
        <v>https://pbs.twimg.com/media/GT5-uFjXsAAdEr4.jpg</v>
      </c>
      <c r="AX262" s="77" t="s">
        <v>2062</v>
      </c>
      <c r="AY262" s="77" t="s">
        <v>2062</v>
      </c>
      <c r="BA262" s="77" t="s">
        <v>2494</v>
      </c>
      <c r="BB262" s="77" t="s">
        <v>2494</v>
      </c>
      <c r="BC262" s="77" t="s">
        <v>2494</v>
      </c>
      <c r="BD262" s="77" t="s">
        <v>2062</v>
      </c>
      <c r="BE262" s="77" t="s">
        <v>2580</v>
      </c>
      <c r="BK262" s="112" t="str">
        <f>REPLACE(INDEX(GroupVertices[Group], MATCH("~"&amp;Edges[[#This Row],[Vertex 1]],GroupVertices[Vertex],0)),1,1,"")</f>
        <v>133</v>
      </c>
      <c r="BL262" s="112" t="str">
        <f>REPLACE(INDEX(GroupVertices[Group], MATCH("~"&amp;Edges[[#This Row],[Vertex 2]],GroupVertices[Vertex],0)),1,1,"")</f>
        <v>133</v>
      </c>
    </row>
    <row r="263" spans="1:64" x14ac:dyDescent="0.25">
      <c r="A263" s="61" t="s">
        <v>263</v>
      </c>
      <c r="B263" s="61" t="s">
        <v>540</v>
      </c>
      <c r="C263" s="62"/>
      <c r="D263" s="63"/>
      <c r="E263" s="64"/>
      <c r="F263" s="65"/>
      <c r="G263" s="62"/>
      <c r="H263" s="66"/>
      <c r="I263" s="67"/>
      <c r="J263" s="67"/>
      <c r="K263" s="31"/>
      <c r="L263" s="75">
        <v>263</v>
      </c>
      <c r="M263"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63" s="69"/>
      <c r="O263" t="s">
        <v>701</v>
      </c>
      <c r="P263" s="76">
        <v>45510.897928240738</v>
      </c>
      <c r="Q263" t="s">
        <v>756</v>
      </c>
      <c r="R263" t="b">
        <v>0</v>
      </c>
      <c r="S263">
        <v>0</v>
      </c>
      <c r="T263">
        <v>0</v>
      </c>
      <c r="U263">
        <v>0</v>
      </c>
      <c r="V263">
        <v>0</v>
      </c>
      <c r="W263">
        <v>41</v>
      </c>
      <c r="AA263" t="s">
        <v>540</v>
      </c>
      <c r="AD263" s="77" t="s">
        <v>1365</v>
      </c>
      <c r="AE263" t="s">
        <v>1385</v>
      </c>
      <c r="AF263" s="78" t="str">
        <f>HYPERLINK("https://twitter.com/pistoljosed/status/1820936137541591474")</f>
        <v>https://twitter.com/pistoljosed/status/1820936137541591474</v>
      </c>
      <c r="AG263" s="76">
        <v>45510.897928240738</v>
      </c>
      <c r="AH263" s="80">
        <v>45510</v>
      </c>
      <c r="AI263" s="77" t="s">
        <v>1438</v>
      </c>
      <c r="AW263" s="78" t="str">
        <f>HYPERLINK("https://pbs.twimg.com/profile_images/1612781349034754051/haFtPMkn_normal.png")</f>
        <v>https://pbs.twimg.com/profile_images/1612781349034754051/haFtPMkn_normal.png</v>
      </c>
      <c r="AX263" s="77" t="s">
        <v>1922</v>
      </c>
      <c r="AY263" s="77" t="s">
        <v>2277</v>
      </c>
      <c r="AZ263" s="77" t="s">
        <v>2391</v>
      </c>
      <c r="BA263" s="77" t="s">
        <v>2277</v>
      </c>
      <c r="BB263" s="77" t="s">
        <v>2494</v>
      </c>
      <c r="BC263" s="77" t="s">
        <v>2494</v>
      </c>
      <c r="BD263" s="77" t="s">
        <v>2277</v>
      </c>
      <c r="BE263" s="77" t="s">
        <v>2551</v>
      </c>
      <c r="BK263" s="112" t="str">
        <f>REPLACE(INDEX(GroupVertices[Group], MATCH("~"&amp;Edges[[#This Row],[Vertex 1]],GroupVertices[Vertex],0)),1,1,"")</f>
        <v>79</v>
      </c>
      <c r="BL263" s="112" t="str">
        <f>REPLACE(INDEX(GroupVertices[Group], MATCH("~"&amp;Edges[[#This Row],[Vertex 2]],GroupVertices[Vertex],0)),1,1,"")</f>
        <v>79</v>
      </c>
    </row>
    <row r="264" spans="1:64" x14ac:dyDescent="0.25">
      <c r="A264" s="61" t="s">
        <v>372</v>
      </c>
      <c r="B264" s="61" t="s">
        <v>372</v>
      </c>
      <c r="C264" s="62"/>
      <c r="D264" s="63"/>
      <c r="E264" s="64"/>
      <c r="F264" s="65"/>
      <c r="G264" s="62"/>
      <c r="H264" s="66"/>
      <c r="I264" s="67"/>
      <c r="J264" s="67"/>
      <c r="K264" s="31"/>
      <c r="L264" s="75">
        <v>264</v>
      </c>
      <c r="M264"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64" s="69"/>
      <c r="O264" t="s">
        <v>177</v>
      </c>
      <c r="P264" s="76">
        <v>45509.875104166669</v>
      </c>
      <c r="Q264" t="s">
        <v>935</v>
      </c>
      <c r="R264" t="b">
        <v>0</v>
      </c>
      <c r="S264">
        <v>0</v>
      </c>
      <c r="T264">
        <v>0</v>
      </c>
      <c r="U264">
        <v>0</v>
      </c>
      <c r="V264">
        <v>0</v>
      </c>
      <c r="W264">
        <v>41</v>
      </c>
      <c r="Y264" s="78" t="str">
        <f>HYPERLINK("https://ift.tt/NI4esrG")</f>
        <v>https://ift.tt/NI4esrG</v>
      </c>
      <c r="Z264" t="s">
        <v>1177</v>
      </c>
      <c r="AD264" s="77" t="s">
        <v>1380</v>
      </c>
      <c r="AE264" t="s">
        <v>1385</v>
      </c>
      <c r="AF264" s="78" t="str">
        <f>HYPERLINK("https://twitter.com/coquimbonoticia/status/1820565477950673359")</f>
        <v>https://twitter.com/coquimbonoticia/status/1820565477950673359</v>
      </c>
      <c r="AG264" s="76">
        <v>45509.875104166669</v>
      </c>
      <c r="AH264" s="80">
        <v>45509</v>
      </c>
      <c r="AI264" s="77" t="s">
        <v>1615</v>
      </c>
      <c r="AJ264" t="b">
        <v>0</v>
      </c>
      <c r="AW264" s="78" t="str">
        <f>HYPERLINK("https://pbs.twimg.com/profile_images/1723791013884424192/ye-KVoF6_normal.jpg")</f>
        <v>https://pbs.twimg.com/profile_images/1723791013884424192/ye-KVoF6_normal.jpg</v>
      </c>
      <c r="AX264" s="77" t="s">
        <v>2101</v>
      </c>
      <c r="AY264" s="77" t="s">
        <v>2101</v>
      </c>
      <c r="BA264" s="77" t="s">
        <v>2494</v>
      </c>
      <c r="BB264" s="77" t="s">
        <v>2494</v>
      </c>
      <c r="BC264" s="77" t="s">
        <v>2494</v>
      </c>
      <c r="BD264" s="77" t="s">
        <v>2101</v>
      </c>
      <c r="BE264" s="77" t="s">
        <v>2594</v>
      </c>
      <c r="BK264" s="112" t="str">
        <f>REPLACE(INDEX(GroupVertices[Group], MATCH("~"&amp;Edges[[#This Row],[Vertex 1]],GroupVertices[Vertex],0)),1,1,"")</f>
        <v>132</v>
      </c>
      <c r="BL264" s="112" t="str">
        <f>REPLACE(INDEX(GroupVertices[Group], MATCH("~"&amp;Edges[[#This Row],[Vertex 2]],GroupVertices[Vertex],0)),1,1,"")</f>
        <v>132</v>
      </c>
    </row>
    <row r="265" spans="1:64" x14ac:dyDescent="0.25">
      <c r="A265" s="61" t="s">
        <v>306</v>
      </c>
      <c r="B265" s="61" t="s">
        <v>506</v>
      </c>
      <c r="C265" s="62"/>
      <c r="D265" s="63"/>
      <c r="E265" s="64"/>
      <c r="F265" s="65"/>
      <c r="G265" s="62"/>
      <c r="H265" s="66"/>
      <c r="I265" s="67"/>
      <c r="J265" s="67"/>
      <c r="K265" s="31"/>
      <c r="L265" s="75">
        <v>265</v>
      </c>
      <c r="M265"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65" s="69"/>
      <c r="O265" t="s">
        <v>702</v>
      </c>
      <c r="P265" s="76">
        <v>45507.524016203701</v>
      </c>
      <c r="Q265" t="s">
        <v>856</v>
      </c>
      <c r="R265" t="b">
        <v>0</v>
      </c>
      <c r="S265">
        <v>1</v>
      </c>
      <c r="T265">
        <v>2</v>
      </c>
      <c r="U265">
        <v>0</v>
      </c>
      <c r="V265">
        <v>0</v>
      </c>
      <c r="W265">
        <v>40</v>
      </c>
      <c r="Y265" s="78" t="str">
        <f>HYPERLINK("https://www.eluniversal.com.mx/opinion/ricardo-homs/la-tombola-judicial/")</f>
        <v>https://www.eluniversal.com.mx/opinion/ricardo-homs/la-tombola-judicial/</v>
      </c>
      <c r="Z265" t="s">
        <v>1136</v>
      </c>
      <c r="AA265" t="s">
        <v>1234</v>
      </c>
      <c r="AD265" s="77" t="s">
        <v>1366</v>
      </c>
      <c r="AE265" t="s">
        <v>1385</v>
      </c>
      <c r="AF265" s="78" t="str">
        <f>HYPERLINK("https://twitter.com/hectorcasto53/status/1819713473183625459")</f>
        <v>https://twitter.com/hectorcasto53/status/1819713473183625459</v>
      </c>
      <c r="AG265" s="76">
        <v>45507.524016203701</v>
      </c>
      <c r="AH265" s="80">
        <v>45507</v>
      </c>
      <c r="AI265" s="77" t="s">
        <v>1537</v>
      </c>
      <c r="AJ265" t="b">
        <v>0</v>
      </c>
      <c r="AW265" s="78" t="str">
        <f>HYPERLINK("https://pbs.twimg.com/profile_images/703264933035667456/JP0b742t_normal.jpg")</f>
        <v>https://pbs.twimg.com/profile_images/703264933035667456/JP0b742t_normal.jpg</v>
      </c>
      <c r="AX265" s="77" t="s">
        <v>2022</v>
      </c>
      <c r="AY265" s="77" t="s">
        <v>2022</v>
      </c>
      <c r="BA265" s="77" t="s">
        <v>2494</v>
      </c>
      <c r="BB265" s="77" t="s">
        <v>2494</v>
      </c>
      <c r="BC265" s="77" t="s">
        <v>2494</v>
      </c>
      <c r="BD265" s="77" t="s">
        <v>2022</v>
      </c>
      <c r="BE265">
        <v>848151240</v>
      </c>
      <c r="BK265" s="112" t="str">
        <f>REPLACE(INDEX(GroupVertices[Group], MATCH("~"&amp;Edges[[#This Row],[Vertex 1]],GroupVertices[Vertex],0)),1,1,"")</f>
        <v>4</v>
      </c>
      <c r="BL265" s="112" t="str">
        <f>REPLACE(INDEX(GroupVertices[Group], MATCH("~"&amp;Edges[[#This Row],[Vertex 2]],GroupVertices[Vertex],0)),1,1,"")</f>
        <v>4</v>
      </c>
    </row>
    <row r="266" spans="1:64" x14ac:dyDescent="0.25">
      <c r="A266" s="61" t="s">
        <v>306</v>
      </c>
      <c r="B266" s="61" t="s">
        <v>587</v>
      </c>
      <c r="C266" s="62"/>
      <c r="D266" s="63"/>
      <c r="E266" s="64"/>
      <c r="F266" s="65"/>
      <c r="G266" s="62"/>
      <c r="H266" s="66"/>
      <c r="I266" s="67"/>
      <c r="J266" s="67"/>
      <c r="K266" s="31"/>
      <c r="L266" s="75">
        <v>266</v>
      </c>
      <c r="M266"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66" s="69"/>
      <c r="O266" t="s">
        <v>702</v>
      </c>
      <c r="P266" s="76">
        <v>45507.524016203701</v>
      </c>
      <c r="Q266" t="s">
        <v>856</v>
      </c>
      <c r="R266" t="b">
        <v>0</v>
      </c>
      <c r="S266">
        <v>1</v>
      </c>
      <c r="T266">
        <v>2</v>
      </c>
      <c r="U266">
        <v>0</v>
      </c>
      <c r="V266">
        <v>0</v>
      </c>
      <c r="W266">
        <v>40</v>
      </c>
      <c r="Y266" s="78" t="str">
        <f>HYPERLINK("https://www.eluniversal.com.mx/opinion/ricardo-homs/la-tombola-judicial/")</f>
        <v>https://www.eluniversal.com.mx/opinion/ricardo-homs/la-tombola-judicial/</v>
      </c>
      <c r="Z266" t="s">
        <v>1136</v>
      </c>
      <c r="AA266" t="s">
        <v>1234</v>
      </c>
      <c r="AD266" s="77" t="s">
        <v>1366</v>
      </c>
      <c r="AE266" t="s">
        <v>1385</v>
      </c>
      <c r="AF266" s="78" t="str">
        <f>HYPERLINK("https://twitter.com/hectorcasto53/status/1819713473183625459")</f>
        <v>https://twitter.com/hectorcasto53/status/1819713473183625459</v>
      </c>
      <c r="AG266" s="76">
        <v>45507.524016203701</v>
      </c>
      <c r="AH266" s="80">
        <v>45507</v>
      </c>
      <c r="AI266" s="77" t="s">
        <v>1537</v>
      </c>
      <c r="AJ266" t="b">
        <v>0</v>
      </c>
      <c r="AW266" s="78" t="str">
        <f>HYPERLINK("https://pbs.twimg.com/profile_images/703264933035667456/JP0b742t_normal.jpg")</f>
        <v>https://pbs.twimg.com/profile_images/703264933035667456/JP0b742t_normal.jpg</v>
      </c>
      <c r="AX266" s="77" t="s">
        <v>2022</v>
      </c>
      <c r="AY266" s="77" t="s">
        <v>2022</v>
      </c>
      <c r="BA266" s="77" t="s">
        <v>2494</v>
      </c>
      <c r="BB266" s="77" t="s">
        <v>2494</v>
      </c>
      <c r="BC266" s="77" t="s">
        <v>2494</v>
      </c>
      <c r="BD266" s="77" t="s">
        <v>2022</v>
      </c>
      <c r="BE266">
        <v>848151240</v>
      </c>
      <c r="BK266" s="112" t="str">
        <f>REPLACE(INDEX(GroupVertices[Group], MATCH("~"&amp;Edges[[#This Row],[Vertex 1]],GroupVertices[Vertex],0)),1,1,"")</f>
        <v>4</v>
      </c>
      <c r="BL266" s="112" t="str">
        <f>REPLACE(INDEX(GroupVertices[Group], MATCH("~"&amp;Edges[[#This Row],[Vertex 2]],GroupVertices[Vertex],0)),1,1,"")</f>
        <v>4</v>
      </c>
    </row>
    <row r="267" spans="1:64" x14ac:dyDescent="0.25">
      <c r="A267" s="61" t="s">
        <v>313</v>
      </c>
      <c r="B267" s="61" t="s">
        <v>313</v>
      </c>
      <c r="C267" s="62"/>
      <c r="D267" s="63"/>
      <c r="E267" s="64"/>
      <c r="F267" s="65"/>
      <c r="G267" s="62"/>
      <c r="H267" s="66"/>
      <c r="I267" s="67"/>
      <c r="J267" s="67"/>
      <c r="K267" s="31"/>
      <c r="L267" s="75">
        <v>267</v>
      </c>
      <c r="M267"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67" s="69"/>
      <c r="O267" t="s">
        <v>177</v>
      </c>
      <c r="P267" s="76">
        <v>45506.674305555556</v>
      </c>
      <c r="Q267" t="s">
        <v>863</v>
      </c>
      <c r="R267" t="b">
        <v>0</v>
      </c>
      <c r="S267">
        <v>0</v>
      </c>
      <c r="T267">
        <v>0</v>
      </c>
      <c r="U267">
        <v>0</v>
      </c>
      <c r="V267">
        <v>0</v>
      </c>
      <c r="W267">
        <v>40</v>
      </c>
      <c r="Y267" s="78" t="str">
        <f>HYPERLINK("https://lafontana.cl/2024/08/02/proceso-admision-escolar-nuble/")</f>
        <v>https://lafontana.cl/2024/08/02/proceso-admision-escolar-nuble/</v>
      </c>
      <c r="Z267" t="s">
        <v>1160</v>
      </c>
      <c r="AB267" t="s">
        <v>1291</v>
      </c>
      <c r="AC267" t="s">
        <v>1359</v>
      </c>
      <c r="AD267" s="77" t="s">
        <v>1367</v>
      </c>
      <c r="AE267" t="s">
        <v>1385</v>
      </c>
      <c r="AF267" s="78" t="str">
        <f>HYPERLINK("https://twitter.com/lafontanacl/status/1819405548489724205")</f>
        <v>https://twitter.com/lafontanacl/status/1819405548489724205</v>
      </c>
      <c r="AG267" s="76">
        <v>45506.674305555556</v>
      </c>
      <c r="AH267" s="80">
        <v>45506</v>
      </c>
      <c r="AI267" s="77" t="s">
        <v>1544</v>
      </c>
      <c r="AJ267" t="b">
        <v>0</v>
      </c>
      <c r="AR267" t="s">
        <v>1804</v>
      </c>
      <c r="AW267" s="78" t="str">
        <f>HYPERLINK("https://pbs.twimg.com/media/GT-qpWsWcAAlPBD.jpg")</f>
        <v>https://pbs.twimg.com/media/GT-qpWsWcAAlPBD.jpg</v>
      </c>
      <c r="AX267" s="77" t="s">
        <v>2029</v>
      </c>
      <c r="AY267" s="77" t="s">
        <v>2029</v>
      </c>
      <c r="BA267" s="77" t="s">
        <v>2494</v>
      </c>
      <c r="BB267" s="77" t="s">
        <v>2494</v>
      </c>
      <c r="BC267" s="77" t="s">
        <v>2494</v>
      </c>
      <c r="BD267" s="77" t="s">
        <v>2029</v>
      </c>
      <c r="BE267" s="77" t="s">
        <v>2572</v>
      </c>
      <c r="BK267" s="112" t="str">
        <f>REPLACE(INDEX(GroupVertices[Group], MATCH("~"&amp;Edges[[#This Row],[Vertex 1]],GroupVertices[Vertex],0)),1,1,"")</f>
        <v>131</v>
      </c>
      <c r="BL267" s="112" t="str">
        <f>REPLACE(INDEX(GroupVertices[Group], MATCH("~"&amp;Edges[[#This Row],[Vertex 2]],GroupVertices[Vertex],0)),1,1,"")</f>
        <v>131</v>
      </c>
    </row>
    <row r="268" spans="1:64" x14ac:dyDescent="0.25">
      <c r="A268" s="61" t="s">
        <v>316</v>
      </c>
      <c r="B268" s="61" t="s">
        <v>591</v>
      </c>
      <c r="C268" s="62"/>
      <c r="D268" s="63"/>
      <c r="E268" s="64"/>
      <c r="F268" s="65"/>
      <c r="G268" s="62"/>
      <c r="H268" s="66"/>
      <c r="I268" s="67"/>
      <c r="J268" s="67"/>
      <c r="K268" s="31"/>
      <c r="L268" s="75">
        <v>268</v>
      </c>
      <c r="M268"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68" s="69"/>
      <c r="O268" t="s">
        <v>701</v>
      </c>
      <c r="P268" s="76">
        <v>45505.535381944443</v>
      </c>
      <c r="Q268" t="s">
        <v>867</v>
      </c>
      <c r="R268" t="b">
        <v>0</v>
      </c>
      <c r="S268">
        <v>0</v>
      </c>
      <c r="T268">
        <v>1</v>
      </c>
      <c r="U268">
        <v>2</v>
      </c>
      <c r="V268">
        <v>0</v>
      </c>
      <c r="W268">
        <v>39</v>
      </c>
      <c r="AA268" t="s">
        <v>591</v>
      </c>
      <c r="AD268" s="77" t="s">
        <v>1365</v>
      </c>
      <c r="AE268" t="s">
        <v>1385</v>
      </c>
      <c r="AF268" s="78" t="str">
        <f>HYPERLINK("https://twitter.com/soypente/status/1818992815038247330")</f>
        <v>https://twitter.com/soypente/status/1818992815038247330</v>
      </c>
      <c r="AG268" s="76">
        <v>45505.535381944443</v>
      </c>
      <c r="AH268" s="80">
        <v>45505</v>
      </c>
      <c r="AI268" s="77" t="s">
        <v>1548</v>
      </c>
      <c r="AK268" t="s">
        <v>1768</v>
      </c>
      <c r="AL268" t="s">
        <v>1769</v>
      </c>
      <c r="AM268" t="s">
        <v>1770</v>
      </c>
      <c r="AN268" t="s">
        <v>1772</v>
      </c>
      <c r="AO268" t="s">
        <v>1774</v>
      </c>
      <c r="AP268" t="s">
        <v>1776</v>
      </c>
      <c r="AQ268" t="s">
        <v>1777</v>
      </c>
      <c r="AW268" s="78" t="str">
        <f>HYPERLINK("https://pbs.twimg.com/profile_images/1768660153853763584/CSMagLqK_normal.jpg")</f>
        <v>https://pbs.twimg.com/profile_images/1768660153853763584/CSMagLqK_normal.jpg</v>
      </c>
      <c r="AX268" s="77" t="s">
        <v>2033</v>
      </c>
      <c r="AY268" s="77" t="s">
        <v>2305</v>
      </c>
      <c r="AZ268" s="77" t="s">
        <v>2425</v>
      </c>
      <c r="BA268" s="77" t="s">
        <v>2305</v>
      </c>
      <c r="BB268" s="77" t="s">
        <v>2494</v>
      </c>
      <c r="BC268" s="77" t="s">
        <v>2494</v>
      </c>
      <c r="BD268" s="77" t="s">
        <v>2305</v>
      </c>
      <c r="BE268">
        <v>161999953</v>
      </c>
      <c r="BK268" s="112" t="str">
        <f>REPLACE(INDEX(GroupVertices[Group], MATCH("~"&amp;Edges[[#This Row],[Vertex 1]],GroupVertices[Vertex],0)),1,1,"")</f>
        <v>78</v>
      </c>
      <c r="BL268" s="112" t="str">
        <f>REPLACE(INDEX(GroupVertices[Group], MATCH("~"&amp;Edges[[#This Row],[Vertex 2]],GroupVertices[Vertex],0)),1,1,"")</f>
        <v>78</v>
      </c>
    </row>
    <row r="269" spans="1:64" x14ac:dyDescent="0.25">
      <c r="A269" s="61" t="s">
        <v>264</v>
      </c>
      <c r="B269" s="61" t="s">
        <v>264</v>
      </c>
      <c r="C269" s="62"/>
      <c r="D269" s="63"/>
      <c r="E269" s="64"/>
      <c r="F269" s="65"/>
      <c r="G269" s="62"/>
      <c r="H269" s="66"/>
      <c r="I269" s="67"/>
      <c r="J269" s="67"/>
      <c r="K269" s="31"/>
      <c r="L269" s="75">
        <v>269</v>
      </c>
      <c r="M269"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69" s="69"/>
      <c r="O269" t="s">
        <v>177</v>
      </c>
      <c r="P269" s="76">
        <v>45510.916921296295</v>
      </c>
      <c r="Q269" t="s">
        <v>757</v>
      </c>
      <c r="R269" t="b">
        <v>0</v>
      </c>
      <c r="S269">
        <v>0</v>
      </c>
      <c r="T269">
        <v>0</v>
      </c>
      <c r="U269">
        <v>0</v>
      </c>
      <c r="V269">
        <v>0</v>
      </c>
      <c r="W269">
        <v>38</v>
      </c>
      <c r="X269" s="77" t="s">
        <v>1095</v>
      </c>
      <c r="Y269" s="78" t="str">
        <f>HYPERLINK("https://diarioelranco.cl/2024/08/06/371-establecimientos-de-los-rios-estan-disponibles-para-postular-en-el-sistema-de-admision-escolar-2025/")</f>
        <v>https://diarioelranco.cl/2024/08/06/371-establecimientos-de-los-rios-estan-disponibles-para-postular-en-el-sistema-de-admision-escolar-2025/</v>
      </c>
      <c r="Z269" t="s">
        <v>1143</v>
      </c>
      <c r="AB269" t="s">
        <v>1272</v>
      </c>
      <c r="AC269" t="s">
        <v>1359</v>
      </c>
      <c r="AD269" s="77" t="s">
        <v>1366</v>
      </c>
      <c r="AE269" t="s">
        <v>1385</v>
      </c>
      <c r="AF269" s="78" t="str">
        <f>HYPERLINK("https://twitter.com/elranco/status/1820943019639730627")</f>
        <v>https://twitter.com/elranco/status/1820943019639730627</v>
      </c>
      <c r="AG269" s="76">
        <v>45510.916921296295</v>
      </c>
      <c r="AH269" s="80">
        <v>45510</v>
      </c>
      <c r="AI269" s="77" t="s">
        <v>1439</v>
      </c>
      <c r="AJ269" t="b">
        <v>0</v>
      </c>
      <c r="AR269" t="s">
        <v>1785</v>
      </c>
      <c r="AW269" s="78" t="str">
        <f>HYPERLINK("https://pbs.twimg.com/media/GUVKBS_XMAALQL7.jpg")</f>
        <v>https://pbs.twimg.com/media/GUVKBS_XMAALQL7.jpg</v>
      </c>
      <c r="AX269" s="77" t="s">
        <v>1923</v>
      </c>
      <c r="AY269" s="77" t="s">
        <v>1923</v>
      </c>
      <c r="BA269" s="77" t="s">
        <v>2494</v>
      </c>
      <c r="BB269" s="77" t="s">
        <v>2494</v>
      </c>
      <c r="BC269" s="77" t="s">
        <v>2494</v>
      </c>
      <c r="BD269" s="77" t="s">
        <v>1923</v>
      </c>
      <c r="BE269">
        <v>40275317</v>
      </c>
      <c r="BK269" s="112" t="str">
        <f>REPLACE(INDEX(GroupVertices[Group], MATCH("~"&amp;Edges[[#This Row],[Vertex 1]],GroupVertices[Vertex],0)),1,1,"")</f>
        <v>130</v>
      </c>
      <c r="BL269" s="112" t="str">
        <f>REPLACE(INDEX(GroupVertices[Group], MATCH("~"&amp;Edges[[#This Row],[Vertex 2]],GroupVertices[Vertex],0)),1,1,"")</f>
        <v>130</v>
      </c>
    </row>
    <row r="270" spans="1:64" x14ac:dyDescent="0.25">
      <c r="A270" s="61" t="s">
        <v>442</v>
      </c>
      <c r="B270" s="61" t="s">
        <v>678</v>
      </c>
      <c r="C270" s="62"/>
      <c r="D270" s="63"/>
      <c r="E270" s="64"/>
      <c r="F270" s="65"/>
      <c r="G270" s="62"/>
      <c r="H270" s="66"/>
      <c r="I270" s="67"/>
      <c r="J270" s="67"/>
      <c r="K270" s="31"/>
      <c r="L270" s="75">
        <v>270</v>
      </c>
      <c r="M270"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70" s="69"/>
      <c r="O270" t="s">
        <v>701</v>
      </c>
      <c r="P270" s="76">
        <v>45510.861701388887</v>
      </c>
      <c r="Q270" t="s">
        <v>1017</v>
      </c>
      <c r="R270" t="b">
        <v>0</v>
      </c>
      <c r="S270">
        <v>0</v>
      </c>
      <c r="T270">
        <v>0</v>
      </c>
      <c r="U270">
        <v>0</v>
      </c>
      <c r="V270">
        <v>0</v>
      </c>
      <c r="W270">
        <v>38</v>
      </c>
      <c r="AA270" t="s">
        <v>678</v>
      </c>
      <c r="AD270" s="77" t="s">
        <v>1366</v>
      </c>
      <c r="AE270" t="s">
        <v>1385</v>
      </c>
      <c r="AF270" s="78" t="str">
        <f>HYPERLINK("https://twitter.com/sofialopezg_/status/1820923009621696558")</f>
        <v>https://twitter.com/sofialopezg_/status/1820923009621696558</v>
      </c>
      <c r="AG270" s="76">
        <v>45510.861701388887</v>
      </c>
      <c r="AH270" s="80">
        <v>45510</v>
      </c>
      <c r="AI270" s="77" t="s">
        <v>1695</v>
      </c>
      <c r="AW270" s="78" t="str">
        <f>HYPERLINK("https://pbs.twimg.com/profile_images/1821281624547266560/wljefXBA_normal.jpg")</f>
        <v>https://pbs.twimg.com/profile_images/1821281624547266560/wljefXBA_normal.jpg</v>
      </c>
      <c r="AX270" s="77" t="s">
        <v>2183</v>
      </c>
      <c r="AY270" s="77" t="s">
        <v>2351</v>
      </c>
      <c r="AZ270" s="77" t="s">
        <v>2473</v>
      </c>
      <c r="BA270" s="77" t="s">
        <v>2524</v>
      </c>
      <c r="BB270" s="77" t="s">
        <v>2494</v>
      </c>
      <c r="BC270" s="77" t="s">
        <v>2494</v>
      </c>
      <c r="BD270" s="77" t="s">
        <v>2524</v>
      </c>
      <c r="BE270" s="77" t="s">
        <v>2620</v>
      </c>
      <c r="BK270" s="112" t="str">
        <f>REPLACE(INDEX(GroupVertices[Group], MATCH("~"&amp;Edges[[#This Row],[Vertex 1]],GroupVertices[Vertex],0)),1,1,"")</f>
        <v>77</v>
      </c>
      <c r="BL270" s="112" t="str">
        <f>REPLACE(INDEX(GroupVertices[Group], MATCH("~"&amp;Edges[[#This Row],[Vertex 2]],GroupVertices[Vertex],0)),1,1,"")</f>
        <v>77</v>
      </c>
    </row>
    <row r="271" spans="1:64" x14ac:dyDescent="0.25">
      <c r="A271" s="61" t="s">
        <v>261</v>
      </c>
      <c r="B271" s="61" t="s">
        <v>484</v>
      </c>
      <c r="C271" s="62"/>
      <c r="D271" s="63"/>
      <c r="E271" s="64"/>
      <c r="F271" s="65"/>
      <c r="G271" s="62"/>
      <c r="H271" s="66"/>
      <c r="I271" s="67"/>
      <c r="J271" s="67"/>
      <c r="K271" s="31"/>
      <c r="L271" s="75">
        <v>271</v>
      </c>
      <c r="M271"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71" s="69"/>
      <c r="O271" t="s">
        <v>701</v>
      </c>
      <c r="P271" s="76">
        <v>45509.740567129629</v>
      </c>
      <c r="Q271" t="s">
        <v>754</v>
      </c>
      <c r="R271" t="b">
        <v>0</v>
      </c>
      <c r="S271">
        <v>1</v>
      </c>
      <c r="T271">
        <v>4</v>
      </c>
      <c r="U271">
        <v>0</v>
      </c>
      <c r="V271">
        <v>0</v>
      </c>
      <c r="W271">
        <v>37</v>
      </c>
      <c r="AA271" t="s">
        <v>484</v>
      </c>
      <c r="AD271" s="77" t="s">
        <v>1365</v>
      </c>
      <c r="AE271" t="s">
        <v>1385</v>
      </c>
      <c r="AF271" s="78" t="str">
        <f>HYPERLINK("https://twitter.com/elbachvaldivian/status/1820516726750298140")</f>
        <v>https://twitter.com/elbachvaldivian/status/1820516726750298140</v>
      </c>
      <c r="AG271" s="76">
        <v>45509.740567129629</v>
      </c>
      <c r="AH271" s="80">
        <v>45509</v>
      </c>
      <c r="AI271" s="77" t="s">
        <v>1436</v>
      </c>
      <c r="AW271" s="78" t="str">
        <f>HYPERLINK("https://pbs.twimg.com/profile_images/1921424681795538944/6as8Nbsp_normal.jpg")</f>
        <v>https://pbs.twimg.com/profile_images/1921424681795538944/6as8Nbsp_normal.jpg</v>
      </c>
      <c r="AX271" s="77" t="s">
        <v>1920</v>
      </c>
      <c r="AY271" s="77" t="s">
        <v>2275</v>
      </c>
      <c r="AZ271" s="77" t="s">
        <v>2389</v>
      </c>
      <c r="BA271" s="77" t="s">
        <v>2275</v>
      </c>
      <c r="BB271" s="77" t="s">
        <v>2494</v>
      </c>
      <c r="BC271" s="77" t="s">
        <v>2494</v>
      </c>
      <c r="BD271" s="77" t="s">
        <v>2275</v>
      </c>
      <c r="BE271">
        <v>2964016114</v>
      </c>
      <c r="BK271" s="112" t="str">
        <f>REPLACE(INDEX(GroupVertices[Group], MATCH("~"&amp;Edges[[#This Row],[Vertex 1]],GroupVertices[Vertex],0)),1,1,"")</f>
        <v>76</v>
      </c>
      <c r="BL271" s="112" t="str">
        <f>REPLACE(INDEX(GroupVertices[Group], MATCH("~"&amp;Edges[[#This Row],[Vertex 2]],GroupVertices[Vertex],0)),1,1,"")</f>
        <v>76</v>
      </c>
    </row>
    <row r="272" spans="1:64" x14ac:dyDescent="0.25">
      <c r="A272" s="61" t="s">
        <v>471</v>
      </c>
      <c r="B272" s="61" t="s">
        <v>587</v>
      </c>
      <c r="C272" s="62"/>
      <c r="D272" s="63"/>
      <c r="E272" s="64"/>
      <c r="F272" s="65"/>
      <c r="G272" s="62"/>
      <c r="H272" s="66"/>
      <c r="I272" s="67"/>
      <c r="J272" s="67"/>
      <c r="K272" s="31"/>
      <c r="L272" s="75">
        <v>272</v>
      </c>
      <c r="M272"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72" s="69"/>
      <c r="O272" t="s">
        <v>702</v>
      </c>
      <c r="P272" s="76">
        <v>45507.521203703705</v>
      </c>
      <c r="Q272" t="s">
        <v>1049</v>
      </c>
      <c r="R272" t="b">
        <v>0</v>
      </c>
      <c r="S272">
        <v>0</v>
      </c>
      <c r="T272">
        <v>1</v>
      </c>
      <c r="U272">
        <v>0</v>
      </c>
      <c r="V272">
        <v>0</v>
      </c>
      <c r="W272">
        <v>37</v>
      </c>
      <c r="AA272" t="s">
        <v>587</v>
      </c>
      <c r="AB272" t="s">
        <v>1351</v>
      </c>
      <c r="AC272" t="s">
        <v>1364</v>
      </c>
      <c r="AD272" s="77" t="s">
        <v>1367</v>
      </c>
      <c r="AE272" t="s">
        <v>1385</v>
      </c>
      <c r="AF272" s="78" t="str">
        <f>HYPERLINK("https://twitter.com/felipeleonlopez/status/1819712456341483879")</f>
        <v>https://twitter.com/felipeleonlopez/status/1819712456341483879</v>
      </c>
      <c r="AG272" s="76">
        <v>45507.521203703705</v>
      </c>
      <c r="AH272" s="80">
        <v>45507</v>
      </c>
      <c r="AI272" s="77" t="s">
        <v>1727</v>
      </c>
      <c r="AJ272" t="b">
        <v>0</v>
      </c>
      <c r="AR272" t="s">
        <v>1864</v>
      </c>
      <c r="AW272" s="78" t="str">
        <f>HYPERLINK("https://pbs.twimg.com/media/GUDqvE7W4AAp5Ya.png")</f>
        <v>https://pbs.twimg.com/media/GUDqvE7W4AAp5Ya.png</v>
      </c>
      <c r="AX272" s="77" t="s">
        <v>2215</v>
      </c>
      <c r="AY272" s="77" t="s">
        <v>2215</v>
      </c>
      <c r="BA272" s="77" t="s">
        <v>2494</v>
      </c>
      <c r="BB272" s="77" t="s">
        <v>2494</v>
      </c>
      <c r="BC272" s="77" t="s">
        <v>2494</v>
      </c>
      <c r="BD272" s="77" t="s">
        <v>2215</v>
      </c>
      <c r="BE272">
        <v>253616741</v>
      </c>
      <c r="BK272" s="112" t="str">
        <f>REPLACE(INDEX(GroupVertices[Group], MATCH("~"&amp;Edges[[#This Row],[Vertex 1]],GroupVertices[Vertex],0)),1,1,"")</f>
        <v>4</v>
      </c>
      <c r="BL272" s="112" t="str">
        <f>REPLACE(INDEX(GroupVertices[Group], MATCH("~"&amp;Edges[[#This Row],[Vertex 2]],GroupVertices[Vertex],0)),1,1,"")</f>
        <v>4</v>
      </c>
    </row>
    <row r="273" spans="1:64" x14ac:dyDescent="0.25">
      <c r="A273" s="61" t="s">
        <v>479</v>
      </c>
      <c r="B273" s="61" t="s">
        <v>479</v>
      </c>
      <c r="C273" s="62"/>
      <c r="D273" s="63"/>
      <c r="E273" s="64"/>
      <c r="F273" s="65"/>
      <c r="G273" s="62"/>
      <c r="H273" s="66"/>
      <c r="I273" s="67"/>
      <c r="J273" s="67"/>
      <c r="K273" s="31"/>
      <c r="L273" s="75">
        <v>273</v>
      </c>
      <c r="M273"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73" s="69"/>
      <c r="O273" t="s">
        <v>177</v>
      </c>
      <c r="P273" s="76">
        <v>45505.860949074071</v>
      </c>
      <c r="Q273" t="s">
        <v>1059</v>
      </c>
      <c r="R273" t="b">
        <v>0</v>
      </c>
      <c r="S273">
        <v>0</v>
      </c>
      <c r="T273">
        <v>0</v>
      </c>
      <c r="U273">
        <v>1</v>
      </c>
      <c r="V273">
        <v>0</v>
      </c>
      <c r="W273">
        <v>37</v>
      </c>
      <c r="AD273" s="77" t="s">
        <v>1365</v>
      </c>
      <c r="AE273" t="s">
        <v>1385</v>
      </c>
      <c r="AF273" s="78" t="str">
        <f>HYPERLINK("https://twitter.com/thecalet/status/1819110800105013672")</f>
        <v>https://twitter.com/thecalet/status/1819110800105013672</v>
      </c>
      <c r="AG273" s="76">
        <v>45505.860949074071</v>
      </c>
      <c r="AH273" s="80">
        <v>45505</v>
      </c>
      <c r="AI273" s="77" t="s">
        <v>1736</v>
      </c>
      <c r="AW273" s="78" t="str">
        <f>HYPERLINK("https://pbs.twimg.com/profile_images/1882915236941840385/zkAPtV69_normal.jpg")</f>
        <v>https://pbs.twimg.com/profile_images/1882915236941840385/zkAPtV69_normal.jpg</v>
      </c>
      <c r="AX273" s="77" t="s">
        <v>2225</v>
      </c>
      <c r="AY273" s="77" t="s">
        <v>2225</v>
      </c>
      <c r="BA273" s="77" t="s">
        <v>2494</v>
      </c>
      <c r="BB273" s="77" t="s">
        <v>2494</v>
      </c>
      <c r="BC273" s="77" t="s">
        <v>2494</v>
      </c>
      <c r="BD273" s="77" t="s">
        <v>2225</v>
      </c>
      <c r="BE273">
        <v>3299314078</v>
      </c>
      <c r="BK273" s="112" t="str">
        <f>REPLACE(INDEX(GroupVertices[Group], MATCH("~"&amp;Edges[[#This Row],[Vertex 1]],GroupVertices[Vertex],0)),1,1,"")</f>
        <v>129</v>
      </c>
      <c r="BL273" s="112" t="str">
        <f>REPLACE(INDEX(GroupVertices[Group], MATCH("~"&amp;Edges[[#This Row],[Vertex 2]],GroupVertices[Vertex],0)),1,1,"")</f>
        <v>129</v>
      </c>
    </row>
    <row r="274" spans="1:64" x14ac:dyDescent="0.25">
      <c r="A274" s="61" t="s">
        <v>257</v>
      </c>
      <c r="B274" s="61" t="s">
        <v>257</v>
      </c>
      <c r="C274" s="62"/>
      <c r="D274" s="63"/>
      <c r="E274" s="64"/>
      <c r="F274" s="65"/>
      <c r="G274" s="62"/>
      <c r="H274" s="66"/>
      <c r="I274" s="67"/>
      <c r="J274" s="67"/>
      <c r="K274" s="31"/>
      <c r="L274" s="75">
        <v>274</v>
      </c>
      <c r="M274"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74" s="69"/>
      <c r="O274" t="s">
        <v>177</v>
      </c>
      <c r="P274" s="76">
        <v>45506.623749999999</v>
      </c>
      <c r="Q274" t="s">
        <v>750</v>
      </c>
      <c r="R274" t="b">
        <v>0</v>
      </c>
      <c r="S274">
        <v>0</v>
      </c>
      <c r="T274">
        <v>0</v>
      </c>
      <c r="U274">
        <v>0</v>
      </c>
      <c r="V274">
        <v>0</v>
      </c>
      <c r="W274">
        <v>36</v>
      </c>
      <c r="X274" s="77" t="s">
        <v>1094</v>
      </c>
      <c r="AD274" s="77" t="s">
        <v>1366</v>
      </c>
      <c r="AE274" t="s">
        <v>1385</v>
      </c>
      <c r="AF274" s="78" t="str">
        <f>HYPERLINK("https://twitter.com/carmengloria08_/status/1819387227710853240")</f>
        <v>https://twitter.com/carmengloria08_/status/1819387227710853240</v>
      </c>
      <c r="AG274" s="76">
        <v>45506.623749999999</v>
      </c>
      <c r="AH274" s="80">
        <v>45506</v>
      </c>
      <c r="AI274" s="77" t="s">
        <v>1432</v>
      </c>
      <c r="AW274" s="78" t="str">
        <f>HYPERLINK("https://pbs.twimg.com/profile_images/1908350029607108608/gB4lBT2T_normal.jpg")</f>
        <v>https://pbs.twimg.com/profile_images/1908350029607108608/gB4lBT2T_normal.jpg</v>
      </c>
      <c r="AX274" s="77" t="s">
        <v>1916</v>
      </c>
      <c r="AY274" s="77" t="s">
        <v>1916</v>
      </c>
      <c r="BA274" s="77" t="s">
        <v>2494</v>
      </c>
      <c r="BB274" s="77" t="s">
        <v>2494</v>
      </c>
      <c r="BC274" s="77" t="s">
        <v>2494</v>
      </c>
      <c r="BD274" s="77" t="s">
        <v>1916</v>
      </c>
      <c r="BE274" s="77" t="s">
        <v>2546</v>
      </c>
      <c r="BK274" s="112" t="str">
        <f>REPLACE(INDEX(GroupVertices[Group], MATCH("~"&amp;Edges[[#This Row],[Vertex 1]],GroupVertices[Vertex],0)),1,1,"")</f>
        <v>128</v>
      </c>
      <c r="BL274" s="112" t="str">
        <f>REPLACE(INDEX(GroupVertices[Group], MATCH("~"&amp;Edges[[#This Row],[Vertex 2]],GroupVertices[Vertex],0)),1,1,"")</f>
        <v>128</v>
      </c>
    </row>
    <row r="275" spans="1:64" x14ac:dyDescent="0.25">
      <c r="A275" s="61" t="s">
        <v>289</v>
      </c>
      <c r="B275" s="61" t="s">
        <v>568</v>
      </c>
      <c r="C275" s="62"/>
      <c r="D275" s="63"/>
      <c r="E275" s="64"/>
      <c r="F275" s="65"/>
      <c r="G275" s="62"/>
      <c r="H275" s="66"/>
      <c r="I275" s="67"/>
      <c r="J275" s="67"/>
      <c r="K275" s="31"/>
      <c r="L275" s="75">
        <v>275</v>
      </c>
      <c r="M275"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75" s="69"/>
      <c r="O275" t="s">
        <v>703</v>
      </c>
      <c r="P275" s="76">
        <v>45506.540011574078</v>
      </c>
      <c r="Q275" t="s">
        <v>800</v>
      </c>
      <c r="R275" t="b">
        <v>0</v>
      </c>
      <c r="S275">
        <v>0</v>
      </c>
      <c r="T275">
        <v>0</v>
      </c>
      <c r="U275">
        <v>0</v>
      </c>
      <c r="V275">
        <v>0</v>
      </c>
      <c r="W275">
        <v>36</v>
      </c>
      <c r="AA275" t="s">
        <v>1227</v>
      </c>
      <c r="AD275" s="77" t="s">
        <v>1365</v>
      </c>
      <c r="AE275" t="s">
        <v>1385</v>
      </c>
      <c r="AF275" s="78" t="str">
        <f>HYPERLINK("https://twitter.com/ediazcomellas/status/1819356883825701059")</f>
        <v>https://twitter.com/ediazcomellas/status/1819356883825701059</v>
      </c>
      <c r="AG275" s="76">
        <v>45506.540011574078</v>
      </c>
      <c r="AH275" s="80">
        <v>45506</v>
      </c>
      <c r="AI275" s="77" t="s">
        <v>1482</v>
      </c>
      <c r="AW275" s="78" t="str">
        <f>HYPERLINK("https://pbs.twimg.com/profile_images/775194868989698053/yPzyAWi2_normal.jpg")</f>
        <v>https://pbs.twimg.com/profile_images/775194868989698053/yPzyAWi2_normal.jpg</v>
      </c>
      <c r="AX275" s="77" t="s">
        <v>1966</v>
      </c>
      <c r="AY275" s="77" t="s">
        <v>2295</v>
      </c>
      <c r="AZ275" s="77" t="s">
        <v>2413</v>
      </c>
      <c r="BA275" s="77" t="s">
        <v>2295</v>
      </c>
      <c r="BB275" s="77" t="s">
        <v>2494</v>
      </c>
      <c r="BC275" s="77" t="s">
        <v>2494</v>
      </c>
      <c r="BD275" s="77" t="s">
        <v>2295</v>
      </c>
      <c r="BE275">
        <v>421158517</v>
      </c>
      <c r="BK275" s="112" t="str">
        <f>REPLACE(INDEX(GroupVertices[Group], MATCH("~"&amp;Edges[[#This Row],[Vertex 1]],GroupVertices[Vertex],0)),1,1,"")</f>
        <v>24</v>
      </c>
      <c r="BL275" s="112" t="str">
        <f>REPLACE(INDEX(GroupVertices[Group], MATCH("~"&amp;Edges[[#This Row],[Vertex 2]],GroupVertices[Vertex],0)),1,1,"")</f>
        <v>24</v>
      </c>
    </row>
    <row r="276" spans="1:64" x14ac:dyDescent="0.25">
      <c r="A276" s="61" t="s">
        <v>289</v>
      </c>
      <c r="B276" s="61" t="s">
        <v>569</v>
      </c>
      <c r="C276" s="62"/>
      <c r="D276" s="63"/>
      <c r="E276" s="64"/>
      <c r="F276" s="65"/>
      <c r="G276" s="62"/>
      <c r="H276" s="66"/>
      <c r="I276" s="67"/>
      <c r="J276" s="67"/>
      <c r="K276" s="31"/>
      <c r="L276" s="75">
        <v>276</v>
      </c>
      <c r="M276"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76" s="69"/>
      <c r="O276" t="s">
        <v>703</v>
      </c>
      <c r="P276" s="76">
        <v>45506.540011574078</v>
      </c>
      <c r="Q276" t="s">
        <v>800</v>
      </c>
      <c r="R276" t="b">
        <v>0</v>
      </c>
      <c r="S276">
        <v>0</v>
      </c>
      <c r="T276">
        <v>0</v>
      </c>
      <c r="U276">
        <v>0</v>
      </c>
      <c r="V276">
        <v>0</v>
      </c>
      <c r="W276">
        <v>36</v>
      </c>
      <c r="AA276" t="s">
        <v>1227</v>
      </c>
      <c r="AD276" s="77" t="s">
        <v>1365</v>
      </c>
      <c r="AE276" t="s">
        <v>1385</v>
      </c>
      <c r="AF276" s="78" t="str">
        <f>HYPERLINK("https://twitter.com/ediazcomellas/status/1819356883825701059")</f>
        <v>https://twitter.com/ediazcomellas/status/1819356883825701059</v>
      </c>
      <c r="AG276" s="76">
        <v>45506.540011574078</v>
      </c>
      <c r="AH276" s="80">
        <v>45506</v>
      </c>
      <c r="AI276" s="77" t="s">
        <v>1482</v>
      </c>
      <c r="AW276" s="78" t="str">
        <f>HYPERLINK("https://pbs.twimg.com/profile_images/775194868989698053/yPzyAWi2_normal.jpg")</f>
        <v>https://pbs.twimg.com/profile_images/775194868989698053/yPzyAWi2_normal.jpg</v>
      </c>
      <c r="AX276" s="77" t="s">
        <v>1966</v>
      </c>
      <c r="AY276" s="77" t="s">
        <v>2295</v>
      </c>
      <c r="AZ276" s="77" t="s">
        <v>2413</v>
      </c>
      <c r="BA276" s="77" t="s">
        <v>2295</v>
      </c>
      <c r="BB276" s="77" t="s">
        <v>2494</v>
      </c>
      <c r="BC276" s="77" t="s">
        <v>2494</v>
      </c>
      <c r="BD276" s="77" t="s">
        <v>2295</v>
      </c>
      <c r="BE276">
        <v>421158517</v>
      </c>
      <c r="BK276" s="112" t="str">
        <f>REPLACE(INDEX(GroupVertices[Group], MATCH("~"&amp;Edges[[#This Row],[Vertex 1]],GroupVertices[Vertex],0)),1,1,"")</f>
        <v>24</v>
      </c>
      <c r="BL276" s="112" t="str">
        <f>REPLACE(INDEX(GroupVertices[Group], MATCH("~"&amp;Edges[[#This Row],[Vertex 2]],GroupVertices[Vertex],0)),1,1,"")</f>
        <v>24</v>
      </c>
    </row>
    <row r="277" spans="1:64" x14ac:dyDescent="0.25">
      <c r="A277" s="61" t="s">
        <v>289</v>
      </c>
      <c r="B277" s="61" t="s">
        <v>570</v>
      </c>
      <c r="C277" s="62"/>
      <c r="D277" s="63"/>
      <c r="E277" s="64"/>
      <c r="F277" s="65"/>
      <c r="G277" s="62"/>
      <c r="H277" s="66"/>
      <c r="I277" s="67"/>
      <c r="J277" s="67"/>
      <c r="K277" s="31"/>
      <c r="L277" s="75">
        <v>277</v>
      </c>
      <c r="M277"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77" s="69"/>
      <c r="O277" t="s">
        <v>701</v>
      </c>
      <c r="P277" s="76">
        <v>45506.540011574078</v>
      </c>
      <c r="Q277" t="s">
        <v>800</v>
      </c>
      <c r="R277" t="b">
        <v>0</v>
      </c>
      <c r="S277">
        <v>0</v>
      </c>
      <c r="T277">
        <v>0</v>
      </c>
      <c r="U277">
        <v>0</v>
      </c>
      <c r="V277">
        <v>0</v>
      </c>
      <c r="W277">
        <v>36</v>
      </c>
      <c r="AA277" t="s">
        <v>1227</v>
      </c>
      <c r="AD277" s="77" t="s">
        <v>1365</v>
      </c>
      <c r="AE277" t="s">
        <v>1385</v>
      </c>
      <c r="AF277" s="78" t="str">
        <f>HYPERLINK("https://twitter.com/ediazcomellas/status/1819356883825701059")</f>
        <v>https://twitter.com/ediazcomellas/status/1819356883825701059</v>
      </c>
      <c r="AG277" s="76">
        <v>45506.540011574078</v>
      </c>
      <c r="AH277" s="80">
        <v>45506</v>
      </c>
      <c r="AI277" s="77" t="s">
        <v>1482</v>
      </c>
      <c r="AW277" s="78" t="str">
        <f>HYPERLINK("https://pbs.twimg.com/profile_images/775194868989698053/yPzyAWi2_normal.jpg")</f>
        <v>https://pbs.twimg.com/profile_images/775194868989698053/yPzyAWi2_normal.jpg</v>
      </c>
      <c r="AX277" s="77" t="s">
        <v>1966</v>
      </c>
      <c r="AY277" s="77" t="s">
        <v>2295</v>
      </c>
      <c r="AZ277" s="77" t="s">
        <v>2413</v>
      </c>
      <c r="BA277" s="77" t="s">
        <v>2295</v>
      </c>
      <c r="BB277" s="77" t="s">
        <v>2494</v>
      </c>
      <c r="BC277" s="77" t="s">
        <v>2494</v>
      </c>
      <c r="BD277" s="77" t="s">
        <v>2295</v>
      </c>
      <c r="BE277">
        <v>421158517</v>
      </c>
      <c r="BK277" s="112" t="str">
        <f>REPLACE(INDEX(GroupVertices[Group], MATCH("~"&amp;Edges[[#This Row],[Vertex 1]],GroupVertices[Vertex],0)),1,1,"")</f>
        <v>24</v>
      </c>
      <c r="BL277" s="112" t="str">
        <f>REPLACE(INDEX(GroupVertices[Group], MATCH("~"&amp;Edges[[#This Row],[Vertex 2]],GroupVertices[Vertex],0)),1,1,"")</f>
        <v>24</v>
      </c>
    </row>
    <row r="278" spans="1:64" x14ac:dyDescent="0.25">
      <c r="A278" s="61" t="s">
        <v>397</v>
      </c>
      <c r="B278" s="61" t="s">
        <v>651</v>
      </c>
      <c r="C278" s="62"/>
      <c r="D278" s="63"/>
      <c r="E278" s="64"/>
      <c r="F278" s="65"/>
      <c r="G278" s="62"/>
      <c r="H278" s="66"/>
      <c r="I278" s="67"/>
      <c r="J278" s="67"/>
      <c r="K278" s="31"/>
      <c r="L278" s="75">
        <v>278</v>
      </c>
      <c r="M278"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78" s="69"/>
      <c r="O278" t="s">
        <v>705</v>
      </c>
      <c r="P278" s="76">
        <v>45506.052384259259</v>
      </c>
      <c r="Q278" t="s">
        <v>964</v>
      </c>
      <c r="R278" t="b">
        <v>0</v>
      </c>
      <c r="S278">
        <v>0</v>
      </c>
      <c r="T278">
        <v>0</v>
      </c>
      <c r="U278">
        <v>0</v>
      </c>
      <c r="V278">
        <v>0</v>
      </c>
      <c r="W278">
        <v>36</v>
      </c>
      <c r="AA278" t="s">
        <v>651</v>
      </c>
      <c r="AD278" s="77" t="s">
        <v>1365</v>
      </c>
      <c r="AE278" t="s">
        <v>1385</v>
      </c>
      <c r="AF278" s="78" t="str">
        <f>HYPERLINK("https://twitter.com/bambison/status/1819180172744314928")</f>
        <v>https://twitter.com/bambison/status/1819180172744314928</v>
      </c>
      <c r="AG278" s="76">
        <v>45506.052384259259</v>
      </c>
      <c r="AH278" s="80">
        <v>45506</v>
      </c>
      <c r="AI278" s="77" t="s">
        <v>1644</v>
      </c>
      <c r="AW278" s="78" t="str">
        <f>HYPERLINK("https://pbs.twimg.com/profile_images/1477485788023508992/Kyc6AM8W_normal.jpg")</f>
        <v>https://pbs.twimg.com/profile_images/1477485788023508992/Kyc6AM8W_normal.jpg</v>
      </c>
      <c r="AX278" s="77" t="s">
        <v>2130</v>
      </c>
      <c r="AY278" s="77" t="s">
        <v>2130</v>
      </c>
      <c r="BA278" s="77" t="s">
        <v>2494</v>
      </c>
      <c r="BB278" s="77" t="s">
        <v>2233</v>
      </c>
      <c r="BC278" s="77" t="s">
        <v>2494</v>
      </c>
      <c r="BD278" s="77" t="s">
        <v>2233</v>
      </c>
      <c r="BE278">
        <v>1507749709</v>
      </c>
      <c r="BK278" s="112" t="str">
        <f>REPLACE(INDEX(GroupVertices[Group], MATCH("~"&amp;Edges[[#This Row],[Vertex 1]],GroupVertices[Vertex],0)),1,1,"")</f>
        <v>22</v>
      </c>
      <c r="BL278" s="112" t="str">
        <f>REPLACE(INDEX(GroupVertices[Group], MATCH("~"&amp;Edges[[#This Row],[Vertex 2]],GroupVertices[Vertex],0)),1,1,"")</f>
        <v>22</v>
      </c>
    </row>
    <row r="279" spans="1:64" x14ac:dyDescent="0.25">
      <c r="A279" s="61" t="s">
        <v>397</v>
      </c>
      <c r="B279" s="61" t="s">
        <v>486</v>
      </c>
      <c r="C279" s="62"/>
      <c r="D279" s="63"/>
      <c r="E279" s="64"/>
      <c r="F279" s="65"/>
      <c r="G279" s="62"/>
      <c r="H279" s="66"/>
      <c r="I279" s="67"/>
      <c r="J279" s="67"/>
      <c r="K279" s="31"/>
      <c r="L279" s="75">
        <v>279</v>
      </c>
      <c r="M279"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79" s="69"/>
      <c r="O279" t="s">
        <v>704</v>
      </c>
      <c r="P279" s="76">
        <v>45506.052384259259</v>
      </c>
      <c r="Q279" t="s">
        <v>964</v>
      </c>
      <c r="R279" t="b">
        <v>0</v>
      </c>
      <c r="S279">
        <v>0</v>
      </c>
      <c r="T279">
        <v>0</v>
      </c>
      <c r="U279">
        <v>0</v>
      </c>
      <c r="V279">
        <v>0</v>
      </c>
      <c r="W279">
        <v>36</v>
      </c>
      <c r="AA279" t="s">
        <v>651</v>
      </c>
      <c r="AD279" s="77" t="s">
        <v>1365</v>
      </c>
      <c r="AE279" t="s">
        <v>1385</v>
      </c>
      <c r="AF279" s="78" t="str">
        <f>HYPERLINK("https://twitter.com/bambison/status/1819180172744314928")</f>
        <v>https://twitter.com/bambison/status/1819180172744314928</v>
      </c>
      <c r="AG279" s="76">
        <v>45506.052384259259</v>
      </c>
      <c r="AH279" s="80">
        <v>45506</v>
      </c>
      <c r="AI279" s="77" t="s">
        <v>1644</v>
      </c>
      <c r="AW279" s="78" t="str">
        <f>HYPERLINK("https://pbs.twimg.com/profile_images/1477485788023508992/Kyc6AM8W_normal.jpg")</f>
        <v>https://pbs.twimg.com/profile_images/1477485788023508992/Kyc6AM8W_normal.jpg</v>
      </c>
      <c r="AX279" s="77" t="s">
        <v>2130</v>
      </c>
      <c r="AY279" s="77" t="s">
        <v>2130</v>
      </c>
      <c r="BA279" s="77" t="s">
        <v>2494</v>
      </c>
      <c r="BB279" s="77" t="s">
        <v>2233</v>
      </c>
      <c r="BC279" s="77" t="s">
        <v>2494</v>
      </c>
      <c r="BD279" s="77" t="s">
        <v>2233</v>
      </c>
      <c r="BE279">
        <v>1507749709</v>
      </c>
      <c r="BK279" s="112" t="str">
        <f>REPLACE(INDEX(GroupVertices[Group], MATCH("~"&amp;Edges[[#This Row],[Vertex 1]],GroupVertices[Vertex],0)),1,1,"")</f>
        <v>22</v>
      </c>
      <c r="BL279" s="112" t="str">
        <f>REPLACE(INDEX(GroupVertices[Group], MATCH("~"&amp;Edges[[#This Row],[Vertex 2]],GroupVertices[Vertex],0)),1,1,"")</f>
        <v>22</v>
      </c>
    </row>
    <row r="280" spans="1:64" x14ac:dyDescent="0.25">
      <c r="A280" s="61" t="s">
        <v>246</v>
      </c>
      <c r="B280" s="61" t="s">
        <v>525</v>
      </c>
      <c r="C280" s="62"/>
      <c r="D280" s="63"/>
      <c r="E280" s="64"/>
      <c r="F280" s="65"/>
      <c r="G280" s="62"/>
      <c r="H280" s="66"/>
      <c r="I280" s="67"/>
      <c r="J280" s="67"/>
      <c r="K280" s="31"/>
      <c r="L280" s="75">
        <v>280</v>
      </c>
      <c r="M280"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80" s="69"/>
      <c r="O280" t="s">
        <v>701</v>
      </c>
      <c r="P280" s="76">
        <v>45510.730787037035</v>
      </c>
      <c r="Q280" t="s">
        <v>735</v>
      </c>
      <c r="R280" t="b">
        <v>0</v>
      </c>
      <c r="S280">
        <v>0</v>
      </c>
      <c r="T280">
        <v>0</v>
      </c>
      <c r="U280">
        <v>0</v>
      </c>
      <c r="V280">
        <v>0</v>
      </c>
      <c r="W280">
        <v>34</v>
      </c>
      <c r="AA280" t="s">
        <v>525</v>
      </c>
      <c r="AD280" s="77" t="s">
        <v>1367</v>
      </c>
      <c r="AE280" t="s">
        <v>1385</v>
      </c>
      <c r="AF280" s="78" t="str">
        <f>HYPERLINK("https://twitter.com/quenna4/status/1820875568499564938")</f>
        <v>https://twitter.com/quenna4/status/1820875568499564938</v>
      </c>
      <c r="AG280" s="76">
        <v>45510.730787037035</v>
      </c>
      <c r="AH280" s="80">
        <v>45510</v>
      </c>
      <c r="AI280" s="77" t="s">
        <v>1417</v>
      </c>
      <c r="AW280" s="78" t="str">
        <f>HYPERLINK("https://pbs.twimg.com/profile_images/1840464033394384896/8OlyjSSz_normal.jpg")</f>
        <v>https://pbs.twimg.com/profile_images/1840464033394384896/8OlyjSSz_normal.jpg</v>
      </c>
      <c r="AX280" s="77" t="s">
        <v>1901</v>
      </c>
      <c r="AY280" s="77" t="s">
        <v>2266</v>
      </c>
      <c r="AZ280" s="77" t="s">
        <v>2380</v>
      </c>
      <c r="BA280" s="77" t="s">
        <v>2266</v>
      </c>
      <c r="BB280" s="77" t="s">
        <v>2494</v>
      </c>
      <c r="BC280" s="77" t="s">
        <v>2494</v>
      </c>
      <c r="BD280" s="77" t="s">
        <v>2266</v>
      </c>
      <c r="BE280">
        <v>336239758</v>
      </c>
      <c r="BK280" s="112" t="str">
        <f>REPLACE(INDEX(GroupVertices[Group], MATCH("~"&amp;Edges[[#This Row],[Vertex 1]],GroupVertices[Vertex],0)),1,1,"")</f>
        <v>75</v>
      </c>
      <c r="BL280" s="112" t="str">
        <f>REPLACE(INDEX(GroupVertices[Group], MATCH("~"&amp;Edges[[#This Row],[Vertex 2]],GroupVertices[Vertex],0)),1,1,"")</f>
        <v>75</v>
      </c>
    </row>
    <row r="281" spans="1:64" x14ac:dyDescent="0.25">
      <c r="A281" s="61" t="s">
        <v>292</v>
      </c>
      <c r="B281" s="61" t="s">
        <v>292</v>
      </c>
      <c r="C281" s="62"/>
      <c r="D281" s="63"/>
      <c r="E281" s="64"/>
      <c r="F281" s="65"/>
      <c r="G281" s="62"/>
      <c r="H281" s="66"/>
      <c r="I281" s="67"/>
      <c r="J281" s="67"/>
      <c r="K281" s="31"/>
      <c r="L281" s="75">
        <v>281</v>
      </c>
      <c r="M281"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81" s="69"/>
      <c r="O281" t="s">
        <v>177</v>
      </c>
      <c r="P281" s="76">
        <v>45506.768449074072</v>
      </c>
      <c r="Q281" t="s">
        <v>811</v>
      </c>
      <c r="R281" t="b">
        <v>0</v>
      </c>
      <c r="S281">
        <v>0</v>
      </c>
      <c r="T281">
        <v>0</v>
      </c>
      <c r="U281">
        <v>0</v>
      </c>
      <c r="V281">
        <v>0</v>
      </c>
      <c r="W281">
        <v>34</v>
      </c>
      <c r="X281" s="77" t="s">
        <v>1099</v>
      </c>
      <c r="Y281" s="78" t="str">
        <f>HYPERLINK("https://vm.tiktok.com/ZGe7QVqpR/")</f>
        <v>https://vm.tiktok.com/ZGe7QVqpR/</v>
      </c>
      <c r="Z281" t="s">
        <v>1149</v>
      </c>
      <c r="AD281" s="77" t="s">
        <v>1365</v>
      </c>
      <c r="AE281" t="s">
        <v>1385</v>
      </c>
      <c r="AF281" s="78" t="str">
        <f>HYPERLINK("https://twitter.com/atologocito1/status/1819439665751248904")</f>
        <v>https://twitter.com/atologocito1/status/1819439665751248904</v>
      </c>
      <c r="AG281" s="76">
        <v>45506.768449074072</v>
      </c>
      <c r="AH281" s="80">
        <v>45506</v>
      </c>
      <c r="AI281" s="77" t="s">
        <v>1493</v>
      </c>
      <c r="AJ281" t="b">
        <v>0</v>
      </c>
      <c r="AK281" t="s">
        <v>1767</v>
      </c>
      <c r="AL281" t="s">
        <v>1769</v>
      </c>
      <c r="AM281" t="s">
        <v>1770</v>
      </c>
      <c r="AN281" t="s">
        <v>1771</v>
      </c>
      <c r="AO281" t="s">
        <v>1773</v>
      </c>
      <c r="AP281" t="s">
        <v>1775</v>
      </c>
      <c r="AQ281" t="s">
        <v>1777</v>
      </c>
      <c r="AW281" s="78" t="str">
        <f>HYPERLINK("https://pbs.twimg.com/profile_images/1497222336470298628/AOSxZ6NT_normal.jpg")</f>
        <v>https://pbs.twimg.com/profile_images/1497222336470298628/AOSxZ6NT_normal.jpg</v>
      </c>
      <c r="AX281" s="77" t="s">
        <v>1977</v>
      </c>
      <c r="AY281" s="77" t="s">
        <v>1977</v>
      </c>
      <c r="BA281" s="77" t="s">
        <v>2494</v>
      </c>
      <c r="BB281" s="77" t="s">
        <v>2494</v>
      </c>
      <c r="BC281" s="77" t="s">
        <v>2494</v>
      </c>
      <c r="BD281" s="77" t="s">
        <v>1977</v>
      </c>
      <c r="BE281" s="77" t="s">
        <v>2565</v>
      </c>
      <c r="BK281" s="112" t="str">
        <f>REPLACE(INDEX(GroupVertices[Group], MATCH("~"&amp;Edges[[#This Row],[Vertex 1]],GroupVertices[Vertex],0)),1,1,"")</f>
        <v>13</v>
      </c>
      <c r="BL281" s="112" t="str">
        <f>REPLACE(INDEX(GroupVertices[Group], MATCH("~"&amp;Edges[[#This Row],[Vertex 2]],GroupVertices[Vertex],0)),1,1,"")</f>
        <v>13</v>
      </c>
    </row>
    <row r="282" spans="1:64" x14ac:dyDescent="0.25">
      <c r="A282" s="61" t="s">
        <v>305</v>
      </c>
      <c r="B282" s="61" t="s">
        <v>583</v>
      </c>
      <c r="C282" s="62"/>
      <c r="D282" s="63"/>
      <c r="E282" s="64"/>
      <c r="F282" s="65"/>
      <c r="G282" s="62"/>
      <c r="H282" s="66"/>
      <c r="I282" s="67"/>
      <c r="J282" s="67"/>
      <c r="K282" s="31"/>
      <c r="L282" s="75">
        <v>282</v>
      </c>
      <c r="M282"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82" s="69"/>
      <c r="O282" t="s">
        <v>703</v>
      </c>
      <c r="P282" s="76">
        <v>45505.540567129632</v>
      </c>
      <c r="Q282" t="s">
        <v>855</v>
      </c>
      <c r="R282" t="b">
        <v>0</v>
      </c>
      <c r="S282">
        <v>0</v>
      </c>
      <c r="T282">
        <v>0</v>
      </c>
      <c r="U282">
        <v>0</v>
      </c>
      <c r="V282">
        <v>0</v>
      </c>
      <c r="W282">
        <v>34</v>
      </c>
      <c r="AA282" t="s">
        <v>1233</v>
      </c>
      <c r="AD282" s="77" t="s">
        <v>1365</v>
      </c>
      <c r="AE282" t="s">
        <v>1385</v>
      </c>
      <c r="AF282" s="78" t="str">
        <f>HYPERLINK("https://twitter.com/mdinyer1/status/1818994696208712032")</f>
        <v>https://twitter.com/mdinyer1/status/1818994696208712032</v>
      </c>
      <c r="AG282" s="76">
        <v>45505.540567129632</v>
      </c>
      <c r="AH282" s="80">
        <v>45505</v>
      </c>
      <c r="AI282" s="77" t="s">
        <v>1536</v>
      </c>
      <c r="AW282" s="78" t="str">
        <f>HYPERLINK("https://pbs.twimg.com/profile_images/1344288738319458305/pxvBdi3D_normal.jpg")</f>
        <v>https://pbs.twimg.com/profile_images/1344288738319458305/pxvBdi3D_normal.jpg</v>
      </c>
      <c r="AX282" s="77" t="s">
        <v>2021</v>
      </c>
      <c r="AY282" s="77" t="s">
        <v>2302</v>
      </c>
      <c r="AZ282" s="77" t="s">
        <v>2421</v>
      </c>
      <c r="BA282" s="77" t="s">
        <v>2302</v>
      </c>
      <c r="BB282" s="77" t="s">
        <v>2494</v>
      </c>
      <c r="BC282" s="77" t="s">
        <v>2494</v>
      </c>
      <c r="BD282" s="77" t="s">
        <v>2302</v>
      </c>
      <c r="BE282" s="77" t="s">
        <v>2570</v>
      </c>
      <c r="BK282" s="112" t="str">
        <f>REPLACE(INDEX(GroupVertices[Group], MATCH("~"&amp;Edges[[#This Row],[Vertex 1]],GroupVertices[Vertex],0)),1,1,"")</f>
        <v>15</v>
      </c>
      <c r="BL282" s="112" t="str">
        <f>REPLACE(INDEX(GroupVertices[Group], MATCH("~"&amp;Edges[[#This Row],[Vertex 2]],GroupVertices[Vertex],0)),1,1,"")</f>
        <v>15</v>
      </c>
    </row>
    <row r="283" spans="1:64" x14ac:dyDescent="0.25">
      <c r="A283" s="61" t="s">
        <v>305</v>
      </c>
      <c r="B283" s="61" t="s">
        <v>584</v>
      </c>
      <c r="C283" s="62"/>
      <c r="D283" s="63"/>
      <c r="E283" s="64"/>
      <c r="F283" s="65"/>
      <c r="G283" s="62"/>
      <c r="H283" s="66"/>
      <c r="I283" s="67"/>
      <c r="J283" s="67"/>
      <c r="K283" s="31"/>
      <c r="L283" s="75">
        <v>283</v>
      </c>
      <c r="M283"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83" s="69"/>
      <c r="O283" t="s">
        <v>703</v>
      </c>
      <c r="P283" s="76">
        <v>45505.540567129632</v>
      </c>
      <c r="Q283" t="s">
        <v>855</v>
      </c>
      <c r="R283" t="b">
        <v>0</v>
      </c>
      <c r="S283">
        <v>0</v>
      </c>
      <c r="T283">
        <v>0</v>
      </c>
      <c r="U283">
        <v>0</v>
      </c>
      <c r="V283">
        <v>0</v>
      </c>
      <c r="W283">
        <v>34</v>
      </c>
      <c r="AA283" t="s">
        <v>1233</v>
      </c>
      <c r="AD283" s="77" t="s">
        <v>1365</v>
      </c>
      <c r="AE283" t="s">
        <v>1385</v>
      </c>
      <c r="AF283" s="78" t="str">
        <f>HYPERLINK("https://twitter.com/mdinyer1/status/1818994696208712032")</f>
        <v>https://twitter.com/mdinyer1/status/1818994696208712032</v>
      </c>
      <c r="AG283" s="76">
        <v>45505.540567129632</v>
      </c>
      <c r="AH283" s="80">
        <v>45505</v>
      </c>
      <c r="AI283" s="77" t="s">
        <v>1536</v>
      </c>
      <c r="AW283" s="78" t="str">
        <f>HYPERLINK("https://pbs.twimg.com/profile_images/1344288738319458305/pxvBdi3D_normal.jpg")</f>
        <v>https://pbs.twimg.com/profile_images/1344288738319458305/pxvBdi3D_normal.jpg</v>
      </c>
      <c r="AX283" s="77" t="s">
        <v>2021</v>
      </c>
      <c r="AY283" s="77" t="s">
        <v>2302</v>
      </c>
      <c r="AZ283" s="77" t="s">
        <v>2421</v>
      </c>
      <c r="BA283" s="77" t="s">
        <v>2302</v>
      </c>
      <c r="BB283" s="77" t="s">
        <v>2494</v>
      </c>
      <c r="BC283" s="77" t="s">
        <v>2494</v>
      </c>
      <c r="BD283" s="77" t="s">
        <v>2302</v>
      </c>
      <c r="BE283" s="77" t="s">
        <v>2570</v>
      </c>
      <c r="BK283" s="112" t="str">
        <f>REPLACE(INDEX(GroupVertices[Group], MATCH("~"&amp;Edges[[#This Row],[Vertex 1]],GroupVertices[Vertex],0)),1,1,"")</f>
        <v>15</v>
      </c>
      <c r="BL283" s="112" t="str">
        <f>REPLACE(INDEX(GroupVertices[Group], MATCH("~"&amp;Edges[[#This Row],[Vertex 2]],GroupVertices[Vertex],0)),1,1,"")</f>
        <v>15</v>
      </c>
    </row>
    <row r="284" spans="1:64" x14ac:dyDescent="0.25">
      <c r="A284" s="61" t="s">
        <v>305</v>
      </c>
      <c r="B284" s="61" t="s">
        <v>585</v>
      </c>
      <c r="C284" s="62"/>
      <c r="D284" s="63"/>
      <c r="E284" s="64"/>
      <c r="F284" s="65"/>
      <c r="G284" s="62"/>
      <c r="H284" s="66"/>
      <c r="I284" s="67"/>
      <c r="J284" s="67"/>
      <c r="K284" s="31"/>
      <c r="L284" s="75">
        <v>284</v>
      </c>
      <c r="M284"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84" s="69"/>
      <c r="O284" t="s">
        <v>703</v>
      </c>
      <c r="P284" s="76">
        <v>45505.540567129632</v>
      </c>
      <c r="Q284" t="s">
        <v>855</v>
      </c>
      <c r="R284" t="b">
        <v>0</v>
      </c>
      <c r="S284">
        <v>0</v>
      </c>
      <c r="T284">
        <v>0</v>
      </c>
      <c r="U284">
        <v>0</v>
      </c>
      <c r="V284">
        <v>0</v>
      </c>
      <c r="W284">
        <v>34</v>
      </c>
      <c r="AA284" t="s">
        <v>1233</v>
      </c>
      <c r="AD284" s="77" t="s">
        <v>1365</v>
      </c>
      <c r="AE284" t="s">
        <v>1385</v>
      </c>
      <c r="AF284" s="78" t="str">
        <f>HYPERLINK("https://twitter.com/mdinyer1/status/1818994696208712032")</f>
        <v>https://twitter.com/mdinyer1/status/1818994696208712032</v>
      </c>
      <c r="AG284" s="76">
        <v>45505.540567129632</v>
      </c>
      <c r="AH284" s="80">
        <v>45505</v>
      </c>
      <c r="AI284" s="77" t="s">
        <v>1536</v>
      </c>
      <c r="AW284" s="78" t="str">
        <f>HYPERLINK("https://pbs.twimg.com/profile_images/1344288738319458305/pxvBdi3D_normal.jpg")</f>
        <v>https://pbs.twimg.com/profile_images/1344288738319458305/pxvBdi3D_normal.jpg</v>
      </c>
      <c r="AX284" s="77" t="s">
        <v>2021</v>
      </c>
      <c r="AY284" s="77" t="s">
        <v>2302</v>
      </c>
      <c r="AZ284" s="77" t="s">
        <v>2421</v>
      </c>
      <c r="BA284" s="77" t="s">
        <v>2302</v>
      </c>
      <c r="BB284" s="77" t="s">
        <v>2494</v>
      </c>
      <c r="BC284" s="77" t="s">
        <v>2494</v>
      </c>
      <c r="BD284" s="77" t="s">
        <v>2302</v>
      </c>
      <c r="BE284" s="77" t="s">
        <v>2570</v>
      </c>
      <c r="BK284" s="112" t="str">
        <f>REPLACE(INDEX(GroupVertices[Group], MATCH("~"&amp;Edges[[#This Row],[Vertex 1]],GroupVertices[Vertex],0)),1,1,"")</f>
        <v>15</v>
      </c>
      <c r="BL284" s="112" t="str">
        <f>REPLACE(INDEX(GroupVertices[Group], MATCH("~"&amp;Edges[[#This Row],[Vertex 2]],GroupVertices[Vertex],0)),1,1,"")</f>
        <v>15</v>
      </c>
    </row>
    <row r="285" spans="1:64" x14ac:dyDescent="0.25">
      <c r="A285" s="61" t="s">
        <v>305</v>
      </c>
      <c r="B285" s="61" t="s">
        <v>586</v>
      </c>
      <c r="C285" s="62"/>
      <c r="D285" s="63"/>
      <c r="E285" s="64"/>
      <c r="F285" s="65"/>
      <c r="G285" s="62"/>
      <c r="H285" s="66"/>
      <c r="I285" s="67"/>
      <c r="J285" s="67"/>
      <c r="K285" s="31"/>
      <c r="L285" s="75">
        <v>285</v>
      </c>
      <c r="M285"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85" s="69"/>
      <c r="O285" t="s">
        <v>701</v>
      </c>
      <c r="P285" s="76">
        <v>45505.540567129632</v>
      </c>
      <c r="Q285" t="s">
        <v>855</v>
      </c>
      <c r="R285" t="b">
        <v>0</v>
      </c>
      <c r="S285">
        <v>0</v>
      </c>
      <c r="T285">
        <v>0</v>
      </c>
      <c r="U285">
        <v>0</v>
      </c>
      <c r="V285">
        <v>0</v>
      </c>
      <c r="W285">
        <v>34</v>
      </c>
      <c r="AA285" t="s">
        <v>1233</v>
      </c>
      <c r="AD285" s="77" t="s">
        <v>1365</v>
      </c>
      <c r="AE285" t="s">
        <v>1385</v>
      </c>
      <c r="AF285" s="78" t="str">
        <f>HYPERLINK("https://twitter.com/mdinyer1/status/1818994696208712032")</f>
        <v>https://twitter.com/mdinyer1/status/1818994696208712032</v>
      </c>
      <c r="AG285" s="76">
        <v>45505.540567129632</v>
      </c>
      <c r="AH285" s="80">
        <v>45505</v>
      </c>
      <c r="AI285" s="77" t="s">
        <v>1536</v>
      </c>
      <c r="AW285" s="78" t="str">
        <f>HYPERLINK("https://pbs.twimg.com/profile_images/1344288738319458305/pxvBdi3D_normal.jpg")</f>
        <v>https://pbs.twimg.com/profile_images/1344288738319458305/pxvBdi3D_normal.jpg</v>
      </c>
      <c r="AX285" s="77" t="s">
        <v>2021</v>
      </c>
      <c r="AY285" s="77" t="s">
        <v>2302</v>
      </c>
      <c r="AZ285" s="77" t="s">
        <v>2421</v>
      </c>
      <c r="BA285" s="77" t="s">
        <v>2302</v>
      </c>
      <c r="BB285" s="77" t="s">
        <v>2494</v>
      </c>
      <c r="BC285" s="77" t="s">
        <v>2494</v>
      </c>
      <c r="BD285" s="77" t="s">
        <v>2302</v>
      </c>
      <c r="BE285" s="77" t="s">
        <v>2570</v>
      </c>
      <c r="BK285" s="112" t="str">
        <f>REPLACE(INDEX(GroupVertices[Group], MATCH("~"&amp;Edges[[#This Row],[Vertex 1]],GroupVertices[Vertex],0)),1,1,"")</f>
        <v>15</v>
      </c>
      <c r="BL285" s="112" t="str">
        <f>REPLACE(INDEX(GroupVertices[Group], MATCH("~"&amp;Edges[[#This Row],[Vertex 2]],GroupVertices[Vertex],0)),1,1,"")</f>
        <v>15</v>
      </c>
    </row>
    <row r="286" spans="1:64" x14ac:dyDescent="0.25">
      <c r="A286" s="61" t="s">
        <v>354</v>
      </c>
      <c r="B286" s="61" t="s">
        <v>353</v>
      </c>
      <c r="C286" s="62"/>
      <c r="D286" s="63"/>
      <c r="E286" s="64"/>
      <c r="F286" s="65"/>
      <c r="G286" s="62"/>
      <c r="H286" s="66"/>
      <c r="I286" s="67"/>
      <c r="J286" s="67"/>
      <c r="K286" s="31"/>
      <c r="L286" s="75">
        <v>286</v>
      </c>
      <c r="M286"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86" s="69"/>
      <c r="O286" t="s">
        <v>704</v>
      </c>
      <c r="P286" s="76">
        <v>45507.727847222224</v>
      </c>
      <c r="Q286" t="s">
        <v>914</v>
      </c>
      <c r="R286" t="b">
        <v>0</v>
      </c>
      <c r="S286">
        <v>0</v>
      </c>
      <c r="T286">
        <v>1</v>
      </c>
      <c r="U286">
        <v>0</v>
      </c>
      <c r="V286">
        <v>0</v>
      </c>
      <c r="W286">
        <v>34</v>
      </c>
      <c r="AD286" s="77" t="s">
        <v>1366</v>
      </c>
      <c r="AE286" t="s">
        <v>1385</v>
      </c>
      <c r="AF286" s="78" t="str">
        <f>HYPERLINK("https://twitter.com/gabs11_11/status/1819787341667401761")</f>
        <v>https://twitter.com/gabs11_11/status/1819787341667401761</v>
      </c>
      <c r="AG286" s="76">
        <v>45507.727847222224</v>
      </c>
      <c r="AH286" s="80">
        <v>45507</v>
      </c>
      <c r="AI286" s="77" t="s">
        <v>1594</v>
      </c>
      <c r="AW286" s="78" t="str">
        <f>HYPERLINK("https://pbs.twimg.com/profile_images/1761981527146074112/whaFolLB_normal.jpg")</f>
        <v>https://pbs.twimg.com/profile_images/1761981527146074112/whaFolLB_normal.jpg</v>
      </c>
      <c r="AX286" s="77" t="s">
        <v>2080</v>
      </c>
      <c r="AY286" s="77" t="s">
        <v>2080</v>
      </c>
      <c r="BA286" s="77" t="s">
        <v>2494</v>
      </c>
      <c r="BB286" s="77" t="s">
        <v>2079</v>
      </c>
      <c r="BC286" s="77" t="s">
        <v>2494</v>
      </c>
      <c r="BD286" s="77" t="s">
        <v>2079</v>
      </c>
      <c r="BE286" s="77" t="s">
        <v>2588</v>
      </c>
      <c r="BK286" s="112" t="str">
        <f>REPLACE(INDEX(GroupVertices[Group], MATCH("~"&amp;Edges[[#This Row],[Vertex 1]],GroupVertices[Vertex],0)),1,1,"")</f>
        <v>74</v>
      </c>
      <c r="BL286" s="112" t="str">
        <f>REPLACE(INDEX(GroupVertices[Group], MATCH("~"&amp;Edges[[#This Row],[Vertex 2]],GroupVertices[Vertex],0)),1,1,"")</f>
        <v>74</v>
      </c>
    </row>
    <row r="287" spans="1:64" x14ac:dyDescent="0.25">
      <c r="A287" s="61" t="s">
        <v>266</v>
      </c>
      <c r="B287" s="61" t="s">
        <v>545</v>
      </c>
      <c r="C287" s="62"/>
      <c r="D287" s="63"/>
      <c r="E287" s="64"/>
      <c r="F287" s="65"/>
      <c r="G287" s="62"/>
      <c r="H287" s="66"/>
      <c r="I287" s="67"/>
      <c r="J287" s="67"/>
      <c r="K287" s="31"/>
      <c r="L287" s="75">
        <v>287</v>
      </c>
      <c r="M287"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87" s="69"/>
      <c r="O287" t="s">
        <v>701</v>
      </c>
      <c r="P287" s="76">
        <v>45506.810844907406</v>
      </c>
      <c r="Q287" t="s">
        <v>761</v>
      </c>
      <c r="R287" t="b">
        <v>0</v>
      </c>
      <c r="S287">
        <v>0</v>
      </c>
      <c r="T287">
        <v>0</v>
      </c>
      <c r="U287">
        <v>0</v>
      </c>
      <c r="V287">
        <v>0</v>
      </c>
      <c r="W287">
        <v>33</v>
      </c>
      <c r="AD287" s="77" t="s">
        <v>1367</v>
      </c>
      <c r="AE287" t="s">
        <v>1385</v>
      </c>
      <c r="AF287" s="78" t="str">
        <f>HYPERLINK("https://twitter.com/admisionescolar/status/1819455030363410826")</f>
        <v>https://twitter.com/admisionescolar/status/1819455030363410826</v>
      </c>
      <c r="AG287" s="76">
        <v>45506.810844907406</v>
      </c>
      <c r="AH287" s="80">
        <v>45506</v>
      </c>
      <c r="AI287" s="77" t="s">
        <v>1443</v>
      </c>
      <c r="AW287" s="78" t="str">
        <f>HYPERLINK("https://pbs.twimg.com/profile_images/1814702908295798784/D2-qs3dC_normal.jpg")</f>
        <v>https://pbs.twimg.com/profile_images/1814702908295798784/D2-qs3dC_normal.jpg</v>
      </c>
      <c r="AX287" s="77" t="s">
        <v>1927</v>
      </c>
      <c r="AY287" s="77" t="s">
        <v>2011</v>
      </c>
      <c r="AZ287" s="77" t="s">
        <v>2395</v>
      </c>
      <c r="BA287" s="77" t="s">
        <v>2496</v>
      </c>
      <c r="BB287" s="77" t="s">
        <v>2494</v>
      </c>
      <c r="BC287" s="77" t="s">
        <v>2494</v>
      </c>
      <c r="BD287" s="77" t="s">
        <v>2496</v>
      </c>
      <c r="BE287" s="77" t="s">
        <v>2553</v>
      </c>
      <c r="BK287" s="112" t="str">
        <f>REPLACE(INDEX(GroupVertices[Group], MATCH("~"&amp;Edges[[#This Row],[Vertex 1]],GroupVertices[Vertex],0)),1,1,"")</f>
        <v>5</v>
      </c>
      <c r="BL287" s="112" t="str">
        <f>REPLACE(INDEX(GroupVertices[Group], MATCH("~"&amp;Edges[[#This Row],[Vertex 2]],GroupVertices[Vertex],0)),1,1,"")</f>
        <v>5</v>
      </c>
    </row>
    <row r="288" spans="1:64" x14ac:dyDescent="0.25">
      <c r="A288" s="61" t="s">
        <v>267</v>
      </c>
      <c r="B288" s="61" t="s">
        <v>267</v>
      </c>
      <c r="C288" s="62"/>
      <c r="D288" s="63"/>
      <c r="E288" s="64"/>
      <c r="F288" s="65"/>
      <c r="G288" s="62"/>
      <c r="H288" s="66"/>
      <c r="I288" s="67"/>
      <c r="J288" s="67"/>
      <c r="K288" s="31"/>
      <c r="L288" s="75">
        <v>288</v>
      </c>
      <c r="M288"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88" s="69"/>
      <c r="O288" t="s">
        <v>177</v>
      </c>
      <c r="P288" s="76">
        <v>45507.81108796296</v>
      </c>
      <c r="Q288" t="s">
        <v>769</v>
      </c>
      <c r="R288" t="b">
        <v>0</v>
      </c>
      <c r="S288">
        <v>0</v>
      </c>
      <c r="T288">
        <v>0</v>
      </c>
      <c r="U288">
        <v>0</v>
      </c>
      <c r="V288">
        <v>0</v>
      </c>
      <c r="W288">
        <v>33</v>
      </c>
      <c r="AD288" s="77" t="s">
        <v>1365</v>
      </c>
      <c r="AE288" t="s">
        <v>1385</v>
      </c>
      <c r="AF288" s="78" t="str">
        <f>HYPERLINK("https://twitter.com/rm___fernanda/status/1819817503691788653")</f>
        <v>https://twitter.com/rm___fernanda/status/1819817503691788653</v>
      </c>
      <c r="AG288" s="76">
        <v>45507.81108796296</v>
      </c>
      <c r="AH288" s="80">
        <v>45507</v>
      </c>
      <c r="AI288" s="77" t="s">
        <v>1451</v>
      </c>
      <c r="AW288" s="78" t="str">
        <f>HYPERLINK("https://pbs.twimg.com/profile_images/1871243418996760576/cwZrDSpl_normal.jpg")</f>
        <v>https://pbs.twimg.com/profile_images/1871243418996760576/cwZrDSpl_normal.jpg</v>
      </c>
      <c r="AX288" s="77" t="s">
        <v>1935</v>
      </c>
      <c r="AY288" s="77" t="s">
        <v>1935</v>
      </c>
      <c r="BA288" s="77" t="s">
        <v>2494</v>
      </c>
      <c r="BB288" s="77" t="s">
        <v>2494</v>
      </c>
      <c r="BC288" s="77" t="s">
        <v>2494</v>
      </c>
      <c r="BD288" s="77" t="s">
        <v>1935</v>
      </c>
      <c r="BE288">
        <v>2756709835</v>
      </c>
      <c r="BK288" s="112" t="str">
        <f>REPLACE(INDEX(GroupVertices[Group], MATCH("~"&amp;Edges[[#This Row],[Vertex 1]],GroupVertices[Vertex],0)),1,1,"")</f>
        <v>127</v>
      </c>
      <c r="BL288" s="112" t="str">
        <f>REPLACE(INDEX(GroupVertices[Group], MATCH("~"&amp;Edges[[#This Row],[Vertex 2]],GroupVertices[Vertex],0)),1,1,"")</f>
        <v>127</v>
      </c>
    </row>
    <row r="289" spans="1:64" x14ac:dyDescent="0.25">
      <c r="A289" s="61" t="s">
        <v>331</v>
      </c>
      <c r="B289" s="61" t="s">
        <v>331</v>
      </c>
      <c r="C289" s="62"/>
      <c r="D289" s="63"/>
      <c r="E289" s="64"/>
      <c r="F289" s="65"/>
      <c r="G289" s="62"/>
      <c r="H289" s="66"/>
      <c r="I289" s="67"/>
      <c r="J289" s="67"/>
      <c r="K289" s="31"/>
      <c r="L289" s="75">
        <v>289</v>
      </c>
      <c r="M289"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89" s="69"/>
      <c r="O289" t="s">
        <v>177</v>
      </c>
      <c r="P289" s="76">
        <v>45506.268877314818</v>
      </c>
      <c r="Q289" t="s">
        <v>884</v>
      </c>
      <c r="R289" t="b">
        <v>0</v>
      </c>
      <c r="S289">
        <v>0</v>
      </c>
      <c r="T289">
        <v>0</v>
      </c>
      <c r="U289">
        <v>0</v>
      </c>
      <c r="V289">
        <v>0</v>
      </c>
      <c r="W289">
        <v>33</v>
      </c>
      <c r="X289" s="77" t="s">
        <v>1108</v>
      </c>
      <c r="AB289" t="s">
        <v>1298</v>
      </c>
      <c r="AC289" t="s">
        <v>1359</v>
      </c>
      <c r="AD289" s="77" t="s">
        <v>1365</v>
      </c>
      <c r="AE289" t="s">
        <v>1385</v>
      </c>
      <c r="AF289" s="78" t="str">
        <f>HYPERLINK("https://twitter.com/adano1989/status/1819258625287762082")</f>
        <v>https://twitter.com/adano1989/status/1819258625287762082</v>
      </c>
      <c r="AG289" s="76">
        <v>45506.268877314818</v>
      </c>
      <c r="AH289" s="80">
        <v>45506</v>
      </c>
      <c r="AI289" s="77" t="s">
        <v>1564</v>
      </c>
      <c r="AJ289" t="b">
        <v>0</v>
      </c>
      <c r="AR289" t="s">
        <v>1811</v>
      </c>
      <c r="AW289" s="78" t="str">
        <f>HYPERLINK("https://pbs.twimg.com/media/GT9OE8bWEAAP9VJ.jpg")</f>
        <v>https://pbs.twimg.com/media/GT9OE8bWEAAP9VJ.jpg</v>
      </c>
      <c r="AX289" s="77" t="s">
        <v>2050</v>
      </c>
      <c r="AY289" s="77" t="s">
        <v>2050</v>
      </c>
      <c r="BA289" s="77" t="s">
        <v>2494</v>
      </c>
      <c r="BB289" s="77" t="s">
        <v>2494</v>
      </c>
      <c r="BC289" s="77" t="s">
        <v>2494</v>
      </c>
      <c r="BD289" s="77" t="s">
        <v>2050</v>
      </c>
      <c r="BE289">
        <v>791379487</v>
      </c>
      <c r="BK289" s="112" t="str">
        <f>REPLACE(INDEX(GroupVertices[Group], MATCH("~"&amp;Edges[[#This Row],[Vertex 1]],GroupVertices[Vertex],0)),1,1,"")</f>
        <v>138</v>
      </c>
      <c r="BL289" s="112" t="str">
        <f>REPLACE(INDEX(GroupVertices[Group], MATCH("~"&amp;Edges[[#This Row],[Vertex 2]],GroupVertices[Vertex],0)),1,1,"")</f>
        <v>138</v>
      </c>
    </row>
    <row r="290" spans="1:64" x14ac:dyDescent="0.25">
      <c r="A290" s="61" t="s">
        <v>395</v>
      </c>
      <c r="B290" s="61" t="s">
        <v>394</v>
      </c>
      <c r="C290" s="62"/>
      <c r="D290" s="63"/>
      <c r="E290" s="64"/>
      <c r="F290" s="65"/>
      <c r="G290" s="62"/>
      <c r="H290" s="66"/>
      <c r="I290" s="67"/>
      <c r="J290" s="67"/>
      <c r="K290" s="31"/>
      <c r="L290" s="75">
        <v>290</v>
      </c>
      <c r="M290"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90" s="69"/>
      <c r="O290" t="s">
        <v>704</v>
      </c>
      <c r="P290" s="76">
        <v>45505.616944444446</v>
      </c>
      <c r="Q290" t="s">
        <v>962</v>
      </c>
      <c r="R290" t="b">
        <v>0</v>
      </c>
      <c r="S290">
        <v>0</v>
      </c>
      <c r="T290">
        <v>0</v>
      </c>
      <c r="U290">
        <v>0</v>
      </c>
      <c r="V290">
        <v>0</v>
      </c>
      <c r="W290">
        <v>33</v>
      </c>
      <c r="AD290" s="77" t="s">
        <v>1366</v>
      </c>
      <c r="AE290" t="s">
        <v>1385</v>
      </c>
      <c r="AF290" s="78" t="str">
        <f>HYPERLINK("https://twitter.com/aangeeell16/status/1819022372327903280")</f>
        <v>https://twitter.com/aangeeell16/status/1819022372327903280</v>
      </c>
      <c r="AG290" s="76">
        <v>45505.616944444446</v>
      </c>
      <c r="AH290" s="80">
        <v>45505</v>
      </c>
      <c r="AI290" s="77" t="s">
        <v>1642</v>
      </c>
      <c r="AW290" s="78" t="str">
        <f>HYPERLINK("https://pbs.twimg.com/profile_images/1720377858785243136/5eEho0wS_normal.jpg")</f>
        <v>https://pbs.twimg.com/profile_images/1720377858785243136/5eEho0wS_normal.jpg</v>
      </c>
      <c r="AX290" s="77" t="s">
        <v>2128</v>
      </c>
      <c r="AY290" s="77" t="s">
        <v>2128</v>
      </c>
      <c r="BA290" s="77" t="s">
        <v>2494</v>
      </c>
      <c r="BB290" s="77" t="s">
        <v>2127</v>
      </c>
      <c r="BC290" s="77" t="s">
        <v>2494</v>
      </c>
      <c r="BD290" s="77" t="s">
        <v>2127</v>
      </c>
      <c r="BE290" s="77" t="s">
        <v>2605</v>
      </c>
      <c r="BK290" s="112" t="str">
        <f>REPLACE(INDEX(GroupVertices[Group], MATCH("~"&amp;Edges[[#This Row],[Vertex 1]],GroupVertices[Vertex],0)),1,1,"")</f>
        <v>73</v>
      </c>
      <c r="BL290" s="112" t="str">
        <f>REPLACE(INDEX(GroupVertices[Group], MATCH("~"&amp;Edges[[#This Row],[Vertex 2]],GroupVertices[Vertex],0)),1,1,"")</f>
        <v>73</v>
      </c>
    </row>
    <row r="291" spans="1:64" x14ac:dyDescent="0.25">
      <c r="A291" s="61" t="s">
        <v>444</v>
      </c>
      <c r="B291" s="61" t="s">
        <v>444</v>
      </c>
      <c r="C291" s="62"/>
      <c r="D291" s="63"/>
      <c r="E291" s="64"/>
      <c r="F291" s="65"/>
      <c r="G291" s="62"/>
      <c r="H291" s="66"/>
      <c r="I291" s="67"/>
      <c r="J291" s="67"/>
      <c r="K291" s="31"/>
      <c r="L291" s="75">
        <v>291</v>
      </c>
      <c r="M291"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91" s="69"/>
      <c r="O291" t="s">
        <v>177</v>
      </c>
      <c r="P291" s="76">
        <v>45509.06145833333</v>
      </c>
      <c r="Q291" t="s">
        <v>1019</v>
      </c>
      <c r="R291" t="b">
        <v>0</v>
      </c>
      <c r="S291">
        <v>0</v>
      </c>
      <c r="T291">
        <v>0</v>
      </c>
      <c r="U291">
        <v>0</v>
      </c>
      <c r="V291">
        <v>0</v>
      </c>
      <c r="W291">
        <v>33</v>
      </c>
      <c r="Y291" s="78" t="str">
        <f>HYPERLINK("https://zona11aysen.cl/sistema-de-admision-escolar-sae-los-mitos-y-verdades-de-la-plataforma-de-postulacion-a-colegios/")</f>
        <v>https://zona11aysen.cl/sistema-de-admision-escolar-sae-los-mitos-y-verdades-de-la-plataforma-de-postulacion-a-colegios/</v>
      </c>
      <c r="Z291" t="s">
        <v>1195</v>
      </c>
      <c r="AB291" t="s">
        <v>1342</v>
      </c>
      <c r="AC291" t="s">
        <v>1359</v>
      </c>
      <c r="AD291" s="77" t="s">
        <v>1367</v>
      </c>
      <c r="AE291" t="s">
        <v>1385</v>
      </c>
      <c r="AF291" s="78" t="str">
        <f>HYPERLINK("https://twitter.com/zona11aysen/status/1820270624046039355")</f>
        <v>https://twitter.com/zona11aysen/status/1820270624046039355</v>
      </c>
      <c r="AG291" s="76">
        <v>45509.06145833333</v>
      </c>
      <c r="AH291" s="80">
        <v>45509</v>
      </c>
      <c r="AI291" s="77" t="s">
        <v>1697</v>
      </c>
      <c r="AJ291" t="b">
        <v>0</v>
      </c>
      <c r="AR291" t="s">
        <v>1855</v>
      </c>
      <c r="AW291" s="78" t="str">
        <f>HYPERLINK("https://pbs.twimg.com/media/GULmennXkAA4NSY.jpg")</f>
        <v>https://pbs.twimg.com/media/GULmennXkAA4NSY.jpg</v>
      </c>
      <c r="AX291" s="77" t="s">
        <v>2185</v>
      </c>
      <c r="AY291" s="77" t="s">
        <v>2185</v>
      </c>
      <c r="BA291" s="77" t="s">
        <v>2494</v>
      </c>
      <c r="BB291" s="77" t="s">
        <v>2494</v>
      </c>
      <c r="BC291" s="77" t="s">
        <v>2494</v>
      </c>
      <c r="BD291" s="77" t="s">
        <v>2185</v>
      </c>
      <c r="BE291" s="77" t="s">
        <v>2621</v>
      </c>
      <c r="BK291" s="112" t="str">
        <f>REPLACE(INDEX(GroupVertices[Group], MATCH("~"&amp;Edges[[#This Row],[Vertex 1]],GroupVertices[Vertex],0)),1,1,"")</f>
        <v>126</v>
      </c>
      <c r="BL291" s="112" t="str">
        <f>REPLACE(INDEX(GroupVertices[Group], MATCH("~"&amp;Edges[[#This Row],[Vertex 2]],GroupVertices[Vertex],0)),1,1,"")</f>
        <v>126</v>
      </c>
    </row>
    <row r="292" spans="1:64" x14ac:dyDescent="0.25">
      <c r="A292" s="61" t="s">
        <v>463</v>
      </c>
      <c r="B292" s="61" t="s">
        <v>463</v>
      </c>
      <c r="C292" s="62"/>
      <c r="D292" s="63"/>
      <c r="E292" s="64"/>
      <c r="F292" s="65"/>
      <c r="G292" s="62"/>
      <c r="H292" s="66"/>
      <c r="I292" s="67"/>
      <c r="J292" s="67"/>
      <c r="K292" s="31"/>
      <c r="L292" s="75">
        <v>292</v>
      </c>
      <c r="M292"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92" s="69"/>
      <c r="O292" t="s">
        <v>177</v>
      </c>
      <c r="P292" s="76">
        <v>45509.497986111113</v>
      </c>
      <c r="Q292" t="s">
        <v>1040</v>
      </c>
      <c r="R292" t="b">
        <v>0</v>
      </c>
      <c r="S292">
        <v>0</v>
      </c>
      <c r="T292">
        <v>0</v>
      </c>
      <c r="U292">
        <v>0</v>
      </c>
      <c r="V292">
        <v>0</v>
      </c>
      <c r="W292">
        <v>33</v>
      </c>
      <c r="Y292" s="78" t="str">
        <f>HYPERLINK("https://tehuelchenoticias.cl/nuevo_sitio/2024/08/04/sistema-de-admision-escolar-sae-los-mitos-y-verdades-de-la-plataforma-de-postulacion-a-colegios/")</f>
        <v>https://tehuelchenoticias.cl/nuevo_sitio/2024/08/04/sistema-de-admision-escolar-sae-los-mitos-y-verdades-de-la-plataforma-de-postulacion-a-colegios/</v>
      </c>
      <c r="Z292" t="s">
        <v>1200</v>
      </c>
      <c r="AB292" t="s">
        <v>1349</v>
      </c>
      <c r="AC292" t="s">
        <v>1359</v>
      </c>
      <c r="AD292" s="77" t="s">
        <v>1367</v>
      </c>
      <c r="AE292" t="s">
        <v>1385</v>
      </c>
      <c r="AF292" s="78" t="str">
        <f>HYPERLINK("https://twitter.com/tehuelchenotic/status/1820428817359643088")</f>
        <v>https://twitter.com/tehuelchenotic/status/1820428817359643088</v>
      </c>
      <c r="AG292" s="76">
        <v>45509.497986111113</v>
      </c>
      <c r="AH292" s="80">
        <v>45509</v>
      </c>
      <c r="AI292" s="77" t="s">
        <v>1718</v>
      </c>
      <c r="AJ292" t="b">
        <v>0</v>
      </c>
      <c r="AR292" t="s">
        <v>1862</v>
      </c>
      <c r="AW292" s="78" t="str">
        <f>HYPERLINK("https://pbs.twimg.com/media/GUN2W4SXgAI0Lwi.jpg")</f>
        <v>https://pbs.twimg.com/media/GUN2W4SXgAI0Lwi.jpg</v>
      </c>
      <c r="AX292" s="77" t="s">
        <v>2206</v>
      </c>
      <c r="AY292" s="77" t="s">
        <v>2206</v>
      </c>
      <c r="BA292" s="77" t="s">
        <v>2494</v>
      </c>
      <c r="BB292" s="77" t="s">
        <v>2494</v>
      </c>
      <c r="BC292" s="77" t="s">
        <v>2494</v>
      </c>
      <c r="BD292" s="77" t="s">
        <v>2206</v>
      </c>
      <c r="BE292" s="77" t="s">
        <v>2629</v>
      </c>
      <c r="BK292" s="112" t="str">
        <f>REPLACE(INDEX(GroupVertices[Group], MATCH("~"&amp;Edges[[#This Row],[Vertex 1]],GroupVertices[Vertex],0)),1,1,"")</f>
        <v>125</v>
      </c>
      <c r="BL292" s="112" t="str">
        <f>REPLACE(INDEX(GroupVertices[Group], MATCH("~"&amp;Edges[[#This Row],[Vertex 2]],GroupVertices[Vertex],0)),1,1,"")</f>
        <v>125</v>
      </c>
    </row>
    <row r="293" spans="1:64" x14ac:dyDescent="0.25">
      <c r="A293" s="61" t="s">
        <v>475</v>
      </c>
      <c r="B293" s="61" t="s">
        <v>475</v>
      </c>
      <c r="C293" s="62"/>
      <c r="D293" s="63"/>
      <c r="E293" s="64"/>
      <c r="F293" s="65"/>
      <c r="G293" s="62"/>
      <c r="H293" s="66"/>
      <c r="I293" s="67"/>
      <c r="J293" s="67"/>
      <c r="K293" s="31"/>
      <c r="L293" s="75">
        <v>293</v>
      </c>
      <c r="M293"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93" s="69"/>
      <c r="O293" t="s">
        <v>177</v>
      </c>
      <c r="P293" s="76">
        <v>45506.09375</v>
      </c>
      <c r="Q293" t="s">
        <v>1054</v>
      </c>
      <c r="R293" t="b">
        <v>0</v>
      </c>
      <c r="S293">
        <v>0</v>
      </c>
      <c r="T293">
        <v>0</v>
      </c>
      <c r="U293">
        <v>0</v>
      </c>
      <c r="V293">
        <v>0</v>
      </c>
      <c r="W293">
        <v>33</v>
      </c>
      <c r="X293" s="77" t="s">
        <v>1125</v>
      </c>
      <c r="Y293" s="78" t="str">
        <f>HYPERLINK("https://www.somosjujuy.com.ar/jujuy/tombola-jujena-numeros-jueves-1-agosto-n94286")</f>
        <v>https://www.somosjujuy.com.ar/jujuy/tombola-jujena-numeros-jueves-1-agosto-n94286</v>
      </c>
      <c r="Z293" t="s">
        <v>1162</v>
      </c>
      <c r="AD293" s="77" t="s">
        <v>1367</v>
      </c>
      <c r="AE293" t="s">
        <v>1385</v>
      </c>
      <c r="AF293" s="78" t="str">
        <f>HYPERLINK("https://twitter.com/somosjujuy/status/1819195162083709192")</f>
        <v>https://twitter.com/somosjujuy/status/1819195162083709192</v>
      </c>
      <c r="AG293" s="76">
        <v>45506.09375</v>
      </c>
      <c r="AH293" s="80">
        <v>45506</v>
      </c>
      <c r="AI293" s="77" t="s">
        <v>1731</v>
      </c>
      <c r="AJ293" t="b">
        <v>0</v>
      </c>
      <c r="AW293" s="78" t="str">
        <f>HYPERLINK("https://pbs.twimg.com/profile_images/1344842838350176256/SoW5s1T5_normal.jpg")</f>
        <v>https://pbs.twimg.com/profile_images/1344842838350176256/SoW5s1T5_normal.jpg</v>
      </c>
      <c r="AX293" s="77" t="s">
        <v>2220</v>
      </c>
      <c r="AY293" s="77" t="s">
        <v>2220</v>
      </c>
      <c r="BA293" s="77" t="s">
        <v>2494</v>
      </c>
      <c r="BB293" s="77" t="s">
        <v>2494</v>
      </c>
      <c r="BC293" s="77" t="s">
        <v>2494</v>
      </c>
      <c r="BD293" s="77" t="s">
        <v>2220</v>
      </c>
      <c r="BE293">
        <v>3377502832</v>
      </c>
      <c r="BK293" s="112" t="str">
        <f>REPLACE(INDEX(GroupVertices[Group], MATCH("~"&amp;Edges[[#This Row],[Vertex 1]],GroupVertices[Vertex],0)),1,1,"")</f>
        <v>140</v>
      </c>
      <c r="BL293" s="112" t="str">
        <f>REPLACE(INDEX(GroupVertices[Group], MATCH("~"&amp;Edges[[#This Row],[Vertex 2]],GroupVertices[Vertex],0)),1,1,"")</f>
        <v>140</v>
      </c>
    </row>
    <row r="294" spans="1:64" x14ac:dyDescent="0.25">
      <c r="A294" s="61" t="s">
        <v>383</v>
      </c>
      <c r="B294" s="61" t="s">
        <v>639</v>
      </c>
      <c r="C294" s="62"/>
      <c r="D294" s="63"/>
      <c r="E294" s="64"/>
      <c r="F294" s="65"/>
      <c r="G294" s="62"/>
      <c r="H294" s="66"/>
      <c r="I294" s="67"/>
      <c r="J294" s="67"/>
      <c r="K294" s="31"/>
      <c r="L294" s="75">
        <v>294</v>
      </c>
      <c r="M294"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94" s="69"/>
      <c r="O294" t="s">
        <v>701</v>
      </c>
      <c r="P294" s="76">
        <v>45508.887870370374</v>
      </c>
      <c r="Q294" t="s">
        <v>947</v>
      </c>
      <c r="R294" t="b">
        <v>0</v>
      </c>
      <c r="S294">
        <v>0</v>
      </c>
      <c r="T294">
        <v>1</v>
      </c>
      <c r="U294">
        <v>1</v>
      </c>
      <c r="V294">
        <v>0</v>
      </c>
      <c r="W294">
        <v>32</v>
      </c>
      <c r="AA294" t="s">
        <v>639</v>
      </c>
      <c r="AD294" s="77" t="s">
        <v>1367</v>
      </c>
      <c r="AE294" t="s">
        <v>1385</v>
      </c>
      <c r="AF294" s="78" t="str">
        <f>HYPERLINK("https://twitter.com/ladecada_80/status/1820207719665553903")</f>
        <v>https://twitter.com/ladecada_80/status/1820207719665553903</v>
      </c>
      <c r="AG294" s="76">
        <v>45508.887870370374</v>
      </c>
      <c r="AH294" s="80">
        <v>45508</v>
      </c>
      <c r="AI294" s="77" t="s">
        <v>1627</v>
      </c>
      <c r="AW294" s="78" t="str">
        <f>HYPERLINK("https://pbs.twimg.com/profile_images/1876267748461776896/bx4-y-J8_normal.jpg")</f>
        <v>https://pbs.twimg.com/profile_images/1876267748461776896/bx4-y-J8_normal.jpg</v>
      </c>
      <c r="AX294" s="77" t="s">
        <v>2113</v>
      </c>
      <c r="AY294" s="77" t="s">
        <v>2330</v>
      </c>
      <c r="AZ294" s="77" t="s">
        <v>2449</v>
      </c>
      <c r="BA294" s="77" t="s">
        <v>2516</v>
      </c>
      <c r="BB294" s="77" t="s">
        <v>2494</v>
      </c>
      <c r="BC294" s="77" t="s">
        <v>2494</v>
      </c>
      <c r="BD294" s="77" t="s">
        <v>2516</v>
      </c>
      <c r="BE294" s="77" t="s">
        <v>2600</v>
      </c>
      <c r="BK294" s="112" t="str">
        <f>REPLACE(INDEX(GroupVertices[Group], MATCH("~"&amp;Edges[[#This Row],[Vertex 1]],GroupVertices[Vertex],0)),1,1,"")</f>
        <v>72</v>
      </c>
      <c r="BL294" s="112" t="str">
        <f>REPLACE(INDEX(GroupVertices[Group], MATCH("~"&amp;Edges[[#This Row],[Vertex 2]],GroupVertices[Vertex],0)),1,1,"")</f>
        <v>72</v>
      </c>
    </row>
    <row r="295" spans="1:64" x14ac:dyDescent="0.25">
      <c r="A295" s="61" t="s">
        <v>422</v>
      </c>
      <c r="B295" s="61" t="s">
        <v>625</v>
      </c>
      <c r="C295" s="62"/>
      <c r="D295" s="63"/>
      <c r="E295" s="64"/>
      <c r="F295" s="65"/>
      <c r="G295" s="62"/>
      <c r="H295" s="66"/>
      <c r="I295" s="67"/>
      <c r="J295" s="67"/>
      <c r="K295" s="31"/>
      <c r="L295" s="75">
        <v>295</v>
      </c>
      <c r="M295"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95" s="69"/>
      <c r="O295" t="s">
        <v>702</v>
      </c>
      <c r="P295" s="76">
        <v>45506.640520833331</v>
      </c>
      <c r="Q295" t="s">
        <v>992</v>
      </c>
      <c r="R295" t="b">
        <v>0</v>
      </c>
      <c r="S295">
        <v>0</v>
      </c>
      <c r="T295">
        <v>1</v>
      </c>
      <c r="U295">
        <v>0</v>
      </c>
      <c r="V295">
        <v>0</v>
      </c>
      <c r="W295">
        <v>32</v>
      </c>
      <c r="Y295" s="78" t="str">
        <f>HYPERLINK("https://campinadigital.me/2024/08/02/el-sae-renueva-90-puntos-de-empleo-y-acerca-sus-servicios-digitales-a-los-pequenos-municipios/")</f>
        <v>https://campinadigital.me/2024/08/02/el-sae-renueva-90-puntos-de-empleo-y-acerca-sus-servicios-digitales-a-los-pequenos-municipios/</v>
      </c>
      <c r="Z295" t="s">
        <v>1186</v>
      </c>
      <c r="AA295" t="s">
        <v>1257</v>
      </c>
      <c r="AD295" s="77" t="s">
        <v>1367</v>
      </c>
      <c r="AE295" t="s">
        <v>1385</v>
      </c>
      <c r="AF295" s="78" t="str">
        <f>HYPERLINK("https://twitter.com/campinadigital/status/1819393307291554267")</f>
        <v>https://twitter.com/campinadigital/status/1819393307291554267</v>
      </c>
      <c r="AG295" s="76">
        <v>45506.640520833331</v>
      </c>
      <c r="AH295" s="80">
        <v>45506</v>
      </c>
      <c r="AI295" s="77" t="s">
        <v>1672</v>
      </c>
      <c r="AJ295" t="b">
        <v>0</v>
      </c>
      <c r="AW295" s="78" t="str">
        <f>HYPERLINK("https://pbs.twimg.com/profile_images/1580467556971945985/--qy7433_normal.jpg")</f>
        <v>https://pbs.twimg.com/profile_images/1580467556971945985/--qy7433_normal.jpg</v>
      </c>
      <c r="AX295" s="77" t="s">
        <v>2158</v>
      </c>
      <c r="AY295" s="77" t="s">
        <v>2158</v>
      </c>
      <c r="BA295" s="77" t="s">
        <v>2494</v>
      </c>
      <c r="BB295" s="77" t="s">
        <v>2494</v>
      </c>
      <c r="BC295" s="77" t="s">
        <v>2494</v>
      </c>
      <c r="BD295" s="77" t="s">
        <v>2158</v>
      </c>
      <c r="BE295">
        <v>1079405406</v>
      </c>
      <c r="BK295" s="112" t="str">
        <f>REPLACE(INDEX(GroupVertices[Group], MATCH("~"&amp;Edges[[#This Row],[Vertex 1]],GroupVertices[Vertex],0)),1,1,"")</f>
        <v>14</v>
      </c>
      <c r="BL295" s="112" t="str">
        <f>REPLACE(INDEX(GroupVertices[Group], MATCH("~"&amp;Edges[[#This Row],[Vertex 2]],GroupVertices[Vertex],0)),1,1,"")</f>
        <v>14</v>
      </c>
    </row>
    <row r="296" spans="1:64" x14ac:dyDescent="0.25">
      <c r="A296" s="61" t="s">
        <v>422</v>
      </c>
      <c r="B296" s="61" t="s">
        <v>626</v>
      </c>
      <c r="C296" s="62"/>
      <c r="D296" s="63"/>
      <c r="E296" s="64"/>
      <c r="F296" s="65"/>
      <c r="G296" s="62"/>
      <c r="H296" s="66"/>
      <c r="I296" s="67"/>
      <c r="J296" s="67"/>
      <c r="K296" s="31"/>
      <c r="L296" s="75">
        <v>296</v>
      </c>
      <c r="M296"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96" s="69"/>
      <c r="O296" t="s">
        <v>702</v>
      </c>
      <c r="P296" s="76">
        <v>45506.640520833331</v>
      </c>
      <c r="Q296" t="s">
        <v>992</v>
      </c>
      <c r="R296" t="b">
        <v>0</v>
      </c>
      <c r="S296">
        <v>0</v>
      </c>
      <c r="T296">
        <v>1</v>
      </c>
      <c r="U296">
        <v>0</v>
      </c>
      <c r="V296">
        <v>0</v>
      </c>
      <c r="W296">
        <v>32</v>
      </c>
      <c r="Y296" s="78" t="str">
        <f>HYPERLINK("https://campinadigital.me/2024/08/02/el-sae-renueva-90-puntos-de-empleo-y-acerca-sus-servicios-digitales-a-los-pequenos-municipios/")</f>
        <v>https://campinadigital.me/2024/08/02/el-sae-renueva-90-puntos-de-empleo-y-acerca-sus-servicios-digitales-a-los-pequenos-municipios/</v>
      </c>
      <c r="Z296" t="s">
        <v>1186</v>
      </c>
      <c r="AA296" t="s">
        <v>1257</v>
      </c>
      <c r="AD296" s="77" t="s">
        <v>1367</v>
      </c>
      <c r="AE296" t="s">
        <v>1385</v>
      </c>
      <c r="AF296" s="78" t="str">
        <f>HYPERLINK("https://twitter.com/campinadigital/status/1819393307291554267")</f>
        <v>https://twitter.com/campinadigital/status/1819393307291554267</v>
      </c>
      <c r="AG296" s="76">
        <v>45506.640520833331</v>
      </c>
      <c r="AH296" s="80">
        <v>45506</v>
      </c>
      <c r="AI296" s="77" t="s">
        <v>1672</v>
      </c>
      <c r="AJ296" t="b">
        <v>0</v>
      </c>
      <c r="AW296" s="78" t="str">
        <f>HYPERLINK("https://pbs.twimg.com/profile_images/1580467556971945985/--qy7433_normal.jpg")</f>
        <v>https://pbs.twimg.com/profile_images/1580467556971945985/--qy7433_normal.jpg</v>
      </c>
      <c r="AX296" s="77" t="s">
        <v>2158</v>
      </c>
      <c r="AY296" s="77" t="s">
        <v>2158</v>
      </c>
      <c r="BA296" s="77" t="s">
        <v>2494</v>
      </c>
      <c r="BB296" s="77" t="s">
        <v>2494</v>
      </c>
      <c r="BC296" s="77" t="s">
        <v>2494</v>
      </c>
      <c r="BD296" s="77" t="s">
        <v>2158</v>
      </c>
      <c r="BE296">
        <v>1079405406</v>
      </c>
      <c r="BK296" s="112" t="str">
        <f>REPLACE(INDEX(GroupVertices[Group], MATCH("~"&amp;Edges[[#This Row],[Vertex 1]],GroupVertices[Vertex],0)),1,1,"")</f>
        <v>14</v>
      </c>
      <c r="BL296" s="112" t="str">
        <f>REPLACE(INDEX(GroupVertices[Group], MATCH("~"&amp;Edges[[#This Row],[Vertex 2]],GroupVertices[Vertex],0)),1,1,"")</f>
        <v>14</v>
      </c>
    </row>
    <row r="297" spans="1:64" x14ac:dyDescent="0.25">
      <c r="A297" s="61" t="s">
        <v>422</v>
      </c>
      <c r="B297" s="61" t="s">
        <v>423</v>
      </c>
      <c r="C297" s="62"/>
      <c r="D297" s="63"/>
      <c r="E297" s="64"/>
      <c r="F297" s="65"/>
      <c r="G297" s="62"/>
      <c r="H297" s="66"/>
      <c r="I297" s="67"/>
      <c r="J297" s="67"/>
      <c r="K297" s="31"/>
      <c r="L297" s="75">
        <v>297</v>
      </c>
      <c r="M297"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97" s="69"/>
      <c r="O297" t="s">
        <v>702</v>
      </c>
      <c r="P297" s="76">
        <v>45506.640520833331</v>
      </c>
      <c r="Q297" t="s">
        <v>992</v>
      </c>
      <c r="R297" t="b">
        <v>0</v>
      </c>
      <c r="S297">
        <v>0</v>
      </c>
      <c r="T297">
        <v>1</v>
      </c>
      <c r="U297">
        <v>0</v>
      </c>
      <c r="V297">
        <v>0</v>
      </c>
      <c r="W297">
        <v>32</v>
      </c>
      <c r="Y297" s="78" t="str">
        <f>HYPERLINK("https://campinadigital.me/2024/08/02/el-sae-renueva-90-puntos-de-empleo-y-acerca-sus-servicios-digitales-a-los-pequenos-municipios/")</f>
        <v>https://campinadigital.me/2024/08/02/el-sae-renueva-90-puntos-de-empleo-y-acerca-sus-servicios-digitales-a-los-pequenos-municipios/</v>
      </c>
      <c r="Z297" t="s">
        <v>1186</v>
      </c>
      <c r="AA297" t="s">
        <v>1257</v>
      </c>
      <c r="AD297" s="77" t="s">
        <v>1367</v>
      </c>
      <c r="AE297" t="s">
        <v>1385</v>
      </c>
      <c r="AF297" s="78" t="str">
        <f>HYPERLINK("https://twitter.com/campinadigital/status/1819393307291554267")</f>
        <v>https://twitter.com/campinadigital/status/1819393307291554267</v>
      </c>
      <c r="AG297" s="76">
        <v>45506.640520833331</v>
      </c>
      <c r="AH297" s="80">
        <v>45506</v>
      </c>
      <c r="AI297" s="77" t="s">
        <v>1672</v>
      </c>
      <c r="AJ297" t="b">
        <v>0</v>
      </c>
      <c r="AW297" s="78" t="str">
        <f>HYPERLINK("https://pbs.twimg.com/profile_images/1580467556971945985/--qy7433_normal.jpg")</f>
        <v>https://pbs.twimg.com/profile_images/1580467556971945985/--qy7433_normal.jpg</v>
      </c>
      <c r="AX297" s="77" t="s">
        <v>2158</v>
      </c>
      <c r="AY297" s="77" t="s">
        <v>2158</v>
      </c>
      <c r="BA297" s="77" t="s">
        <v>2494</v>
      </c>
      <c r="BB297" s="77" t="s">
        <v>2494</v>
      </c>
      <c r="BC297" s="77" t="s">
        <v>2494</v>
      </c>
      <c r="BD297" s="77" t="s">
        <v>2158</v>
      </c>
      <c r="BE297">
        <v>1079405406</v>
      </c>
      <c r="BK297" s="112" t="str">
        <f>REPLACE(INDEX(GroupVertices[Group], MATCH("~"&amp;Edges[[#This Row],[Vertex 1]],GroupVertices[Vertex],0)),1,1,"")</f>
        <v>14</v>
      </c>
      <c r="BL297" s="112" t="str">
        <f>REPLACE(INDEX(GroupVertices[Group], MATCH("~"&amp;Edges[[#This Row],[Vertex 2]],GroupVertices[Vertex],0)),1,1,"")</f>
        <v>14</v>
      </c>
    </row>
    <row r="298" spans="1:64" x14ac:dyDescent="0.25">
      <c r="A298" s="61" t="s">
        <v>368</v>
      </c>
      <c r="B298" s="61" t="s">
        <v>625</v>
      </c>
      <c r="C298" s="62"/>
      <c r="D298" s="63"/>
      <c r="E298" s="64"/>
      <c r="F298" s="65"/>
      <c r="G298" s="62"/>
      <c r="H298" s="66"/>
      <c r="I298" s="67"/>
      <c r="J298" s="67"/>
      <c r="K298" s="31"/>
      <c r="L298" s="75">
        <v>298</v>
      </c>
      <c r="M298"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98" s="69"/>
      <c r="O298" t="s">
        <v>702</v>
      </c>
      <c r="P298" s="76">
        <v>45506.755312499998</v>
      </c>
      <c r="Q298" t="s">
        <v>931</v>
      </c>
      <c r="R298" t="b">
        <v>0</v>
      </c>
      <c r="S298">
        <v>1</v>
      </c>
      <c r="T298">
        <v>1</v>
      </c>
      <c r="U298">
        <v>0</v>
      </c>
      <c r="V298">
        <v>0</v>
      </c>
      <c r="W298">
        <v>31</v>
      </c>
      <c r="Y298" s="78" t="str">
        <f>HYPERLINK("https://www.loperadigital.com/2024/08/el-sae-renueva-90-puntos-de-empleo-y.html")</f>
        <v>https://www.loperadigital.com/2024/08/el-sae-renueva-90-puntos-de-empleo-y.html</v>
      </c>
      <c r="Z298" t="s">
        <v>1175</v>
      </c>
      <c r="AA298" t="s">
        <v>1240</v>
      </c>
      <c r="AB298" t="s">
        <v>1315</v>
      </c>
      <c r="AC298" t="s">
        <v>1359</v>
      </c>
      <c r="AD298" s="77" t="s">
        <v>1367</v>
      </c>
      <c r="AE298" t="s">
        <v>1385</v>
      </c>
      <c r="AF298" s="78" t="str">
        <f>HYPERLINK("https://twitter.com/loperadigital/status/1819434905828233665")</f>
        <v>https://twitter.com/loperadigital/status/1819434905828233665</v>
      </c>
      <c r="AG298" s="76">
        <v>45506.755312499998</v>
      </c>
      <c r="AH298" s="80">
        <v>45506</v>
      </c>
      <c r="AI298" s="77" t="s">
        <v>1611</v>
      </c>
      <c r="AJ298" t="b">
        <v>0</v>
      </c>
      <c r="AR298" t="s">
        <v>1828</v>
      </c>
      <c r="AW298" s="78" t="str">
        <f>HYPERLINK("https://pbs.twimg.com/media/GT_uY4_XcAAcZZr.jpg")</f>
        <v>https://pbs.twimg.com/media/GT_uY4_XcAAcZZr.jpg</v>
      </c>
      <c r="AX298" s="77" t="s">
        <v>2097</v>
      </c>
      <c r="AY298" s="77" t="s">
        <v>2097</v>
      </c>
      <c r="BA298" s="77" t="s">
        <v>2494</v>
      </c>
      <c r="BB298" s="77" t="s">
        <v>2494</v>
      </c>
      <c r="BC298" s="77" t="s">
        <v>2494</v>
      </c>
      <c r="BD298" s="77" t="s">
        <v>2097</v>
      </c>
      <c r="BE298">
        <v>888567234</v>
      </c>
      <c r="BK298" s="112" t="str">
        <f>REPLACE(INDEX(GroupVertices[Group], MATCH("~"&amp;Edges[[#This Row],[Vertex 1]],GroupVertices[Vertex],0)),1,1,"")</f>
        <v>14</v>
      </c>
      <c r="BL298" s="112" t="str">
        <f>REPLACE(INDEX(GroupVertices[Group], MATCH("~"&amp;Edges[[#This Row],[Vertex 2]],GroupVertices[Vertex],0)),1,1,"")</f>
        <v>14</v>
      </c>
    </row>
    <row r="299" spans="1:64" x14ac:dyDescent="0.25">
      <c r="A299" s="61" t="s">
        <v>368</v>
      </c>
      <c r="B299" s="61" t="s">
        <v>626</v>
      </c>
      <c r="C299" s="62"/>
      <c r="D299" s="63"/>
      <c r="E299" s="64"/>
      <c r="F299" s="65"/>
      <c r="G299" s="62"/>
      <c r="H299" s="66"/>
      <c r="I299" s="67"/>
      <c r="J299" s="67"/>
      <c r="K299" s="31"/>
      <c r="L299" s="75">
        <v>299</v>
      </c>
      <c r="M299"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299" s="69"/>
      <c r="O299" t="s">
        <v>702</v>
      </c>
      <c r="P299" s="76">
        <v>45506.755312499998</v>
      </c>
      <c r="Q299" t="s">
        <v>931</v>
      </c>
      <c r="R299" t="b">
        <v>0</v>
      </c>
      <c r="S299">
        <v>1</v>
      </c>
      <c r="T299">
        <v>1</v>
      </c>
      <c r="U299">
        <v>0</v>
      </c>
      <c r="V299">
        <v>0</v>
      </c>
      <c r="W299">
        <v>31</v>
      </c>
      <c r="Y299" s="78" t="str">
        <f>HYPERLINK("https://www.loperadigital.com/2024/08/el-sae-renueva-90-puntos-de-empleo-y.html")</f>
        <v>https://www.loperadigital.com/2024/08/el-sae-renueva-90-puntos-de-empleo-y.html</v>
      </c>
      <c r="Z299" t="s">
        <v>1175</v>
      </c>
      <c r="AA299" t="s">
        <v>1240</v>
      </c>
      <c r="AB299" t="s">
        <v>1315</v>
      </c>
      <c r="AC299" t="s">
        <v>1359</v>
      </c>
      <c r="AD299" s="77" t="s">
        <v>1367</v>
      </c>
      <c r="AE299" t="s">
        <v>1385</v>
      </c>
      <c r="AF299" s="78" t="str">
        <f>HYPERLINK("https://twitter.com/loperadigital/status/1819434905828233665")</f>
        <v>https://twitter.com/loperadigital/status/1819434905828233665</v>
      </c>
      <c r="AG299" s="76">
        <v>45506.755312499998</v>
      </c>
      <c r="AH299" s="80">
        <v>45506</v>
      </c>
      <c r="AI299" s="77" t="s">
        <v>1611</v>
      </c>
      <c r="AJ299" t="b">
        <v>0</v>
      </c>
      <c r="AR299" t="s">
        <v>1828</v>
      </c>
      <c r="AW299" s="78" t="str">
        <f>HYPERLINK("https://pbs.twimg.com/media/GT_uY4_XcAAcZZr.jpg")</f>
        <v>https://pbs.twimg.com/media/GT_uY4_XcAAcZZr.jpg</v>
      </c>
      <c r="AX299" s="77" t="s">
        <v>2097</v>
      </c>
      <c r="AY299" s="77" t="s">
        <v>2097</v>
      </c>
      <c r="BA299" s="77" t="s">
        <v>2494</v>
      </c>
      <c r="BB299" s="77" t="s">
        <v>2494</v>
      </c>
      <c r="BC299" s="77" t="s">
        <v>2494</v>
      </c>
      <c r="BD299" s="77" t="s">
        <v>2097</v>
      </c>
      <c r="BE299">
        <v>888567234</v>
      </c>
      <c r="BK299" s="112" t="str">
        <f>REPLACE(INDEX(GroupVertices[Group], MATCH("~"&amp;Edges[[#This Row],[Vertex 1]],GroupVertices[Vertex],0)),1,1,"")</f>
        <v>14</v>
      </c>
      <c r="BL299" s="112" t="str">
        <f>REPLACE(INDEX(GroupVertices[Group], MATCH("~"&amp;Edges[[#This Row],[Vertex 2]],GroupVertices[Vertex],0)),1,1,"")</f>
        <v>14</v>
      </c>
    </row>
    <row r="300" spans="1:64" x14ac:dyDescent="0.25">
      <c r="A300" s="61" t="s">
        <v>266</v>
      </c>
      <c r="B300" s="61" t="s">
        <v>551</v>
      </c>
      <c r="C300" s="62"/>
      <c r="D300" s="63"/>
      <c r="E300" s="64"/>
      <c r="F300" s="65"/>
      <c r="G300" s="62"/>
      <c r="H300" s="66"/>
      <c r="I300" s="67"/>
      <c r="J300" s="67"/>
      <c r="K300" s="31"/>
      <c r="L300" s="75">
        <v>300</v>
      </c>
      <c r="M300"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00" s="69"/>
      <c r="O300" t="s">
        <v>701</v>
      </c>
      <c r="P300" s="76">
        <v>45506.811736111114</v>
      </c>
      <c r="Q300" t="s">
        <v>767</v>
      </c>
      <c r="R300" t="b">
        <v>0</v>
      </c>
      <c r="S300">
        <v>0</v>
      </c>
      <c r="T300">
        <v>0</v>
      </c>
      <c r="U300">
        <v>0</v>
      </c>
      <c r="V300">
        <v>0</v>
      </c>
      <c r="W300">
        <v>30</v>
      </c>
      <c r="AA300" t="s">
        <v>551</v>
      </c>
      <c r="AD300" s="77" t="s">
        <v>1367</v>
      </c>
      <c r="AE300" t="s">
        <v>1385</v>
      </c>
      <c r="AF300" s="78" t="str">
        <f>HYPERLINK("https://twitter.com/admisionescolar/status/1819455353383538690")</f>
        <v>https://twitter.com/admisionescolar/status/1819455353383538690</v>
      </c>
      <c r="AG300" s="76">
        <v>45506.811736111114</v>
      </c>
      <c r="AH300" s="80">
        <v>45506</v>
      </c>
      <c r="AI300" s="77" t="s">
        <v>1449</v>
      </c>
      <c r="AW300" s="78" t="str">
        <f>HYPERLINK("https://pbs.twimg.com/profile_images/1814702908295798784/D2-qs3dC_normal.jpg")</f>
        <v>https://pbs.twimg.com/profile_images/1814702908295798784/D2-qs3dC_normal.jpg</v>
      </c>
      <c r="AX300" s="77" t="s">
        <v>1933</v>
      </c>
      <c r="AY300" s="77" t="s">
        <v>2011</v>
      </c>
      <c r="AZ300" s="77" t="s">
        <v>2394</v>
      </c>
      <c r="BA300" s="77" t="s">
        <v>2501</v>
      </c>
      <c r="BB300" s="77" t="s">
        <v>2494</v>
      </c>
      <c r="BC300" s="77" t="s">
        <v>2494</v>
      </c>
      <c r="BD300" s="77" t="s">
        <v>2501</v>
      </c>
      <c r="BE300" s="77" t="s">
        <v>2553</v>
      </c>
      <c r="BK300" s="112" t="str">
        <f>REPLACE(INDEX(GroupVertices[Group], MATCH("~"&amp;Edges[[#This Row],[Vertex 1]],GroupVertices[Vertex],0)),1,1,"")</f>
        <v>5</v>
      </c>
      <c r="BL300" s="112" t="str">
        <f>REPLACE(INDEX(GroupVertices[Group], MATCH("~"&amp;Edges[[#This Row],[Vertex 2]],GroupVertices[Vertex],0)),1,1,"")</f>
        <v>5</v>
      </c>
    </row>
    <row r="301" spans="1:64" x14ac:dyDescent="0.25">
      <c r="A301" s="61" t="s">
        <v>325</v>
      </c>
      <c r="B301" s="61" t="s">
        <v>325</v>
      </c>
      <c r="C301" s="62"/>
      <c r="D301" s="63"/>
      <c r="E301" s="64"/>
      <c r="F301" s="65"/>
      <c r="G301" s="62"/>
      <c r="H301" s="66"/>
      <c r="I301" s="67"/>
      <c r="J301" s="67"/>
      <c r="K301" s="31"/>
      <c r="L301" s="75">
        <v>301</v>
      </c>
      <c r="M301"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01" s="69"/>
      <c r="O301" t="s">
        <v>177</v>
      </c>
      <c r="P301" s="76">
        <v>45510.582662037035</v>
      </c>
      <c r="Q301" t="s">
        <v>877</v>
      </c>
      <c r="R301" t="b">
        <v>0</v>
      </c>
      <c r="S301">
        <v>0</v>
      </c>
      <c r="T301">
        <v>0</v>
      </c>
      <c r="U301">
        <v>0</v>
      </c>
      <c r="V301">
        <v>0</v>
      </c>
      <c r="W301">
        <v>30</v>
      </c>
      <c r="Y301" s="78" t="str">
        <f>HYPERLINK("https://nuevodiarioweb.com.ar/especiales/los-resultados-de-la-tombola-santiaguena-del-martes-6-de-agosto.htm")</f>
        <v>https://nuevodiarioweb.com.ar/especiales/los-resultados-de-la-tombola-santiaguena-del-martes-6-de-agosto.htm</v>
      </c>
      <c r="Z301" t="s">
        <v>1162</v>
      </c>
      <c r="AD301" s="77" t="s">
        <v>1367</v>
      </c>
      <c r="AE301" t="s">
        <v>1385</v>
      </c>
      <c r="AF301" s="78" t="str">
        <f>HYPERLINK("https://twitter.com/nuevodiarioweb/status/1820821888572219738")</f>
        <v>https://twitter.com/nuevodiarioweb/status/1820821888572219738</v>
      </c>
      <c r="AG301" s="76">
        <v>45510.582662037035</v>
      </c>
      <c r="AH301" s="80">
        <v>45510</v>
      </c>
      <c r="AI301" s="77" t="s">
        <v>1558</v>
      </c>
      <c r="AJ301" t="b">
        <v>0</v>
      </c>
      <c r="AW301" s="78" t="str">
        <f>HYPERLINK("https://pbs.twimg.com/profile_images/1743742607597965312/gpTwXMPF_normal.jpg")</f>
        <v>https://pbs.twimg.com/profile_images/1743742607597965312/gpTwXMPF_normal.jpg</v>
      </c>
      <c r="AX301" s="77" t="s">
        <v>2043</v>
      </c>
      <c r="AY301" s="77" t="s">
        <v>2043</v>
      </c>
      <c r="BA301" s="77" t="s">
        <v>2494</v>
      </c>
      <c r="BB301" s="77" t="s">
        <v>2494</v>
      </c>
      <c r="BC301" s="77" t="s">
        <v>2494</v>
      </c>
      <c r="BD301" s="77" t="s">
        <v>2043</v>
      </c>
      <c r="BE301">
        <v>4715906122</v>
      </c>
      <c r="BK301" s="112" t="str">
        <f>REPLACE(INDEX(GroupVertices[Group], MATCH("~"&amp;Edges[[#This Row],[Vertex 1]],GroupVertices[Vertex],0)),1,1,"")</f>
        <v>124</v>
      </c>
      <c r="BL301" s="112" t="str">
        <f>REPLACE(INDEX(GroupVertices[Group], MATCH("~"&amp;Edges[[#This Row],[Vertex 2]],GroupVertices[Vertex],0)),1,1,"")</f>
        <v>124</v>
      </c>
    </row>
    <row r="302" spans="1:64" x14ac:dyDescent="0.25">
      <c r="A302" s="61" t="s">
        <v>241</v>
      </c>
      <c r="B302" s="61" t="s">
        <v>241</v>
      </c>
      <c r="C302" s="62"/>
      <c r="D302" s="63"/>
      <c r="E302" s="64"/>
      <c r="F302" s="65"/>
      <c r="G302" s="62"/>
      <c r="H302" s="66"/>
      <c r="I302" s="67"/>
      <c r="J302" s="67"/>
      <c r="K302" s="31"/>
      <c r="L302" s="75">
        <v>302</v>
      </c>
      <c r="M302"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02" s="69"/>
      <c r="O302" t="s">
        <v>177</v>
      </c>
      <c r="P302" s="76">
        <v>45509.569606481484</v>
      </c>
      <c r="Q302" t="s">
        <v>724</v>
      </c>
      <c r="R302" t="b">
        <v>0</v>
      </c>
      <c r="S302">
        <v>0</v>
      </c>
      <c r="T302">
        <v>0</v>
      </c>
      <c r="U302">
        <v>0</v>
      </c>
      <c r="V302">
        <v>0</v>
      </c>
      <c r="W302">
        <v>29</v>
      </c>
      <c r="Y302" s="78" t="str">
        <f>HYPERLINK("https://sistemadeadmisionescolar.cl")</f>
        <v>https://sistemadeadmisionescolar.cl</v>
      </c>
      <c r="Z302" t="s">
        <v>1137</v>
      </c>
      <c r="AB302" t="s">
        <v>1266</v>
      </c>
      <c r="AC302" t="s">
        <v>1359</v>
      </c>
      <c r="AD302" s="77" t="s">
        <v>1367</v>
      </c>
      <c r="AE302" t="s">
        <v>1385</v>
      </c>
      <c r="AF302" s="78" t="str">
        <f>HYPERLINK("https://twitter.com/muni_alhue/status/1820454771263685045")</f>
        <v>https://twitter.com/muni_alhue/status/1820454771263685045</v>
      </c>
      <c r="AG302" s="76">
        <v>45509.569606481484</v>
      </c>
      <c r="AH302" s="80">
        <v>45509</v>
      </c>
      <c r="AI302" s="77" t="s">
        <v>1406</v>
      </c>
      <c r="AJ302" t="b">
        <v>0</v>
      </c>
      <c r="AR302" t="s">
        <v>1779</v>
      </c>
      <c r="AW302" s="78" t="str">
        <f>HYPERLINK("https://pbs.twimg.com/media/GUONWlKWwAADL1L.jpg")</f>
        <v>https://pbs.twimg.com/media/GUONWlKWwAADL1L.jpg</v>
      </c>
      <c r="AX302" s="77" t="s">
        <v>1890</v>
      </c>
      <c r="AY302" s="77" t="s">
        <v>1890</v>
      </c>
      <c r="BA302" s="77" t="s">
        <v>2494</v>
      </c>
      <c r="BB302" s="77" t="s">
        <v>2494</v>
      </c>
      <c r="BC302" s="77" t="s">
        <v>2494</v>
      </c>
      <c r="BD302" s="77" t="s">
        <v>1890</v>
      </c>
      <c r="BE302">
        <v>1561982048</v>
      </c>
      <c r="BK302" s="112" t="str">
        <f>REPLACE(INDEX(GroupVertices[Group], MATCH("~"&amp;Edges[[#This Row],[Vertex 1]],GroupVertices[Vertex],0)),1,1,"")</f>
        <v>123</v>
      </c>
      <c r="BL302" s="112" t="str">
        <f>REPLACE(INDEX(GroupVertices[Group], MATCH("~"&amp;Edges[[#This Row],[Vertex 2]],GroupVertices[Vertex],0)),1,1,"")</f>
        <v>123</v>
      </c>
    </row>
    <row r="303" spans="1:64" x14ac:dyDescent="0.25">
      <c r="A303" s="61" t="s">
        <v>325</v>
      </c>
      <c r="B303" s="61" t="s">
        <v>325</v>
      </c>
      <c r="C303" s="62"/>
      <c r="D303" s="63"/>
      <c r="E303" s="64"/>
      <c r="F303" s="65"/>
      <c r="G303" s="62"/>
      <c r="H303" s="66"/>
      <c r="I303" s="67"/>
      <c r="J303" s="67"/>
      <c r="K303" s="31"/>
      <c r="L303" s="75">
        <v>303</v>
      </c>
      <c r="M303"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03" s="69"/>
      <c r="O303" t="s">
        <v>177</v>
      </c>
      <c r="P303" s="76">
        <v>45509.994444444441</v>
      </c>
      <c r="Q303" t="s">
        <v>876</v>
      </c>
      <c r="R303" t="b">
        <v>0</v>
      </c>
      <c r="S303">
        <v>0</v>
      </c>
      <c r="T303">
        <v>0</v>
      </c>
      <c r="U303">
        <v>0</v>
      </c>
      <c r="V303">
        <v>0</v>
      </c>
      <c r="W303">
        <v>29</v>
      </c>
      <c r="X303" s="77" t="s">
        <v>1106</v>
      </c>
      <c r="Y303" s="78" t="str">
        <f>HYPERLINK("https://www.nuevodiarioweb.com.ar/especiales/los-resultados-de-la-tombola-santiaguena-del-lunes-5-de-agosto.htm")</f>
        <v>https://www.nuevodiarioweb.com.ar/especiales/los-resultados-de-la-tombola-santiaguena-del-lunes-5-de-agosto.htm</v>
      </c>
      <c r="Z303" t="s">
        <v>1162</v>
      </c>
      <c r="AD303" s="77" t="s">
        <v>1367</v>
      </c>
      <c r="AE303" t="s">
        <v>1385</v>
      </c>
      <c r="AF303" s="78" t="str">
        <f>HYPERLINK("https://twitter.com/nuevodiarioweb/status/1820608726241366362")</f>
        <v>https://twitter.com/nuevodiarioweb/status/1820608726241366362</v>
      </c>
      <c r="AG303" s="76">
        <v>45509.994444444441</v>
      </c>
      <c r="AH303" s="80">
        <v>45509</v>
      </c>
      <c r="AI303" s="77" t="s">
        <v>1557</v>
      </c>
      <c r="AJ303" t="b">
        <v>0</v>
      </c>
      <c r="AW303" s="78" t="str">
        <f>HYPERLINK("https://pbs.twimg.com/profile_images/1743742607597965312/gpTwXMPF_normal.jpg")</f>
        <v>https://pbs.twimg.com/profile_images/1743742607597965312/gpTwXMPF_normal.jpg</v>
      </c>
      <c r="AX303" s="77" t="s">
        <v>2042</v>
      </c>
      <c r="AY303" s="77" t="s">
        <v>2042</v>
      </c>
      <c r="BA303" s="77" t="s">
        <v>2494</v>
      </c>
      <c r="BB303" s="77" t="s">
        <v>2494</v>
      </c>
      <c r="BC303" s="77" t="s">
        <v>2494</v>
      </c>
      <c r="BD303" s="77" t="s">
        <v>2042</v>
      </c>
      <c r="BE303">
        <v>4715906122</v>
      </c>
      <c r="BK303" s="112" t="str">
        <f>REPLACE(INDEX(GroupVertices[Group], MATCH("~"&amp;Edges[[#This Row],[Vertex 1]],GroupVertices[Vertex],0)),1,1,"")</f>
        <v>124</v>
      </c>
      <c r="BL303" s="112" t="str">
        <f>REPLACE(INDEX(GroupVertices[Group], MATCH("~"&amp;Edges[[#This Row],[Vertex 2]],GroupVertices[Vertex],0)),1,1,"")</f>
        <v>124</v>
      </c>
    </row>
    <row r="304" spans="1:64" x14ac:dyDescent="0.25">
      <c r="A304" s="61" t="s">
        <v>332</v>
      </c>
      <c r="B304" s="61" t="s">
        <v>609</v>
      </c>
      <c r="C304" s="62"/>
      <c r="D304" s="63"/>
      <c r="E304" s="64"/>
      <c r="F304" s="65"/>
      <c r="G304" s="62"/>
      <c r="H304" s="66"/>
      <c r="I304" s="67"/>
      <c r="J304" s="67"/>
      <c r="K304" s="31"/>
      <c r="L304" s="75">
        <v>304</v>
      </c>
      <c r="M304"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04" s="69"/>
      <c r="O304" t="s">
        <v>701</v>
      </c>
      <c r="P304" s="76">
        <v>45510.970011574071</v>
      </c>
      <c r="Q304" t="s">
        <v>885</v>
      </c>
      <c r="R304" t="b">
        <v>0</v>
      </c>
      <c r="S304">
        <v>0</v>
      </c>
      <c r="T304">
        <v>0</v>
      </c>
      <c r="U304">
        <v>0</v>
      </c>
      <c r="V304">
        <v>0</v>
      </c>
      <c r="W304">
        <v>29</v>
      </c>
      <c r="AA304" t="s">
        <v>609</v>
      </c>
      <c r="AD304" s="77" t="s">
        <v>1366</v>
      </c>
      <c r="AE304" t="s">
        <v>1385</v>
      </c>
      <c r="AF304" s="78" t="str">
        <f>HYPERLINK("https://twitter.com/trabugata/status/1820962262422585591")</f>
        <v>https://twitter.com/trabugata/status/1820962262422585591</v>
      </c>
      <c r="AG304" s="76">
        <v>45510.970011574071</v>
      </c>
      <c r="AH304" s="80">
        <v>45510</v>
      </c>
      <c r="AI304" s="77" t="s">
        <v>1565</v>
      </c>
      <c r="AW304" s="78" t="str">
        <f>HYPERLINK("https://pbs.twimg.com/profile_images/1112329315688026113/-E6xaf1f_normal.jpg")</f>
        <v>https://pbs.twimg.com/profile_images/1112329315688026113/-E6xaf1f_normal.jpg</v>
      </c>
      <c r="AX304" s="77" t="s">
        <v>2051</v>
      </c>
      <c r="AY304" s="77" t="s">
        <v>2310</v>
      </c>
      <c r="AZ304" s="77" t="s">
        <v>2429</v>
      </c>
      <c r="BA304" s="77" t="s">
        <v>2310</v>
      </c>
      <c r="BB304" s="77" t="s">
        <v>2494</v>
      </c>
      <c r="BC304" s="77" t="s">
        <v>2494</v>
      </c>
      <c r="BD304" s="77" t="s">
        <v>2310</v>
      </c>
      <c r="BE304">
        <v>262900496</v>
      </c>
      <c r="BK304" s="112" t="str">
        <f>REPLACE(INDEX(GroupVertices[Group], MATCH("~"&amp;Edges[[#This Row],[Vertex 1]],GroupVertices[Vertex],0)),1,1,"")</f>
        <v>71</v>
      </c>
      <c r="BL304" s="112" t="str">
        <f>REPLACE(INDEX(GroupVertices[Group], MATCH("~"&amp;Edges[[#This Row],[Vertex 2]],GroupVertices[Vertex],0)),1,1,"")</f>
        <v>71</v>
      </c>
    </row>
    <row r="305" spans="1:64" x14ac:dyDescent="0.25">
      <c r="A305" s="61" t="s">
        <v>507</v>
      </c>
      <c r="B305" s="61" t="s">
        <v>506</v>
      </c>
      <c r="C305" s="62"/>
      <c r="D305" s="63"/>
      <c r="E305" s="64"/>
      <c r="F305" s="65"/>
      <c r="G305" s="62"/>
      <c r="H305" s="66"/>
      <c r="I305" s="67"/>
      <c r="J305" s="67"/>
      <c r="K305" s="31"/>
      <c r="L305" s="75">
        <v>305</v>
      </c>
      <c r="M305"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05" s="69"/>
      <c r="O305" t="s">
        <v>702</v>
      </c>
      <c r="P305" s="76">
        <v>45507.523923611108</v>
      </c>
      <c r="Q305" t="s">
        <v>1089</v>
      </c>
      <c r="R305" t="b">
        <v>0</v>
      </c>
      <c r="S305">
        <v>1</v>
      </c>
      <c r="T305">
        <v>0</v>
      </c>
      <c r="U305">
        <v>0</v>
      </c>
      <c r="V305">
        <v>0</v>
      </c>
      <c r="W305">
        <v>28</v>
      </c>
      <c r="Y305" s="78" t="str">
        <f>HYPERLINK("https://www.eluniversal.com.mx/opinion/ricardo-homs/la-tombola-judicial/")</f>
        <v>https://www.eluniversal.com.mx/opinion/ricardo-homs/la-tombola-judicial/</v>
      </c>
      <c r="Z305" t="s">
        <v>1136</v>
      </c>
      <c r="AA305" t="s">
        <v>1234</v>
      </c>
      <c r="AD305" s="77" t="s">
        <v>1366</v>
      </c>
      <c r="AE305" t="s">
        <v>1385</v>
      </c>
      <c r="AF305" s="78" t="str">
        <f>HYPERLINK("https://twitter.com/mesa_plural/status/1819713440023281807")</f>
        <v>https://twitter.com/mesa_plural/status/1819713440023281807</v>
      </c>
      <c r="AG305" s="76">
        <v>45507.523923611108</v>
      </c>
      <c r="AH305" s="80">
        <v>45507</v>
      </c>
      <c r="AI305" s="77" t="s">
        <v>1765</v>
      </c>
      <c r="AJ305" t="b">
        <v>0</v>
      </c>
      <c r="AW305" s="78" t="str">
        <f>HYPERLINK("https://pbs.twimg.com/profile_images/497244630866747392/TemYDJIk_normal.jpeg")</f>
        <v>https://pbs.twimg.com/profile_images/497244630866747392/TemYDJIk_normal.jpeg</v>
      </c>
      <c r="AX305" s="77" t="s">
        <v>2255</v>
      </c>
      <c r="AY305" s="77" t="s">
        <v>2255</v>
      </c>
      <c r="BA305" s="77" t="s">
        <v>2494</v>
      </c>
      <c r="BB305" s="77" t="s">
        <v>2494</v>
      </c>
      <c r="BC305" s="77" t="s">
        <v>2494</v>
      </c>
      <c r="BD305" s="77" t="s">
        <v>2255</v>
      </c>
      <c r="BE305">
        <v>848170292</v>
      </c>
      <c r="BK305" s="112" t="str">
        <f>REPLACE(INDEX(GroupVertices[Group], MATCH("~"&amp;Edges[[#This Row],[Vertex 1]],GroupVertices[Vertex],0)),1,1,"")</f>
        <v>4</v>
      </c>
      <c r="BL305" s="112" t="str">
        <f>REPLACE(INDEX(GroupVertices[Group], MATCH("~"&amp;Edges[[#This Row],[Vertex 2]],GroupVertices[Vertex],0)),1,1,"")</f>
        <v>4</v>
      </c>
    </row>
    <row r="306" spans="1:64" x14ac:dyDescent="0.25">
      <c r="A306" s="61" t="s">
        <v>507</v>
      </c>
      <c r="B306" s="61" t="s">
        <v>587</v>
      </c>
      <c r="C306" s="62"/>
      <c r="D306" s="63"/>
      <c r="E306" s="64"/>
      <c r="F306" s="65"/>
      <c r="G306" s="62"/>
      <c r="H306" s="66"/>
      <c r="I306" s="67"/>
      <c r="J306" s="67"/>
      <c r="K306" s="31"/>
      <c r="L306" s="75">
        <v>306</v>
      </c>
      <c r="M306"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06" s="69"/>
      <c r="O306" t="s">
        <v>702</v>
      </c>
      <c r="P306" s="76">
        <v>45507.523923611108</v>
      </c>
      <c r="Q306" t="s">
        <v>1089</v>
      </c>
      <c r="R306" t="b">
        <v>0</v>
      </c>
      <c r="S306">
        <v>1</v>
      </c>
      <c r="T306">
        <v>0</v>
      </c>
      <c r="U306">
        <v>0</v>
      </c>
      <c r="V306">
        <v>0</v>
      </c>
      <c r="W306">
        <v>28</v>
      </c>
      <c r="Y306" s="78" t="str">
        <f>HYPERLINK("https://www.eluniversal.com.mx/opinion/ricardo-homs/la-tombola-judicial/")</f>
        <v>https://www.eluniversal.com.mx/opinion/ricardo-homs/la-tombola-judicial/</v>
      </c>
      <c r="Z306" t="s">
        <v>1136</v>
      </c>
      <c r="AA306" t="s">
        <v>1234</v>
      </c>
      <c r="AD306" s="77" t="s">
        <v>1366</v>
      </c>
      <c r="AE306" t="s">
        <v>1385</v>
      </c>
      <c r="AF306" s="78" t="str">
        <f>HYPERLINK("https://twitter.com/mesa_plural/status/1819713440023281807")</f>
        <v>https://twitter.com/mesa_plural/status/1819713440023281807</v>
      </c>
      <c r="AG306" s="76">
        <v>45507.523923611108</v>
      </c>
      <c r="AH306" s="80">
        <v>45507</v>
      </c>
      <c r="AI306" s="77" t="s">
        <v>1765</v>
      </c>
      <c r="AJ306" t="b">
        <v>0</v>
      </c>
      <c r="AW306" s="78" t="str">
        <f>HYPERLINK("https://pbs.twimg.com/profile_images/497244630866747392/TemYDJIk_normal.jpeg")</f>
        <v>https://pbs.twimg.com/profile_images/497244630866747392/TemYDJIk_normal.jpeg</v>
      </c>
      <c r="AX306" s="77" t="s">
        <v>2255</v>
      </c>
      <c r="AY306" s="77" t="s">
        <v>2255</v>
      </c>
      <c r="BA306" s="77" t="s">
        <v>2494</v>
      </c>
      <c r="BB306" s="77" t="s">
        <v>2494</v>
      </c>
      <c r="BC306" s="77" t="s">
        <v>2494</v>
      </c>
      <c r="BD306" s="77" t="s">
        <v>2255</v>
      </c>
      <c r="BE306">
        <v>848170292</v>
      </c>
      <c r="BK306" s="112" t="str">
        <f>REPLACE(INDEX(GroupVertices[Group], MATCH("~"&amp;Edges[[#This Row],[Vertex 1]],GroupVertices[Vertex],0)),1,1,"")</f>
        <v>4</v>
      </c>
      <c r="BL306" s="112" t="str">
        <f>REPLACE(INDEX(GroupVertices[Group], MATCH("~"&amp;Edges[[#This Row],[Vertex 2]],GroupVertices[Vertex],0)),1,1,"")</f>
        <v>4</v>
      </c>
    </row>
    <row r="307" spans="1:64" x14ac:dyDescent="0.25">
      <c r="A307" s="61" t="s">
        <v>494</v>
      </c>
      <c r="B307" s="61" t="s">
        <v>494</v>
      </c>
      <c r="C307" s="62"/>
      <c r="D307" s="63"/>
      <c r="E307" s="64"/>
      <c r="F307" s="65"/>
      <c r="G307" s="62"/>
      <c r="H307" s="66"/>
      <c r="I307" s="67"/>
      <c r="J307" s="67"/>
      <c r="K307" s="31"/>
      <c r="L307" s="75">
        <v>307</v>
      </c>
      <c r="M307"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07" s="69"/>
      <c r="O307" t="s">
        <v>177</v>
      </c>
      <c r="P307" s="76">
        <v>45507.246412037035</v>
      </c>
      <c r="Q307" t="s">
        <v>1075</v>
      </c>
      <c r="R307" t="b">
        <v>0</v>
      </c>
      <c r="S307">
        <v>0</v>
      </c>
      <c r="T307">
        <v>0</v>
      </c>
      <c r="U307">
        <v>0</v>
      </c>
      <c r="V307">
        <v>0</v>
      </c>
      <c r="W307">
        <v>27</v>
      </c>
      <c r="AB307" t="s">
        <v>1354</v>
      </c>
      <c r="AC307" t="s">
        <v>1359</v>
      </c>
      <c r="AD307" s="77" t="s">
        <v>1366</v>
      </c>
      <c r="AE307" t="s">
        <v>1385</v>
      </c>
      <c r="AF307" s="78" t="str">
        <f>HYPERLINK("https://twitter.com/jockqueshi/status/1819612874190270833")</f>
        <v>https://twitter.com/jockqueshi/status/1819612874190270833</v>
      </c>
      <c r="AG307" s="76">
        <v>45507.246412037035</v>
      </c>
      <c r="AH307" s="80">
        <v>45507</v>
      </c>
      <c r="AI307" s="77" t="s">
        <v>1752</v>
      </c>
      <c r="AJ307" t="b">
        <v>0</v>
      </c>
      <c r="AR307" t="s">
        <v>1867</v>
      </c>
      <c r="AW307" s="78" t="str">
        <f>HYPERLINK("https://pbs.twimg.com/media/GUCQQyYXcAAk6p-.jpg")</f>
        <v>https://pbs.twimg.com/media/GUCQQyYXcAAk6p-.jpg</v>
      </c>
      <c r="AX307" s="77" t="s">
        <v>2241</v>
      </c>
      <c r="AY307" s="77" t="s">
        <v>2241</v>
      </c>
      <c r="BA307" s="77" t="s">
        <v>2494</v>
      </c>
      <c r="BB307" s="77" t="s">
        <v>2494</v>
      </c>
      <c r="BC307" s="77" t="s">
        <v>2494</v>
      </c>
      <c r="BD307" s="77" t="s">
        <v>2241</v>
      </c>
      <c r="BE307">
        <v>118589715</v>
      </c>
      <c r="BK307" s="112" t="str">
        <f>REPLACE(INDEX(GroupVertices[Group], MATCH("~"&amp;Edges[[#This Row],[Vertex 1]],GroupVertices[Vertex],0)),1,1,"")</f>
        <v>122</v>
      </c>
      <c r="BL307" s="112" t="str">
        <f>REPLACE(INDEX(GroupVertices[Group], MATCH("~"&amp;Edges[[#This Row],[Vertex 2]],GroupVertices[Vertex],0)),1,1,"")</f>
        <v>122</v>
      </c>
    </row>
    <row r="308" spans="1:64" x14ac:dyDescent="0.25">
      <c r="A308" s="61" t="s">
        <v>230</v>
      </c>
      <c r="B308" s="61" t="s">
        <v>230</v>
      </c>
      <c r="C308" s="62"/>
      <c r="D308" s="63"/>
      <c r="E308" s="64"/>
      <c r="F308" s="65"/>
      <c r="G308" s="62"/>
      <c r="H308" s="66"/>
      <c r="I308" s="67"/>
      <c r="J308" s="67"/>
      <c r="K308" s="31"/>
      <c r="L308" s="75">
        <v>308</v>
      </c>
      <c r="M308"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08" s="69"/>
      <c r="O308" t="s">
        <v>177</v>
      </c>
      <c r="P308" s="76">
        <v>45506.17428240741</v>
      </c>
      <c r="Q308" t="s">
        <v>713</v>
      </c>
      <c r="R308" t="b">
        <v>0</v>
      </c>
      <c r="S308">
        <v>0</v>
      </c>
      <c r="T308">
        <v>1</v>
      </c>
      <c r="U308">
        <v>0</v>
      </c>
      <c r="V308">
        <v>0</v>
      </c>
      <c r="W308">
        <v>26</v>
      </c>
      <c r="AD308" s="77" t="s">
        <v>1367</v>
      </c>
      <c r="AE308" t="s">
        <v>1385</v>
      </c>
      <c r="AF308" s="78" t="str">
        <f>HYPERLINK("https://twitter.com/vanneezaa/status/1819224345845100610")</f>
        <v>https://twitter.com/vanneezaa/status/1819224345845100610</v>
      </c>
      <c r="AG308" s="76">
        <v>45506.17428240741</v>
      </c>
      <c r="AH308" s="80">
        <v>45506</v>
      </c>
      <c r="AI308" s="77" t="s">
        <v>1395</v>
      </c>
      <c r="AW308" s="78" t="str">
        <f>HYPERLINK("https://pbs.twimg.com/profile_images/1631894633994133504/W7QoDFMj_normal.jpg")</f>
        <v>https://pbs.twimg.com/profile_images/1631894633994133504/W7QoDFMj_normal.jpg</v>
      </c>
      <c r="AX308" s="77" t="s">
        <v>1879</v>
      </c>
      <c r="AY308" s="77" t="s">
        <v>1879</v>
      </c>
      <c r="BA308" s="77" t="s">
        <v>2494</v>
      </c>
      <c r="BB308" s="77" t="s">
        <v>2494</v>
      </c>
      <c r="BC308" s="77" t="s">
        <v>2494</v>
      </c>
      <c r="BD308" s="77" t="s">
        <v>1879</v>
      </c>
      <c r="BE308">
        <v>75157099</v>
      </c>
      <c r="BK308" s="112" t="str">
        <f>REPLACE(INDEX(GroupVertices[Group], MATCH("~"&amp;Edges[[#This Row],[Vertex 1]],GroupVertices[Vertex],0)),1,1,"")</f>
        <v>121</v>
      </c>
      <c r="BL308" s="112" t="str">
        <f>REPLACE(INDEX(GroupVertices[Group], MATCH("~"&amp;Edges[[#This Row],[Vertex 2]],GroupVertices[Vertex],0)),1,1,"")</f>
        <v>121</v>
      </c>
    </row>
    <row r="309" spans="1:64" x14ac:dyDescent="0.25">
      <c r="A309" s="61" t="s">
        <v>449</v>
      </c>
      <c r="B309" s="61" t="s">
        <v>449</v>
      </c>
      <c r="C309" s="62"/>
      <c r="D309" s="63"/>
      <c r="E309" s="64"/>
      <c r="F309" s="65"/>
      <c r="G309" s="62"/>
      <c r="H309" s="66"/>
      <c r="I309" s="67"/>
      <c r="J309" s="67"/>
      <c r="K309" s="31"/>
      <c r="L309" s="75">
        <v>309</v>
      </c>
      <c r="M309"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09" s="69"/>
      <c r="O309" t="s">
        <v>177</v>
      </c>
      <c r="P309" s="76">
        <v>45509.755729166667</v>
      </c>
      <c r="Q309" t="s">
        <v>1025</v>
      </c>
      <c r="R309" t="b">
        <v>0</v>
      </c>
      <c r="S309">
        <v>0</v>
      </c>
      <c r="T309">
        <v>0</v>
      </c>
      <c r="U309">
        <v>0</v>
      </c>
      <c r="V309">
        <v>0</v>
      </c>
      <c r="W309">
        <v>26</v>
      </c>
      <c r="Y309" s="78" t="str">
        <f>HYPERLINK("https://www.encancha.cl/enlahora/servicios/2024/08/05/sistema-de-admision-escolar-2025-entrega-de-resultados-y-otras-fechas-claves-del-sae/")</f>
        <v>https://www.encancha.cl/enlahora/servicios/2024/08/05/sistema-de-admision-escolar-2025-entrega-de-resultados-y-otras-fechas-claves-del-sae/</v>
      </c>
      <c r="Z309" t="s">
        <v>1196</v>
      </c>
      <c r="AD309" s="77" t="s">
        <v>1367</v>
      </c>
      <c r="AE309" t="s">
        <v>1385</v>
      </c>
      <c r="AF309" s="78" t="str">
        <f>HYPERLINK("https://twitter.com/enlahoracl/status/1820522218176282746")</f>
        <v>https://twitter.com/enlahoracl/status/1820522218176282746</v>
      </c>
      <c r="AG309" s="76">
        <v>45509.755729166667</v>
      </c>
      <c r="AH309" s="80">
        <v>45509</v>
      </c>
      <c r="AI309" s="77" t="s">
        <v>1703</v>
      </c>
      <c r="AJ309" t="b">
        <v>0</v>
      </c>
      <c r="AW309" s="78" t="str">
        <f>HYPERLINK("https://pbs.twimg.com/profile_images/1377357480322289669/zFO40nD__normal.jpg")</f>
        <v>https://pbs.twimg.com/profile_images/1377357480322289669/zFO40nD__normal.jpg</v>
      </c>
      <c r="AX309" s="77" t="s">
        <v>2191</v>
      </c>
      <c r="AY309" s="77" t="s">
        <v>2191</v>
      </c>
      <c r="BA309" s="77" t="s">
        <v>2494</v>
      </c>
      <c r="BB309" s="77" t="s">
        <v>2494</v>
      </c>
      <c r="BC309" s="77" t="s">
        <v>2494</v>
      </c>
      <c r="BD309" s="77" t="s">
        <v>2191</v>
      </c>
      <c r="BE309" s="77" t="s">
        <v>2623</v>
      </c>
      <c r="BK309" s="112" t="str">
        <f>REPLACE(INDEX(GroupVertices[Group], MATCH("~"&amp;Edges[[#This Row],[Vertex 1]],GroupVertices[Vertex],0)),1,1,"")</f>
        <v>170</v>
      </c>
      <c r="BL309" s="112" t="str">
        <f>REPLACE(INDEX(GroupVertices[Group], MATCH("~"&amp;Edges[[#This Row],[Vertex 2]],GroupVertices[Vertex],0)),1,1,"")</f>
        <v>170</v>
      </c>
    </row>
    <row r="310" spans="1:64" x14ac:dyDescent="0.25">
      <c r="A310" s="61" t="s">
        <v>247</v>
      </c>
      <c r="B310" s="61" t="s">
        <v>527</v>
      </c>
      <c r="C310" s="62"/>
      <c r="D310" s="63"/>
      <c r="E310" s="64"/>
      <c r="F310" s="65"/>
      <c r="G310" s="62"/>
      <c r="H310" s="66"/>
      <c r="I310" s="67"/>
      <c r="J310" s="67"/>
      <c r="K310" s="31"/>
      <c r="L310" s="75">
        <v>310</v>
      </c>
      <c r="M310"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10" s="69"/>
      <c r="O310" t="s">
        <v>703</v>
      </c>
      <c r="P310" s="76">
        <v>45509.571250000001</v>
      </c>
      <c r="Q310" t="s">
        <v>737</v>
      </c>
      <c r="R310" t="b">
        <v>0</v>
      </c>
      <c r="S310">
        <v>0</v>
      </c>
      <c r="T310">
        <v>0</v>
      </c>
      <c r="U310">
        <v>0</v>
      </c>
      <c r="V310">
        <v>0</v>
      </c>
      <c r="W310">
        <v>25</v>
      </c>
      <c r="AA310" t="s">
        <v>1214</v>
      </c>
      <c r="AD310" s="77" t="s">
        <v>1365</v>
      </c>
      <c r="AE310" t="s">
        <v>1385</v>
      </c>
      <c r="AF310" s="78" t="str">
        <f>HYPERLINK("https://twitter.com/vinibelli15/status/1820455365802115312")</f>
        <v>https://twitter.com/vinibelli15/status/1820455365802115312</v>
      </c>
      <c r="AG310" s="76">
        <v>45509.571250000001</v>
      </c>
      <c r="AH310" s="80">
        <v>45509</v>
      </c>
      <c r="AI310" s="77" t="s">
        <v>1419</v>
      </c>
      <c r="AW310" s="78" t="str">
        <f>HYPERLINK("https://pbs.twimg.com/profile_images/1579580968574279708/f-HheTly_normal.png")</f>
        <v>https://pbs.twimg.com/profile_images/1579580968574279708/f-HheTly_normal.png</v>
      </c>
      <c r="AX310" s="77" t="s">
        <v>1903</v>
      </c>
      <c r="AY310" s="77" t="s">
        <v>2268</v>
      </c>
      <c r="AZ310" s="77" t="s">
        <v>2382</v>
      </c>
      <c r="BA310" s="77" t="s">
        <v>2268</v>
      </c>
      <c r="BB310" s="77" t="s">
        <v>2494</v>
      </c>
      <c r="BC310" s="77" t="s">
        <v>2494</v>
      </c>
      <c r="BD310" s="77" t="s">
        <v>2268</v>
      </c>
      <c r="BE310" s="77" t="s">
        <v>2543</v>
      </c>
      <c r="BK310" s="112" t="str">
        <f>REPLACE(INDEX(GroupVertices[Group], MATCH("~"&amp;Edges[[#This Row],[Vertex 1]],GroupVertices[Vertex],0)),1,1,"")</f>
        <v>23</v>
      </c>
      <c r="BL310" s="112" t="str">
        <f>REPLACE(INDEX(GroupVertices[Group], MATCH("~"&amp;Edges[[#This Row],[Vertex 2]],GroupVertices[Vertex],0)),1,1,"")</f>
        <v>23</v>
      </c>
    </row>
    <row r="311" spans="1:64" x14ac:dyDescent="0.25">
      <c r="A311" s="61" t="s">
        <v>247</v>
      </c>
      <c r="B311" s="61" t="s">
        <v>528</v>
      </c>
      <c r="C311" s="62"/>
      <c r="D311" s="63"/>
      <c r="E311" s="64"/>
      <c r="F311" s="65"/>
      <c r="G311" s="62"/>
      <c r="H311" s="66"/>
      <c r="I311" s="67"/>
      <c r="J311" s="67"/>
      <c r="K311" s="31"/>
      <c r="L311" s="75">
        <v>311</v>
      </c>
      <c r="M311"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11" s="69"/>
      <c r="O311" t="s">
        <v>701</v>
      </c>
      <c r="P311" s="76">
        <v>45509.571250000001</v>
      </c>
      <c r="Q311" t="s">
        <v>737</v>
      </c>
      <c r="R311" t="b">
        <v>0</v>
      </c>
      <c r="S311">
        <v>0</v>
      </c>
      <c r="T311">
        <v>0</v>
      </c>
      <c r="U311">
        <v>0</v>
      </c>
      <c r="V311">
        <v>0</v>
      </c>
      <c r="W311">
        <v>25</v>
      </c>
      <c r="AA311" t="s">
        <v>1214</v>
      </c>
      <c r="AD311" s="77" t="s">
        <v>1365</v>
      </c>
      <c r="AE311" t="s">
        <v>1385</v>
      </c>
      <c r="AF311" s="78" t="str">
        <f>HYPERLINK("https://twitter.com/vinibelli15/status/1820455365802115312")</f>
        <v>https://twitter.com/vinibelli15/status/1820455365802115312</v>
      </c>
      <c r="AG311" s="76">
        <v>45509.571250000001</v>
      </c>
      <c r="AH311" s="80">
        <v>45509</v>
      </c>
      <c r="AI311" s="77" t="s">
        <v>1419</v>
      </c>
      <c r="AW311" s="78" t="str">
        <f>HYPERLINK("https://pbs.twimg.com/profile_images/1579580968574279708/f-HheTly_normal.png")</f>
        <v>https://pbs.twimg.com/profile_images/1579580968574279708/f-HheTly_normal.png</v>
      </c>
      <c r="AX311" s="77" t="s">
        <v>1903</v>
      </c>
      <c r="AY311" s="77" t="s">
        <v>2268</v>
      </c>
      <c r="AZ311" s="77" t="s">
        <v>2382</v>
      </c>
      <c r="BA311" s="77" t="s">
        <v>2268</v>
      </c>
      <c r="BB311" s="77" t="s">
        <v>2494</v>
      </c>
      <c r="BC311" s="77" t="s">
        <v>2494</v>
      </c>
      <c r="BD311" s="77" t="s">
        <v>2268</v>
      </c>
      <c r="BE311" s="77" t="s">
        <v>2543</v>
      </c>
      <c r="BK311" s="112" t="str">
        <f>REPLACE(INDEX(GroupVertices[Group], MATCH("~"&amp;Edges[[#This Row],[Vertex 1]],GroupVertices[Vertex],0)),1,1,"")</f>
        <v>23</v>
      </c>
      <c r="BL311" s="112" t="str">
        <f>REPLACE(INDEX(GroupVertices[Group], MATCH("~"&amp;Edges[[#This Row],[Vertex 2]],GroupVertices[Vertex],0)),1,1,"")</f>
        <v>23</v>
      </c>
    </row>
    <row r="312" spans="1:64" x14ac:dyDescent="0.25">
      <c r="A312" s="61" t="s">
        <v>266</v>
      </c>
      <c r="B312" s="61" t="s">
        <v>549</v>
      </c>
      <c r="C312" s="62"/>
      <c r="D312" s="63"/>
      <c r="E312" s="64"/>
      <c r="F312" s="65"/>
      <c r="G312" s="62"/>
      <c r="H312" s="66"/>
      <c r="I312" s="67"/>
      <c r="J312" s="67"/>
      <c r="K312" s="31"/>
      <c r="L312" s="75">
        <v>312</v>
      </c>
      <c r="M312"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12" s="69"/>
      <c r="O312" t="s">
        <v>701</v>
      </c>
      <c r="P312" s="76">
        <v>45506.796006944445</v>
      </c>
      <c r="Q312" t="s">
        <v>765</v>
      </c>
      <c r="R312" t="b">
        <v>0</v>
      </c>
      <c r="S312">
        <v>0</v>
      </c>
      <c r="T312">
        <v>0</v>
      </c>
      <c r="U312">
        <v>0</v>
      </c>
      <c r="V312">
        <v>0</v>
      </c>
      <c r="W312">
        <v>25</v>
      </c>
      <c r="AA312" t="s">
        <v>549</v>
      </c>
      <c r="AD312" s="77" t="s">
        <v>1367</v>
      </c>
      <c r="AE312" t="s">
        <v>1385</v>
      </c>
      <c r="AF312" s="78" t="str">
        <f>HYPERLINK("https://twitter.com/admisionescolar/status/1819449653932511451")</f>
        <v>https://twitter.com/admisionescolar/status/1819449653932511451</v>
      </c>
      <c r="AG312" s="76">
        <v>45506.796006944445</v>
      </c>
      <c r="AH312" s="80">
        <v>45506</v>
      </c>
      <c r="AI312" s="77" t="s">
        <v>1447</v>
      </c>
      <c r="AW312" s="78" t="str">
        <f>HYPERLINK("https://pbs.twimg.com/profile_images/1814702908295798784/D2-qs3dC_normal.jpg")</f>
        <v>https://pbs.twimg.com/profile_images/1814702908295798784/D2-qs3dC_normal.jpg</v>
      </c>
      <c r="AX312" s="77" t="s">
        <v>1931</v>
      </c>
      <c r="AY312" s="77" t="s">
        <v>2010</v>
      </c>
      <c r="AZ312" s="77" t="s">
        <v>2399</v>
      </c>
      <c r="BA312" s="77" t="s">
        <v>2499</v>
      </c>
      <c r="BB312" s="77" t="s">
        <v>2494</v>
      </c>
      <c r="BC312" s="77" t="s">
        <v>2494</v>
      </c>
      <c r="BD312" s="77" t="s">
        <v>2499</v>
      </c>
      <c r="BE312" s="77" t="s">
        <v>2553</v>
      </c>
      <c r="BK312" s="112" t="str">
        <f>REPLACE(INDEX(GroupVertices[Group], MATCH("~"&amp;Edges[[#This Row],[Vertex 1]],GroupVertices[Vertex],0)),1,1,"")</f>
        <v>5</v>
      </c>
      <c r="BL312" s="112" t="str">
        <f>REPLACE(INDEX(GroupVertices[Group], MATCH("~"&amp;Edges[[#This Row],[Vertex 2]],GroupVertices[Vertex],0)),1,1,"")</f>
        <v>5</v>
      </c>
    </row>
    <row r="313" spans="1:64" x14ac:dyDescent="0.25">
      <c r="A313" s="61" t="s">
        <v>409</v>
      </c>
      <c r="B313" s="61" t="s">
        <v>671</v>
      </c>
      <c r="C313" s="62"/>
      <c r="D313" s="63"/>
      <c r="E313" s="64"/>
      <c r="F313" s="65"/>
      <c r="G313" s="62"/>
      <c r="H313" s="66"/>
      <c r="I313" s="67"/>
      <c r="J313" s="67"/>
      <c r="K313" s="31"/>
      <c r="L313" s="75">
        <v>313</v>
      </c>
      <c r="M313"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13" s="69"/>
      <c r="O313" t="s">
        <v>701</v>
      </c>
      <c r="P313" s="76">
        <v>45505.563877314817</v>
      </c>
      <c r="Q313" t="s">
        <v>977</v>
      </c>
      <c r="R313" t="b">
        <v>0</v>
      </c>
      <c r="S313">
        <v>0</v>
      </c>
      <c r="T313">
        <v>0</v>
      </c>
      <c r="U313">
        <v>0</v>
      </c>
      <c r="V313">
        <v>0</v>
      </c>
      <c r="W313">
        <v>25</v>
      </c>
      <c r="AA313" t="s">
        <v>671</v>
      </c>
      <c r="AD313" s="77" t="s">
        <v>1366</v>
      </c>
      <c r="AE313" t="s">
        <v>1385</v>
      </c>
      <c r="AF313" s="78" t="str">
        <f>HYPERLINK("https://twitter.com/guiuinfo/status/1819003143805432243")</f>
        <v>https://twitter.com/guiuinfo/status/1819003143805432243</v>
      </c>
      <c r="AG313" s="76">
        <v>45505.563877314817</v>
      </c>
      <c r="AH313" s="80">
        <v>45505</v>
      </c>
      <c r="AI313" s="77" t="s">
        <v>1657</v>
      </c>
      <c r="AW313" s="78" t="str">
        <f>HYPERLINK("https://pbs.twimg.com/profile_images/1006564415687315458/EB4EDYFU_normal.jpg")</f>
        <v>https://pbs.twimg.com/profile_images/1006564415687315458/EB4EDYFU_normal.jpg</v>
      </c>
      <c r="AX313" s="77" t="s">
        <v>2143</v>
      </c>
      <c r="AY313" s="77" t="s">
        <v>2344</v>
      </c>
      <c r="AZ313" s="77" t="s">
        <v>2462</v>
      </c>
      <c r="BA313" s="77" t="s">
        <v>2344</v>
      </c>
      <c r="BB313" s="77" t="s">
        <v>2494</v>
      </c>
      <c r="BC313" s="77" t="s">
        <v>2494</v>
      </c>
      <c r="BD313" s="77" t="s">
        <v>2344</v>
      </c>
      <c r="BE313">
        <v>1868253674</v>
      </c>
      <c r="BK313" s="112" t="str">
        <f>REPLACE(INDEX(GroupVertices[Group], MATCH("~"&amp;Edges[[#This Row],[Vertex 1]],GroupVertices[Vertex],0)),1,1,"")</f>
        <v>70</v>
      </c>
      <c r="BL313" s="112" t="str">
        <f>REPLACE(INDEX(GroupVertices[Group], MATCH("~"&amp;Edges[[#This Row],[Vertex 2]],GroupVertices[Vertex],0)),1,1,"")</f>
        <v>70</v>
      </c>
    </row>
    <row r="314" spans="1:64" x14ac:dyDescent="0.25">
      <c r="A314" s="61" t="s">
        <v>455</v>
      </c>
      <c r="B314" s="61" t="s">
        <v>455</v>
      </c>
      <c r="C314" s="62"/>
      <c r="D314" s="63"/>
      <c r="E314" s="64"/>
      <c r="F314" s="65"/>
      <c r="G314" s="62"/>
      <c r="H314" s="66"/>
      <c r="I314" s="67"/>
      <c r="J314" s="67"/>
      <c r="K314" s="31"/>
      <c r="L314" s="75">
        <v>314</v>
      </c>
      <c r="M314"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14" s="69"/>
      <c r="O314" t="s">
        <v>701</v>
      </c>
      <c r="P314" s="76">
        <v>45509.479837962965</v>
      </c>
      <c r="Q314" t="s">
        <v>1032</v>
      </c>
      <c r="R314" t="b">
        <v>0</v>
      </c>
      <c r="S314">
        <v>0</v>
      </c>
      <c r="T314">
        <v>1</v>
      </c>
      <c r="U314">
        <v>0</v>
      </c>
      <c r="V314">
        <v>0</v>
      </c>
      <c r="W314">
        <v>25</v>
      </c>
      <c r="Y314" s="78" t="str">
        <f>HYPERLINK("http://vamos.As")</f>
        <v>http://vamos.As</v>
      </c>
      <c r="Z314" t="s">
        <v>1198</v>
      </c>
      <c r="AD314" s="77" t="s">
        <v>1365</v>
      </c>
      <c r="AE314" t="s">
        <v>1385</v>
      </c>
      <c r="AF314" s="78" t="str">
        <f>HYPERLINK("https://twitter.com/belnn0rodriguez/status/1820422242045448529")</f>
        <v>https://twitter.com/belnn0rodriguez/status/1820422242045448529</v>
      </c>
      <c r="AG314" s="76">
        <v>45509.479837962965</v>
      </c>
      <c r="AH314" s="80">
        <v>45509</v>
      </c>
      <c r="AI314" s="77" t="s">
        <v>1710</v>
      </c>
      <c r="AJ314" t="b">
        <v>0</v>
      </c>
      <c r="AW314" s="78" t="str">
        <f>HYPERLINK("https://pbs.twimg.com/profile_images/1501000423330754565/cfHiq9j8_normal.jpg")</f>
        <v>https://pbs.twimg.com/profile_images/1501000423330754565/cfHiq9j8_normal.jpg</v>
      </c>
      <c r="AX314" s="77" t="s">
        <v>2198</v>
      </c>
      <c r="AY314" s="77" t="s">
        <v>2353</v>
      </c>
      <c r="AZ314" s="77" t="s">
        <v>2476</v>
      </c>
      <c r="BA314" s="77" t="s">
        <v>2525</v>
      </c>
      <c r="BB314" s="77" t="s">
        <v>2494</v>
      </c>
      <c r="BC314" s="77" t="s">
        <v>2494</v>
      </c>
      <c r="BD314" s="77" t="s">
        <v>2525</v>
      </c>
      <c r="BE314">
        <v>3215795291</v>
      </c>
      <c r="BK314" s="112" t="str">
        <f>REPLACE(INDEX(GroupVertices[Group], MATCH("~"&amp;Edges[[#This Row],[Vertex 1]],GroupVertices[Vertex],0)),1,1,"")</f>
        <v>120</v>
      </c>
      <c r="BL314" s="112" t="str">
        <f>REPLACE(INDEX(GroupVertices[Group], MATCH("~"&amp;Edges[[#This Row],[Vertex 2]],GroupVertices[Vertex],0)),1,1,"")</f>
        <v>120</v>
      </c>
    </row>
    <row r="315" spans="1:64" x14ac:dyDescent="0.25">
      <c r="A315" s="61" t="s">
        <v>288</v>
      </c>
      <c r="B315" s="61" t="s">
        <v>567</v>
      </c>
      <c r="C315" s="62"/>
      <c r="D315" s="63"/>
      <c r="E315" s="64"/>
      <c r="F315" s="65"/>
      <c r="G315" s="62"/>
      <c r="H315" s="66"/>
      <c r="I315" s="67"/>
      <c r="J315" s="67"/>
      <c r="K315" s="31"/>
      <c r="L315" s="75">
        <v>315</v>
      </c>
      <c r="M315"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15" s="69"/>
      <c r="O315" t="s">
        <v>701</v>
      </c>
      <c r="P315" s="76">
        <v>45507.555671296293</v>
      </c>
      <c r="Q315" t="s">
        <v>798</v>
      </c>
      <c r="R315" t="b">
        <v>0</v>
      </c>
      <c r="S315">
        <v>0</v>
      </c>
      <c r="T315">
        <v>0</v>
      </c>
      <c r="U315">
        <v>1</v>
      </c>
      <c r="V315">
        <v>0</v>
      </c>
      <c r="W315">
        <v>24</v>
      </c>
      <c r="AA315" t="s">
        <v>567</v>
      </c>
      <c r="AD315" s="77" t="s">
        <v>1365</v>
      </c>
      <c r="AE315" t="s">
        <v>1385</v>
      </c>
      <c r="AF315" s="78" t="str">
        <f>HYPERLINK("https://twitter.com/alex_alic/status/1819724946232189345")</f>
        <v>https://twitter.com/alex_alic/status/1819724946232189345</v>
      </c>
      <c r="AG315" s="76">
        <v>45507.555671296293</v>
      </c>
      <c r="AH315" s="80">
        <v>45507</v>
      </c>
      <c r="AI315" s="77" t="s">
        <v>1480</v>
      </c>
      <c r="AW315" s="78" t="str">
        <f>HYPERLINK("https://pbs.twimg.com/profile_images/1787466031830585344/rmOMQzGH_normal.jpg")</f>
        <v>https://pbs.twimg.com/profile_images/1787466031830585344/rmOMQzGH_normal.jpg</v>
      </c>
      <c r="AX315" s="77" t="s">
        <v>1964</v>
      </c>
      <c r="AY315" s="77" t="s">
        <v>2294</v>
      </c>
      <c r="AZ315" s="77" t="s">
        <v>2412</v>
      </c>
      <c r="BA315" s="77" t="s">
        <v>2505</v>
      </c>
      <c r="BB315" s="77" t="s">
        <v>2494</v>
      </c>
      <c r="BC315" s="77" t="s">
        <v>2494</v>
      </c>
      <c r="BD315" s="77" t="s">
        <v>2505</v>
      </c>
      <c r="BE315">
        <v>282930614</v>
      </c>
      <c r="BK315" s="112" t="str">
        <f>REPLACE(INDEX(GroupVertices[Group], MATCH("~"&amp;Edges[[#This Row],[Vertex 1]],GroupVertices[Vertex],0)),1,1,"")</f>
        <v>8</v>
      </c>
      <c r="BL315" s="112" t="str">
        <f>REPLACE(INDEX(GroupVertices[Group], MATCH("~"&amp;Edges[[#This Row],[Vertex 2]],GroupVertices[Vertex],0)),1,1,"")</f>
        <v>8</v>
      </c>
    </row>
    <row r="316" spans="1:64" x14ac:dyDescent="0.25">
      <c r="A316" s="61" t="s">
        <v>496</v>
      </c>
      <c r="B316" s="61" t="s">
        <v>496</v>
      </c>
      <c r="C316" s="62"/>
      <c r="D316" s="63"/>
      <c r="E316" s="64"/>
      <c r="F316" s="65"/>
      <c r="G316" s="62"/>
      <c r="H316" s="66"/>
      <c r="I316" s="67"/>
      <c r="J316" s="67"/>
      <c r="K316" s="31"/>
      <c r="L316" s="75">
        <v>316</v>
      </c>
      <c r="M316"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16" s="69"/>
      <c r="O316" t="s">
        <v>701</v>
      </c>
      <c r="P316" s="76">
        <v>45505.492025462961</v>
      </c>
      <c r="Q316" t="s">
        <v>1078</v>
      </c>
      <c r="R316" t="b">
        <v>0</v>
      </c>
      <c r="S316">
        <v>0</v>
      </c>
      <c r="T316">
        <v>0</v>
      </c>
      <c r="U316">
        <v>0</v>
      </c>
      <c r="V316">
        <v>0</v>
      </c>
      <c r="W316">
        <v>24</v>
      </c>
      <c r="AD316" s="77" t="s">
        <v>1367</v>
      </c>
      <c r="AE316" t="s">
        <v>1385</v>
      </c>
      <c r="AF316" s="78" t="str">
        <f>HYPERLINK("https://twitter.com/florecicadabril/status/1818977104710520857")</f>
        <v>https://twitter.com/florecicadabril/status/1818977104710520857</v>
      </c>
      <c r="AG316" s="76">
        <v>45505.492025462961</v>
      </c>
      <c r="AH316" s="80">
        <v>45505</v>
      </c>
      <c r="AI316" s="77" t="s">
        <v>1755</v>
      </c>
      <c r="AW316" s="78" t="str">
        <f>HYPERLINK("https://pbs.twimg.com/profile_images/1904996390553403393/oVNqQFL__normal.jpg")</f>
        <v>https://pbs.twimg.com/profile_images/1904996390553403393/oVNqQFL__normal.jpg</v>
      </c>
      <c r="AX316" s="77" t="s">
        <v>2244</v>
      </c>
      <c r="AY316" s="77" t="s">
        <v>2366</v>
      </c>
      <c r="AZ316" s="77" t="s">
        <v>2491</v>
      </c>
      <c r="BA316" s="77" t="s">
        <v>2366</v>
      </c>
      <c r="BB316" s="77" t="s">
        <v>2494</v>
      </c>
      <c r="BC316" s="77" t="s">
        <v>2494</v>
      </c>
      <c r="BD316" s="77" t="s">
        <v>2366</v>
      </c>
      <c r="BE316">
        <v>286215534</v>
      </c>
      <c r="BK316" s="112" t="str">
        <f>REPLACE(INDEX(GroupVertices[Group], MATCH("~"&amp;Edges[[#This Row],[Vertex 1]],GroupVertices[Vertex],0)),1,1,"")</f>
        <v>20</v>
      </c>
      <c r="BL316" s="112" t="str">
        <f>REPLACE(INDEX(GroupVertices[Group], MATCH("~"&amp;Edges[[#This Row],[Vertex 2]],GroupVertices[Vertex],0)),1,1,"")</f>
        <v>20</v>
      </c>
    </row>
    <row r="317" spans="1:64" x14ac:dyDescent="0.25">
      <c r="A317" s="61" t="s">
        <v>245</v>
      </c>
      <c r="B317" s="61" t="s">
        <v>245</v>
      </c>
      <c r="C317" s="62"/>
      <c r="D317" s="63"/>
      <c r="E317" s="64"/>
      <c r="F317" s="65"/>
      <c r="G317" s="62"/>
      <c r="H317" s="66"/>
      <c r="I317" s="67"/>
      <c r="J317" s="67"/>
      <c r="K317" s="31"/>
      <c r="L317" s="75">
        <v>317</v>
      </c>
      <c r="M317"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17" s="69"/>
      <c r="O317" t="s">
        <v>177</v>
      </c>
      <c r="P317" s="76">
        <v>45506.870497685188</v>
      </c>
      <c r="Q317" t="s">
        <v>729</v>
      </c>
      <c r="R317" t="b">
        <v>0</v>
      </c>
      <c r="S317">
        <v>0</v>
      </c>
      <c r="T317">
        <v>1</v>
      </c>
      <c r="U317">
        <v>0</v>
      </c>
      <c r="V317">
        <v>0</v>
      </c>
      <c r="W317">
        <v>23</v>
      </c>
      <c r="AD317" s="77" t="s">
        <v>1365</v>
      </c>
      <c r="AE317" t="s">
        <v>1385</v>
      </c>
      <c r="AF317" s="78" t="str">
        <f>HYPERLINK("https://twitter.com/_la_tombola_/status/1819476645054451754")</f>
        <v>https://twitter.com/_la_tombola_/status/1819476645054451754</v>
      </c>
      <c r="AG317" s="76">
        <v>45506.870497685188</v>
      </c>
      <c r="AH317" s="80">
        <v>45506</v>
      </c>
      <c r="AI317" s="77" t="s">
        <v>1411</v>
      </c>
      <c r="AW317" s="78" t="str">
        <f>HYPERLINK("https://pbs.twimg.com/profile_images/1782904715967078400/BENjXW57_normal.jpg")</f>
        <v>https://pbs.twimg.com/profile_images/1782904715967078400/BENjXW57_normal.jpg</v>
      </c>
      <c r="AX317" s="77" t="s">
        <v>1895</v>
      </c>
      <c r="AY317" s="77" t="s">
        <v>1895</v>
      </c>
      <c r="BA317" s="77" t="s">
        <v>2494</v>
      </c>
      <c r="BB317" s="77" t="s">
        <v>2494</v>
      </c>
      <c r="BC317" s="77" t="s">
        <v>2494</v>
      </c>
      <c r="BD317" s="77" t="s">
        <v>1895</v>
      </c>
      <c r="BE317" s="77" t="s">
        <v>2542</v>
      </c>
      <c r="BK317" s="112" t="str">
        <f>REPLACE(INDEX(GroupVertices[Group], MATCH("~"&amp;Edges[[#This Row],[Vertex 1]],GroupVertices[Vertex],0)),1,1,"")</f>
        <v>144</v>
      </c>
      <c r="BL317" s="112" t="str">
        <f>REPLACE(INDEX(GroupVertices[Group], MATCH("~"&amp;Edges[[#This Row],[Vertex 2]],GroupVertices[Vertex],0)),1,1,"")</f>
        <v>144</v>
      </c>
    </row>
    <row r="318" spans="1:64" x14ac:dyDescent="0.25">
      <c r="A318" s="61" t="s">
        <v>288</v>
      </c>
      <c r="B318" s="61" t="s">
        <v>565</v>
      </c>
      <c r="C318" s="62"/>
      <c r="D318" s="63"/>
      <c r="E318" s="64"/>
      <c r="F318" s="65"/>
      <c r="G318" s="62"/>
      <c r="H318" s="66"/>
      <c r="I318" s="67"/>
      <c r="J318" s="67"/>
      <c r="K318" s="31"/>
      <c r="L318" s="75">
        <v>318</v>
      </c>
      <c r="M318"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18" s="69"/>
      <c r="O318" t="s">
        <v>703</v>
      </c>
      <c r="P318" s="76">
        <v>45506.48096064815</v>
      </c>
      <c r="Q318" t="s">
        <v>796</v>
      </c>
      <c r="R318" t="b">
        <v>0</v>
      </c>
      <c r="S318">
        <v>0</v>
      </c>
      <c r="T318">
        <v>4</v>
      </c>
      <c r="U318">
        <v>0</v>
      </c>
      <c r="V318">
        <v>0</v>
      </c>
      <c r="W318">
        <v>23</v>
      </c>
      <c r="AA318" t="s">
        <v>1226</v>
      </c>
      <c r="AB318" t="s">
        <v>1276</v>
      </c>
      <c r="AC318" t="s">
        <v>1362</v>
      </c>
      <c r="AD318" s="77" t="s">
        <v>1365</v>
      </c>
      <c r="AE318" t="s">
        <v>1385</v>
      </c>
      <c r="AF318" s="78" t="str">
        <f>HYPERLINK("https://twitter.com/alex_alic/status/1819335485019279668")</f>
        <v>https://twitter.com/alex_alic/status/1819335485019279668</v>
      </c>
      <c r="AG318" s="76">
        <v>45506.48096064815</v>
      </c>
      <c r="AH318" s="80">
        <v>45506</v>
      </c>
      <c r="AI318" s="77" t="s">
        <v>1478</v>
      </c>
      <c r="AJ318" t="b">
        <v>0</v>
      </c>
      <c r="AR318" t="s">
        <v>1789</v>
      </c>
      <c r="AW318" s="78" t="str">
        <f>HYPERLINK("https://pbs.twimg.com/tweet_video_thumb/GT-T-iiXsAACz3s.jpg")</f>
        <v>https://pbs.twimg.com/tweet_video_thumb/GT-T-iiXsAACz3s.jpg</v>
      </c>
      <c r="AX318" s="77" t="s">
        <v>1962</v>
      </c>
      <c r="AY318" s="77" t="s">
        <v>2293</v>
      </c>
      <c r="AZ318" s="77" t="s">
        <v>2412</v>
      </c>
      <c r="BA318" s="77" t="s">
        <v>2504</v>
      </c>
      <c r="BB318" s="77" t="s">
        <v>2494</v>
      </c>
      <c r="BC318" s="77" t="s">
        <v>2494</v>
      </c>
      <c r="BD318" s="77" t="s">
        <v>2504</v>
      </c>
      <c r="BE318">
        <v>282930614</v>
      </c>
      <c r="BK318" s="112" t="str">
        <f>REPLACE(INDEX(GroupVertices[Group], MATCH("~"&amp;Edges[[#This Row],[Vertex 1]],GroupVertices[Vertex],0)),1,1,"")</f>
        <v>8</v>
      </c>
      <c r="BL318" s="112" t="str">
        <f>REPLACE(INDEX(GroupVertices[Group], MATCH("~"&amp;Edges[[#This Row],[Vertex 2]],GroupVertices[Vertex],0)),1,1,"")</f>
        <v>8</v>
      </c>
    </row>
    <row r="319" spans="1:64" x14ac:dyDescent="0.25">
      <c r="A319" s="61" t="s">
        <v>288</v>
      </c>
      <c r="B319" s="61" t="s">
        <v>566</v>
      </c>
      <c r="C319" s="62"/>
      <c r="D319" s="63"/>
      <c r="E319" s="64"/>
      <c r="F319" s="65"/>
      <c r="G319" s="62"/>
      <c r="H319" s="66"/>
      <c r="I319" s="67"/>
      <c r="J319" s="67"/>
      <c r="K319" s="31"/>
      <c r="L319" s="75">
        <v>319</v>
      </c>
      <c r="M319"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19" s="69"/>
      <c r="O319" t="s">
        <v>703</v>
      </c>
      <c r="P319" s="76">
        <v>45506.48096064815</v>
      </c>
      <c r="Q319" t="s">
        <v>796</v>
      </c>
      <c r="R319" t="b">
        <v>0</v>
      </c>
      <c r="S319">
        <v>0</v>
      </c>
      <c r="T319">
        <v>4</v>
      </c>
      <c r="U319">
        <v>0</v>
      </c>
      <c r="V319">
        <v>0</v>
      </c>
      <c r="W319">
        <v>23</v>
      </c>
      <c r="AA319" t="s">
        <v>1226</v>
      </c>
      <c r="AB319" t="s">
        <v>1276</v>
      </c>
      <c r="AC319" t="s">
        <v>1362</v>
      </c>
      <c r="AD319" s="77" t="s">
        <v>1365</v>
      </c>
      <c r="AE319" t="s">
        <v>1385</v>
      </c>
      <c r="AF319" s="78" t="str">
        <f>HYPERLINK("https://twitter.com/alex_alic/status/1819335485019279668")</f>
        <v>https://twitter.com/alex_alic/status/1819335485019279668</v>
      </c>
      <c r="AG319" s="76">
        <v>45506.48096064815</v>
      </c>
      <c r="AH319" s="80">
        <v>45506</v>
      </c>
      <c r="AI319" s="77" t="s">
        <v>1478</v>
      </c>
      <c r="AJ319" t="b">
        <v>0</v>
      </c>
      <c r="AR319" t="s">
        <v>1789</v>
      </c>
      <c r="AW319" s="78" t="str">
        <f>HYPERLINK("https://pbs.twimg.com/tweet_video_thumb/GT-T-iiXsAACz3s.jpg")</f>
        <v>https://pbs.twimg.com/tweet_video_thumb/GT-T-iiXsAACz3s.jpg</v>
      </c>
      <c r="AX319" s="77" t="s">
        <v>1962</v>
      </c>
      <c r="AY319" s="77" t="s">
        <v>2293</v>
      </c>
      <c r="AZ319" s="77" t="s">
        <v>2412</v>
      </c>
      <c r="BA319" s="77" t="s">
        <v>2504</v>
      </c>
      <c r="BB319" s="77" t="s">
        <v>2494</v>
      </c>
      <c r="BC319" s="77" t="s">
        <v>2494</v>
      </c>
      <c r="BD319" s="77" t="s">
        <v>2504</v>
      </c>
      <c r="BE319">
        <v>282930614</v>
      </c>
      <c r="BK319" s="112" t="str">
        <f>REPLACE(INDEX(GroupVertices[Group], MATCH("~"&amp;Edges[[#This Row],[Vertex 1]],GroupVertices[Vertex],0)),1,1,"")</f>
        <v>8</v>
      </c>
      <c r="BL319" s="112" t="str">
        <f>REPLACE(INDEX(GroupVertices[Group], MATCH("~"&amp;Edges[[#This Row],[Vertex 2]],GroupVertices[Vertex],0)),1,1,"")</f>
        <v>8</v>
      </c>
    </row>
    <row r="320" spans="1:64" x14ac:dyDescent="0.25">
      <c r="A320" s="61" t="s">
        <v>288</v>
      </c>
      <c r="B320" s="61" t="s">
        <v>567</v>
      </c>
      <c r="C320" s="62"/>
      <c r="D320" s="63"/>
      <c r="E320" s="64"/>
      <c r="F320" s="65"/>
      <c r="G320" s="62"/>
      <c r="H320" s="66"/>
      <c r="I320" s="67"/>
      <c r="J320" s="67"/>
      <c r="K320" s="31"/>
      <c r="L320" s="75">
        <v>320</v>
      </c>
      <c r="M320"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20" s="69"/>
      <c r="O320" t="s">
        <v>701</v>
      </c>
      <c r="P320" s="76">
        <v>45506.48096064815</v>
      </c>
      <c r="Q320" t="s">
        <v>796</v>
      </c>
      <c r="R320" t="b">
        <v>0</v>
      </c>
      <c r="S320">
        <v>0</v>
      </c>
      <c r="T320">
        <v>4</v>
      </c>
      <c r="U320">
        <v>0</v>
      </c>
      <c r="V320">
        <v>0</v>
      </c>
      <c r="W320">
        <v>23</v>
      </c>
      <c r="AA320" t="s">
        <v>1226</v>
      </c>
      <c r="AB320" t="s">
        <v>1276</v>
      </c>
      <c r="AC320" t="s">
        <v>1362</v>
      </c>
      <c r="AD320" s="77" t="s">
        <v>1365</v>
      </c>
      <c r="AE320" t="s">
        <v>1385</v>
      </c>
      <c r="AF320" s="78" t="str">
        <f>HYPERLINK("https://twitter.com/alex_alic/status/1819335485019279668")</f>
        <v>https://twitter.com/alex_alic/status/1819335485019279668</v>
      </c>
      <c r="AG320" s="76">
        <v>45506.48096064815</v>
      </c>
      <c r="AH320" s="80">
        <v>45506</v>
      </c>
      <c r="AI320" s="77" t="s">
        <v>1478</v>
      </c>
      <c r="AJ320" t="b">
        <v>0</v>
      </c>
      <c r="AR320" t="s">
        <v>1789</v>
      </c>
      <c r="AW320" s="78" t="str">
        <f>HYPERLINK("https://pbs.twimg.com/tweet_video_thumb/GT-T-iiXsAACz3s.jpg")</f>
        <v>https://pbs.twimg.com/tweet_video_thumb/GT-T-iiXsAACz3s.jpg</v>
      </c>
      <c r="AX320" s="77" t="s">
        <v>1962</v>
      </c>
      <c r="AY320" s="77" t="s">
        <v>2293</v>
      </c>
      <c r="AZ320" s="77" t="s">
        <v>2412</v>
      </c>
      <c r="BA320" s="77" t="s">
        <v>2504</v>
      </c>
      <c r="BB320" s="77" t="s">
        <v>2494</v>
      </c>
      <c r="BC320" s="77" t="s">
        <v>2494</v>
      </c>
      <c r="BD320" s="77" t="s">
        <v>2504</v>
      </c>
      <c r="BE320">
        <v>282930614</v>
      </c>
      <c r="BK320" s="112" t="str">
        <f>REPLACE(INDEX(GroupVertices[Group], MATCH("~"&amp;Edges[[#This Row],[Vertex 1]],GroupVertices[Vertex],0)),1,1,"")</f>
        <v>8</v>
      </c>
      <c r="BL320" s="112" t="str">
        <f>REPLACE(INDEX(GroupVertices[Group], MATCH("~"&amp;Edges[[#This Row],[Vertex 2]],GroupVertices[Vertex],0)),1,1,"")</f>
        <v>8</v>
      </c>
    </row>
    <row r="321" spans="1:64" x14ac:dyDescent="0.25">
      <c r="A321" s="61" t="s">
        <v>291</v>
      </c>
      <c r="B321" s="61" t="s">
        <v>291</v>
      </c>
      <c r="C321" s="62"/>
      <c r="D321" s="63"/>
      <c r="E321" s="64"/>
      <c r="F321" s="65"/>
      <c r="G321" s="62"/>
      <c r="H321" s="66"/>
      <c r="I321" s="67"/>
      <c r="J321" s="67"/>
      <c r="K321" s="31"/>
      <c r="L321" s="75">
        <v>321</v>
      </c>
      <c r="M321"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21" s="69"/>
      <c r="O321" t="s">
        <v>702</v>
      </c>
      <c r="P321" s="76">
        <v>45507.734502314815</v>
      </c>
      <c r="Q321" t="s">
        <v>804</v>
      </c>
      <c r="R321" t="b">
        <v>0</v>
      </c>
      <c r="S321">
        <v>0</v>
      </c>
      <c r="T321">
        <v>0</v>
      </c>
      <c r="U321">
        <v>0</v>
      </c>
      <c r="V321">
        <v>0</v>
      </c>
      <c r="W321">
        <v>23</v>
      </c>
      <c r="Y321" s="78" t="str">
        <f>HYPERLINK("https://portaleduca.cl/sistema-de-admision-escolar-sae-los-mitos-y-verdades-de-la-plataforma-de-postulacion-a-colegios/")</f>
        <v>https://portaleduca.cl/sistema-de-admision-escolar-sae-los-mitos-y-verdades-de-la-plataforma-de-postulacion-a-colegios/</v>
      </c>
      <c r="Z321" t="s">
        <v>1148</v>
      </c>
      <c r="AA321" t="s">
        <v>291</v>
      </c>
      <c r="AD321" s="77" t="s">
        <v>1367</v>
      </c>
      <c r="AE321" t="s">
        <v>1385</v>
      </c>
      <c r="AF321" s="78" t="str">
        <f>HYPERLINK("https://twitter.com/prensa_educa/status/1819789752364847209")</f>
        <v>https://twitter.com/prensa_educa/status/1819789752364847209</v>
      </c>
      <c r="AG321" s="76">
        <v>45507.734502314815</v>
      </c>
      <c r="AH321" s="80">
        <v>45507</v>
      </c>
      <c r="AI321" s="77" t="s">
        <v>1486</v>
      </c>
      <c r="AJ321" t="b">
        <v>0</v>
      </c>
      <c r="AW321" s="78" t="str">
        <f>HYPERLINK("https://pbs.twimg.com/profile_images/1266088127895986176/foWjU4Ss_normal.jpg")</f>
        <v>https://pbs.twimg.com/profile_images/1266088127895986176/foWjU4Ss_normal.jpg</v>
      </c>
      <c r="AX321" s="77" t="s">
        <v>1970</v>
      </c>
      <c r="AY321" s="77" t="s">
        <v>1970</v>
      </c>
      <c r="BA321" s="77" t="s">
        <v>2494</v>
      </c>
      <c r="BB321" s="77" t="s">
        <v>2494</v>
      </c>
      <c r="BC321" s="77" t="s">
        <v>2494</v>
      </c>
      <c r="BD321" s="77" t="s">
        <v>1970</v>
      </c>
      <c r="BE321" s="77" t="s">
        <v>2564</v>
      </c>
      <c r="BK321" s="112" t="str">
        <f>REPLACE(INDEX(GroupVertices[Group], MATCH("~"&amp;Edges[[#This Row],[Vertex 1]],GroupVertices[Vertex],0)),1,1,"")</f>
        <v>143</v>
      </c>
      <c r="BL321" s="112" t="str">
        <f>REPLACE(INDEX(GroupVertices[Group], MATCH("~"&amp;Edges[[#This Row],[Vertex 2]],GroupVertices[Vertex],0)),1,1,"")</f>
        <v>143</v>
      </c>
    </row>
    <row r="322" spans="1:64" x14ac:dyDescent="0.25">
      <c r="A322" s="61" t="s">
        <v>481</v>
      </c>
      <c r="B322" s="61" t="s">
        <v>481</v>
      </c>
      <c r="C322" s="62"/>
      <c r="D322" s="63"/>
      <c r="E322" s="64"/>
      <c r="F322" s="65"/>
      <c r="G322" s="62"/>
      <c r="H322" s="66"/>
      <c r="I322" s="67"/>
      <c r="J322" s="67"/>
      <c r="K322" s="31"/>
      <c r="L322" s="75">
        <v>322</v>
      </c>
      <c r="M322"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22" s="69"/>
      <c r="O322" t="s">
        <v>177</v>
      </c>
      <c r="P322" s="76">
        <v>45510.90625</v>
      </c>
      <c r="Q322" t="s">
        <v>1062</v>
      </c>
      <c r="R322" t="b">
        <v>0</v>
      </c>
      <c r="S322">
        <v>0</v>
      </c>
      <c r="T322">
        <v>0</v>
      </c>
      <c r="U322">
        <v>0</v>
      </c>
      <c r="V322">
        <v>0</v>
      </c>
      <c r="W322">
        <v>23</v>
      </c>
      <c r="X322" s="77" t="s">
        <v>1128</v>
      </c>
      <c r="Y322" s="78" t="str">
        <f>HYPERLINK("https://radiocrystal.cl/102-puntos-de-apoyo-se-han-dispuesto-en-la-region-para-acompanar-a-las-familias-en-el-proceso-de-postulacion-del-sistema-de-admision-escolar-2025")</f>
        <v>https://radiocrystal.cl/102-puntos-de-apoyo-se-han-dispuesto-en-la-region-para-acompanar-a-las-familias-en-el-proceso-de-postulacion-del-sistema-de-admision-escolar-2025</v>
      </c>
      <c r="Z322" t="s">
        <v>1203</v>
      </c>
      <c r="AD322" s="77" t="s">
        <v>1367</v>
      </c>
      <c r="AE322" t="s">
        <v>1385</v>
      </c>
      <c r="AF322" s="78" t="str">
        <f>HYPERLINK("https://twitter.com/radiocrystalcl/status/1820939153246150656")</f>
        <v>https://twitter.com/radiocrystalcl/status/1820939153246150656</v>
      </c>
      <c r="AG322" s="76">
        <v>45510.90625</v>
      </c>
      <c r="AH322" s="80">
        <v>45510</v>
      </c>
      <c r="AI322" s="77" t="s">
        <v>1739</v>
      </c>
      <c r="AJ322" t="b">
        <v>0</v>
      </c>
      <c r="AW322" s="78" t="str">
        <f>HYPERLINK("https://pbs.twimg.com/profile_images/1753150288385486848/JTXP5XiT_normal.jpg")</f>
        <v>https://pbs.twimg.com/profile_images/1753150288385486848/JTXP5XiT_normal.jpg</v>
      </c>
      <c r="AX322" s="77" t="s">
        <v>2228</v>
      </c>
      <c r="AY322" s="77" t="s">
        <v>2228</v>
      </c>
      <c r="BA322" s="77" t="s">
        <v>2494</v>
      </c>
      <c r="BB322" s="77" t="s">
        <v>2494</v>
      </c>
      <c r="BC322" s="77" t="s">
        <v>2494</v>
      </c>
      <c r="BD322" s="77" t="s">
        <v>2228</v>
      </c>
      <c r="BE322">
        <v>1323363619</v>
      </c>
      <c r="BK322" s="112" t="str">
        <f>REPLACE(INDEX(GroupVertices[Group], MATCH("~"&amp;Edges[[#This Row],[Vertex 1]],GroupVertices[Vertex],0)),1,1,"")</f>
        <v>119</v>
      </c>
      <c r="BL322" s="112" t="str">
        <f>REPLACE(INDEX(GroupVertices[Group], MATCH("~"&amp;Edges[[#This Row],[Vertex 2]],GroupVertices[Vertex],0)),1,1,"")</f>
        <v>119</v>
      </c>
    </row>
    <row r="323" spans="1:64" x14ac:dyDescent="0.25">
      <c r="A323" s="61" t="s">
        <v>245</v>
      </c>
      <c r="B323" s="61" t="s">
        <v>245</v>
      </c>
      <c r="C323" s="62"/>
      <c r="D323" s="63"/>
      <c r="E323" s="64"/>
      <c r="F323" s="65"/>
      <c r="G323" s="62"/>
      <c r="H323" s="66"/>
      <c r="I323" s="67"/>
      <c r="J323" s="67"/>
      <c r="K323" s="31"/>
      <c r="L323" s="75">
        <v>323</v>
      </c>
      <c r="M323"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23" s="69"/>
      <c r="O323" t="s">
        <v>177</v>
      </c>
      <c r="P323" s="76">
        <v>45509.905405092592</v>
      </c>
      <c r="Q323" t="s">
        <v>734</v>
      </c>
      <c r="R323" t="b">
        <v>0</v>
      </c>
      <c r="S323">
        <v>0</v>
      </c>
      <c r="T323">
        <v>1</v>
      </c>
      <c r="U323">
        <v>0</v>
      </c>
      <c r="V323">
        <v>0</v>
      </c>
      <c r="W323">
        <v>22</v>
      </c>
      <c r="AD323" s="77" t="s">
        <v>1365</v>
      </c>
      <c r="AE323" t="s">
        <v>1385</v>
      </c>
      <c r="AF323" s="78" t="str">
        <f>HYPERLINK("https://twitter.com/_la_tombola_/status/1820576459679002857")</f>
        <v>https://twitter.com/_la_tombola_/status/1820576459679002857</v>
      </c>
      <c r="AG323" s="76">
        <v>45509.905405092592</v>
      </c>
      <c r="AH323" s="80">
        <v>45509</v>
      </c>
      <c r="AI323" s="77" t="s">
        <v>1416</v>
      </c>
      <c r="AW323" s="78" t="str">
        <f>HYPERLINK("https://pbs.twimg.com/profile_images/1782904715967078400/BENjXW57_normal.jpg")</f>
        <v>https://pbs.twimg.com/profile_images/1782904715967078400/BENjXW57_normal.jpg</v>
      </c>
      <c r="AX323" s="77" t="s">
        <v>1900</v>
      </c>
      <c r="AY323" s="77" t="s">
        <v>1900</v>
      </c>
      <c r="BA323" s="77" t="s">
        <v>2494</v>
      </c>
      <c r="BB323" s="77" t="s">
        <v>2494</v>
      </c>
      <c r="BC323" s="77" t="s">
        <v>2494</v>
      </c>
      <c r="BD323" s="77" t="s">
        <v>1900</v>
      </c>
      <c r="BE323" s="77" t="s">
        <v>2542</v>
      </c>
      <c r="BK323" s="112" t="str">
        <f>REPLACE(INDEX(GroupVertices[Group], MATCH("~"&amp;Edges[[#This Row],[Vertex 1]],GroupVertices[Vertex],0)),1,1,"")</f>
        <v>144</v>
      </c>
      <c r="BL323" s="112" t="str">
        <f>REPLACE(INDEX(GroupVertices[Group], MATCH("~"&amp;Edges[[#This Row],[Vertex 2]],GroupVertices[Vertex],0)),1,1,"")</f>
        <v>144</v>
      </c>
    </row>
    <row r="324" spans="1:64" x14ac:dyDescent="0.25">
      <c r="A324" s="61" t="s">
        <v>388</v>
      </c>
      <c r="B324" s="61" t="s">
        <v>647</v>
      </c>
      <c r="C324" s="62"/>
      <c r="D324" s="63"/>
      <c r="E324" s="64"/>
      <c r="F324" s="65"/>
      <c r="G324" s="62"/>
      <c r="H324" s="66"/>
      <c r="I324" s="67"/>
      <c r="J324" s="67"/>
      <c r="K324" s="31"/>
      <c r="L324" s="75">
        <v>324</v>
      </c>
      <c r="M324"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24" s="69"/>
      <c r="O324" t="s">
        <v>703</v>
      </c>
      <c r="P324" s="76">
        <v>45506.840486111112</v>
      </c>
      <c r="Q324" t="s">
        <v>953</v>
      </c>
      <c r="R324" t="b">
        <v>0</v>
      </c>
      <c r="S324">
        <v>0</v>
      </c>
      <c r="T324">
        <v>1</v>
      </c>
      <c r="U324">
        <v>2</v>
      </c>
      <c r="V324">
        <v>0</v>
      </c>
      <c r="W324">
        <v>22</v>
      </c>
      <c r="AA324" t="s">
        <v>1247</v>
      </c>
      <c r="AD324" s="77" t="s">
        <v>1365</v>
      </c>
      <c r="AE324" t="s">
        <v>1385</v>
      </c>
      <c r="AF324" s="78" t="str">
        <f>HYPERLINK("https://twitter.com/scorpius2punt0/status/1819465771959177686")</f>
        <v>https://twitter.com/scorpius2punt0/status/1819465771959177686</v>
      </c>
      <c r="AG324" s="76">
        <v>45506.840486111112</v>
      </c>
      <c r="AH324" s="80">
        <v>45506</v>
      </c>
      <c r="AI324" s="77" t="s">
        <v>1633</v>
      </c>
      <c r="AW324" s="78" t="str">
        <f>HYPERLINK("https://pbs.twimg.com/profile_images/1755665474996613120/7lUnvXgJ_normal.jpg")</f>
        <v>https://pbs.twimg.com/profile_images/1755665474996613120/7lUnvXgJ_normal.jpg</v>
      </c>
      <c r="AX324" s="77" t="s">
        <v>2119</v>
      </c>
      <c r="AY324" s="77" t="s">
        <v>2334</v>
      </c>
      <c r="AZ324" s="77" t="s">
        <v>2453</v>
      </c>
      <c r="BA324" s="77" t="s">
        <v>2518</v>
      </c>
      <c r="BB324" s="77" t="s">
        <v>2494</v>
      </c>
      <c r="BC324" s="77" t="s">
        <v>2494</v>
      </c>
      <c r="BD324" s="77" t="s">
        <v>2518</v>
      </c>
      <c r="BE324" s="77" t="s">
        <v>2453</v>
      </c>
      <c r="BK324" s="112" t="str">
        <f>REPLACE(INDEX(GroupVertices[Group], MATCH("~"&amp;Edges[[#This Row],[Vertex 1]],GroupVertices[Vertex],0)),1,1,"")</f>
        <v>69</v>
      </c>
      <c r="BL324" s="112" t="str">
        <f>REPLACE(INDEX(GroupVertices[Group], MATCH("~"&amp;Edges[[#This Row],[Vertex 2]],GroupVertices[Vertex],0)),1,1,"")</f>
        <v>69</v>
      </c>
    </row>
    <row r="325" spans="1:64" x14ac:dyDescent="0.25">
      <c r="A325" s="61" t="s">
        <v>388</v>
      </c>
      <c r="B325" s="61" t="s">
        <v>388</v>
      </c>
      <c r="C325" s="62"/>
      <c r="D325" s="63"/>
      <c r="E325" s="64"/>
      <c r="F325" s="65"/>
      <c r="G325" s="62"/>
      <c r="H325" s="66"/>
      <c r="I325" s="67"/>
      <c r="J325" s="67"/>
      <c r="K325" s="31"/>
      <c r="L325" s="75">
        <v>325</v>
      </c>
      <c r="M325"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25" s="69"/>
      <c r="O325" t="s">
        <v>701</v>
      </c>
      <c r="P325" s="76">
        <v>45506.840486111112</v>
      </c>
      <c r="Q325" t="s">
        <v>953</v>
      </c>
      <c r="R325" t="b">
        <v>0</v>
      </c>
      <c r="S325">
        <v>0</v>
      </c>
      <c r="T325">
        <v>1</v>
      </c>
      <c r="U325">
        <v>2</v>
      </c>
      <c r="V325">
        <v>0</v>
      </c>
      <c r="W325">
        <v>22</v>
      </c>
      <c r="AA325" t="s">
        <v>1247</v>
      </c>
      <c r="AD325" s="77" t="s">
        <v>1365</v>
      </c>
      <c r="AE325" t="s">
        <v>1385</v>
      </c>
      <c r="AF325" s="78" t="str">
        <f>HYPERLINK("https://twitter.com/scorpius2punt0/status/1819465771959177686")</f>
        <v>https://twitter.com/scorpius2punt0/status/1819465771959177686</v>
      </c>
      <c r="AG325" s="76">
        <v>45506.840486111112</v>
      </c>
      <c r="AH325" s="80">
        <v>45506</v>
      </c>
      <c r="AI325" s="77" t="s">
        <v>1633</v>
      </c>
      <c r="AW325" s="78" t="str">
        <f>HYPERLINK("https://pbs.twimg.com/profile_images/1755665474996613120/7lUnvXgJ_normal.jpg")</f>
        <v>https://pbs.twimg.com/profile_images/1755665474996613120/7lUnvXgJ_normal.jpg</v>
      </c>
      <c r="AX325" s="77" t="s">
        <v>2119</v>
      </c>
      <c r="AY325" s="77" t="s">
        <v>2334</v>
      </c>
      <c r="AZ325" s="77" t="s">
        <v>2453</v>
      </c>
      <c r="BA325" s="77" t="s">
        <v>2518</v>
      </c>
      <c r="BB325" s="77" t="s">
        <v>2494</v>
      </c>
      <c r="BC325" s="77" t="s">
        <v>2494</v>
      </c>
      <c r="BD325" s="77" t="s">
        <v>2518</v>
      </c>
      <c r="BE325" s="77" t="s">
        <v>2453</v>
      </c>
      <c r="BK325" s="112" t="str">
        <f>REPLACE(INDEX(GroupVertices[Group], MATCH("~"&amp;Edges[[#This Row],[Vertex 1]],GroupVertices[Vertex],0)),1,1,"")</f>
        <v>69</v>
      </c>
      <c r="BL325" s="112" t="str">
        <f>REPLACE(INDEX(GroupVertices[Group], MATCH("~"&amp;Edges[[#This Row],[Vertex 2]],GroupVertices[Vertex],0)),1,1,"")</f>
        <v>69</v>
      </c>
    </row>
    <row r="326" spans="1:64" x14ac:dyDescent="0.25">
      <c r="A326" s="61" t="s">
        <v>439</v>
      </c>
      <c r="B326" s="61" t="s">
        <v>486</v>
      </c>
      <c r="C326" s="62"/>
      <c r="D326" s="63"/>
      <c r="E326" s="64"/>
      <c r="F326" s="65"/>
      <c r="G326" s="62"/>
      <c r="H326" s="66"/>
      <c r="I326" s="67"/>
      <c r="J326" s="67"/>
      <c r="K326" s="31"/>
      <c r="L326" s="75">
        <v>326</v>
      </c>
      <c r="M326"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26" s="69"/>
      <c r="O326" t="s">
        <v>701</v>
      </c>
      <c r="P326" s="76">
        <v>45507.600532407407</v>
      </c>
      <c r="Q326" t="s">
        <v>1014</v>
      </c>
      <c r="R326" t="b">
        <v>0</v>
      </c>
      <c r="S326">
        <v>0</v>
      </c>
      <c r="T326">
        <v>1</v>
      </c>
      <c r="U326">
        <v>0</v>
      </c>
      <c r="V326">
        <v>0</v>
      </c>
      <c r="W326">
        <v>22</v>
      </c>
      <c r="AA326" t="s">
        <v>486</v>
      </c>
      <c r="AD326" s="77" t="s">
        <v>1365</v>
      </c>
      <c r="AE326" t="s">
        <v>1385</v>
      </c>
      <c r="AF326" s="78" t="str">
        <f>HYPERLINK("https://twitter.com/patfercam/status/1819741201219695047")</f>
        <v>https://twitter.com/patfercam/status/1819741201219695047</v>
      </c>
      <c r="AG326" s="76">
        <v>45507.600532407407</v>
      </c>
      <c r="AH326" s="80">
        <v>45507</v>
      </c>
      <c r="AI326" s="77" t="s">
        <v>1692</v>
      </c>
      <c r="AW326" s="78" t="str">
        <f>HYPERLINK("https://pbs.twimg.com/profile_images/1613561062560768001/iaP9TZ3K_normal.jpg")</f>
        <v>https://pbs.twimg.com/profile_images/1613561062560768001/iaP9TZ3K_normal.jpg</v>
      </c>
      <c r="AX326" s="77" t="s">
        <v>2180</v>
      </c>
      <c r="AY326" s="77" t="s">
        <v>2349</v>
      </c>
      <c r="AZ326" s="77" t="s">
        <v>2471</v>
      </c>
      <c r="BA326" s="77" t="s">
        <v>2349</v>
      </c>
      <c r="BB326" s="77" t="s">
        <v>2494</v>
      </c>
      <c r="BC326" s="77" t="s">
        <v>2494</v>
      </c>
      <c r="BD326" s="77" t="s">
        <v>2349</v>
      </c>
      <c r="BE326" s="77" t="s">
        <v>2619</v>
      </c>
      <c r="BK326" s="112" t="str">
        <f>REPLACE(INDEX(GroupVertices[Group], MATCH("~"&amp;Edges[[#This Row],[Vertex 1]],GroupVertices[Vertex],0)),1,1,"")</f>
        <v>22</v>
      </c>
      <c r="BL326" s="112" t="str">
        <f>REPLACE(INDEX(GroupVertices[Group], MATCH("~"&amp;Edges[[#This Row],[Vertex 2]],GroupVertices[Vertex],0)),1,1,"")</f>
        <v>22</v>
      </c>
    </row>
    <row r="327" spans="1:64" x14ac:dyDescent="0.25">
      <c r="A327" s="61" t="s">
        <v>480</v>
      </c>
      <c r="B327" s="61" t="s">
        <v>516</v>
      </c>
      <c r="C327" s="62"/>
      <c r="D327" s="63"/>
      <c r="E327" s="64"/>
      <c r="F327" s="65"/>
      <c r="G327" s="62"/>
      <c r="H327" s="66"/>
      <c r="I327" s="67"/>
      <c r="J327" s="67"/>
      <c r="K327" s="31"/>
      <c r="L327" s="75">
        <v>327</v>
      </c>
      <c r="M327"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27" s="69"/>
      <c r="O327" t="s">
        <v>703</v>
      </c>
      <c r="P327" s="76">
        <v>45505.318425925929</v>
      </c>
      <c r="Q327" t="s">
        <v>1060</v>
      </c>
      <c r="R327" t="b">
        <v>0</v>
      </c>
      <c r="S327">
        <v>0</v>
      </c>
      <c r="T327">
        <v>0</v>
      </c>
      <c r="U327">
        <v>0</v>
      </c>
      <c r="V327">
        <v>0</v>
      </c>
      <c r="W327">
        <v>22</v>
      </c>
      <c r="AA327" t="s">
        <v>1217</v>
      </c>
      <c r="AD327" s="77" t="s">
        <v>1365</v>
      </c>
      <c r="AE327" t="s">
        <v>1385</v>
      </c>
      <c r="AF327" s="78" t="str">
        <f>HYPERLINK("https://twitter.com/migentededuran/status/1818914193271062554")</f>
        <v>https://twitter.com/migentededuran/status/1818914193271062554</v>
      </c>
      <c r="AG327" s="76">
        <v>45505.318425925929</v>
      </c>
      <c r="AH327" s="80">
        <v>45505</v>
      </c>
      <c r="AI327" s="77" t="s">
        <v>1737</v>
      </c>
      <c r="AW327" s="78" t="str">
        <f>HYPERLINK("https://pbs.twimg.com/profile_images/938302761078284289/VsZ8xNng_normal.jpg")</f>
        <v>https://pbs.twimg.com/profile_images/938302761078284289/VsZ8xNng_normal.jpg</v>
      </c>
      <c r="AX327" s="77" t="s">
        <v>2226</v>
      </c>
      <c r="AY327" s="77" t="s">
        <v>2276</v>
      </c>
      <c r="AZ327" s="77" t="s">
        <v>2390</v>
      </c>
      <c r="BA327" s="77" t="s">
        <v>2276</v>
      </c>
      <c r="BB327" s="77" t="s">
        <v>2494</v>
      </c>
      <c r="BC327" s="77" t="s">
        <v>2494</v>
      </c>
      <c r="BD327" s="77" t="s">
        <v>2276</v>
      </c>
      <c r="BE327" s="77" t="s">
        <v>2635</v>
      </c>
      <c r="BK327" s="112" t="str">
        <f>REPLACE(INDEX(GroupVertices[Group], MATCH("~"&amp;Edges[[#This Row],[Vertex 1]],GroupVertices[Vertex],0)),1,1,"")</f>
        <v>6</v>
      </c>
      <c r="BL327" s="112" t="str">
        <f>REPLACE(INDEX(GroupVertices[Group], MATCH("~"&amp;Edges[[#This Row],[Vertex 2]],GroupVertices[Vertex],0)),1,1,"")</f>
        <v>6</v>
      </c>
    </row>
    <row r="328" spans="1:64" x14ac:dyDescent="0.25">
      <c r="A328" s="61" t="s">
        <v>480</v>
      </c>
      <c r="B328" s="61" t="s">
        <v>539</v>
      </c>
      <c r="C328" s="62"/>
      <c r="D328" s="63"/>
      <c r="E328" s="64"/>
      <c r="F328" s="65"/>
      <c r="G328" s="62"/>
      <c r="H328" s="66"/>
      <c r="I328" s="67"/>
      <c r="J328" s="67"/>
      <c r="K328" s="31"/>
      <c r="L328" s="75">
        <v>328</v>
      </c>
      <c r="M328"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28" s="69"/>
      <c r="O328" t="s">
        <v>701</v>
      </c>
      <c r="P328" s="76">
        <v>45505.318425925929</v>
      </c>
      <c r="Q328" t="s">
        <v>1060</v>
      </c>
      <c r="R328" t="b">
        <v>0</v>
      </c>
      <c r="S328">
        <v>0</v>
      </c>
      <c r="T328">
        <v>0</v>
      </c>
      <c r="U328">
        <v>0</v>
      </c>
      <c r="V328">
        <v>0</v>
      </c>
      <c r="W328">
        <v>22</v>
      </c>
      <c r="AA328" t="s">
        <v>1217</v>
      </c>
      <c r="AD328" s="77" t="s">
        <v>1365</v>
      </c>
      <c r="AE328" t="s">
        <v>1385</v>
      </c>
      <c r="AF328" s="78" t="str">
        <f>HYPERLINK("https://twitter.com/migentededuran/status/1818914193271062554")</f>
        <v>https://twitter.com/migentededuran/status/1818914193271062554</v>
      </c>
      <c r="AG328" s="76">
        <v>45505.318425925929</v>
      </c>
      <c r="AH328" s="80">
        <v>45505</v>
      </c>
      <c r="AI328" s="77" t="s">
        <v>1737</v>
      </c>
      <c r="AW328" s="78" t="str">
        <f>HYPERLINK("https://pbs.twimg.com/profile_images/938302761078284289/VsZ8xNng_normal.jpg")</f>
        <v>https://pbs.twimg.com/profile_images/938302761078284289/VsZ8xNng_normal.jpg</v>
      </c>
      <c r="AX328" s="77" t="s">
        <v>2226</v>
      </c>
      <c r="AY328" s="77" t="s">
        <v>2276</v>
      </c>
      <c r="AZ328" s="77" t="s">
        <v>2390</v>
      </c>
      <c r="BA328" s="77" t="s">
        <v>2276</v>
      </c>
      <c r="BB328" s="77" t="s">
        <v>2494</v>
      </c>
      <c r="BC328" s="77" t="s">
        <v>2494</v>
      </c>
      <c r="BD328" s="77" t="s">
        <v>2276</v>
      </c>
      <c r="BE328" s="77" t="s">
        <v>2635</v>
      </c>
      <c r="BK328" s="112" t="str">
        <f>REPLACE(INDEX(GroupVertices[Group], MATCH("~"&amp;Edges[[#This Row],[Vertex 1]],GroupVertices[Vertex],0)),1,1,"")</f>
        <v>6</v>
      </c>
      <c r="BL328" s="112" t="str">
        <f>REPLACE(INDEX(GroupVertices[Group], MATCH("~"&amp;Edges[[#This Row],[Vertex 2]],GroupVertices[Vertex],0)),1,1,"")</f>
        <v>6</v>
      </c>
    </row>
    <row r="329" spans="1:64" x14ac:dyDescent="0.25">
      <c r="A329" s="61" t="s">
        <v>266</v>
      </c>
      <c r="B329" s="61" t="s">
        <v>544</v>
      </c>
      <c r="C329" s="62"/>
      <c r="D329" s="63"/>
      <c r="E329" s="64"/>
      <c r="F329" s="65"/>
      <c r="G329" s="62"/>
      <c r="H329" s="66"/>
      <c r="I329" s="67"/>
      <c r="J329" s="67"/>
      <c r="K329" s="31"/>
      <c r="L329" s="75">
        <v>329</v>
      </c>
      <c r="M329"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29" s="69"/>
      <c r="O329" t="s">
        <v>703</v>
      </c>
      <c r="P329" s="76">
        <v>45506.811643518522</v>
      </c>
      <c r="Q329" t="s">
        <v>760</v>
      </c>
      <c r="R329" t="b">
        <v>0</v>
      </c>
      <c r="S329">
        <v>0</v>
      </c>
      <c r="T329">
        <v>0</v>
      </c>
      <c r="U329">
        <v>0</v>
      </c>
      <c r="V329">
        <v>0</v>
      </c>
      <c r="W329">
        <v>21</v>
      </c>
      <c r="AA329" t="s">
        <v>1219</v>
      </c>
      <c r="AD329" s="77" t="s">
        <v>1367</v>
      </c>
      <c r="AE329" t="s">
        <v>1385</v>
      </c>
      <c r="AF329" s="78" t="str">
        <f>HYPERLINK("https://twitter.com/admisionescolar/status/1819455316863734143")</f>
        <v>https://twitter.com/admisionescolar/status/1819455316863734143</v>
      </c>
      <c r="AG329" s="76">
        <v>45506.811643518522</v>
      </c>
      <c r="AH329" s="80">
        <v>45506</v>
      </c>
      <c r="AI329" s="77" t="s">
        <v>1442</v>
      </c>
      <c r="AW329" s="78" t="str">
        <f>HYPERLINK("https://pbs.twimg.com/profile_images/1814702908295798784/D2-qs3dC_normal.jpg")</f>
        <v>https://pbs.twimg.com/profile_images/1814702908295798784/D2-qs3dC_normal.jpg</v>
      </c>
      <c r="AX329" s="77" t="s">
        <v>1926</v>
      </c>
      <c r="AY329" s="77" t="s">
        <v>2011</v>
      </c>
      <c r="AZ329" s="77" t="s">
        <v>2394</v>
      </c>
      <c r="BA329" s="77" t="s">
        <v>2495</v>
      </c>
      <c r="BB329" s="77" t="s">
        <v>2494</v>
      </c>
      <c r="BC329" s="77" t="s">
        <v>2494</v>
      </c>
      <c r="BD329" s="77" t="s">
        <v>2495</v>
      </c>
      <c r="BE329" s="77" t="s">
        <v>2553</v>
      </c>
      <c r="BK329" s="112" t="str">
        <f>REPLACE(INDEX(GroupVertices[Group], MATCH("~"&amp;Edges[[#This Row],[Vertex 1]],GroupVertices[Vertex],0)),1,1,"")</f>
        <v>5</v>
      </c>
      <c r="BL329" s="112" t="str">
        <f>REPLACE(INDEX(GroupVertices[Group], MATCH("~"&amp;Edges[[#This Row],[Vertex 2]],GroupVertices[Vertex],0)),1,1,"")</f>
        <v>5</v>
      </c>
    </row>
    <row r="330" spans="1:64" x14ac:dyDescent="0.25">
      <c r="A330" s="61" t="s">
        <v>266</v>
      </c>
      <c r="B330" s="61" t="s">
        <v>551</v>
      </c>
      <c r="C330" s="62"/>
      <c r="D330" s="63"/>
      <c r="E330" s="64"/>
      <c r="F330" s="65"/>
      <c r="G330" s="62"/>
      <c r="H330" s="66"/>
      <c r="I330" s="67"/>
      <c r="J330" s="67"/>
      <c r="K330" s="31"/>
      <c r="L330" s="75">
        <v>330</v>
      </c>
      <c r="M330"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30" s="69"/>
      <c r="O330" t="s">
        <v>701</v>
      </c>
      <c r="P330" s="76">
        <v>45506.811643518522</v>
      </c>
      <c r="Q330" t="s">
        <v>760</v>
      </c>
      <c r="R330" t="b">
        <v>0</v>
      </c>
      <c r="S330">
        <v>0</v>
      </c>
      <c r="T330">
        <v>0</v>
      </c>
      <c r="U330">
        <v>0</v>
      </c>
      <c r="V330">
        <v>0</v>
      </c>
      <c r="W330">
        <v>21</v>
      </c>
      <c r="AA330" t="s">
        <v>1219</v>
      </c>
      <c r="AD330" s="77" t="s">
        <v>1367</v>
      </c>
      <c r="AE330" t="s">
        <v>1385</v>
      </c>
      <c r="AF330" s="78" t="str">
        <f>HYPERLINK("https://twitter.com/admisionescolar/status/1819455316863734143")</f>
        <v>https://twitter.com/admisionescolar/status/1819455316863734143</v>
      </c>
      <c r="AG330" s="76">
        <v>45506.811643518522</v>
      </c>
      <c r="AH330" s="80">
        <v>45506</v>
      </c>
      <c r="AI330" s="77" t="s">
        <v>1442</v>
      </c>
      <c r="AW330" s="78" t="str">
        <f>HYPERLINK("https://pbs.twimg.com/profile_images/1814702908295798784/D2-qs3dC_normal.jpg")</f>
        <v>https://pbs.twimg.com/profile_images/1814702908295798784/D2-qs3dC_normal.jpg</v>
      </c>
      <c r="AX330" s="77" t="s">
        <v>1926</v>
      </c>
      <c r="AY330" s="77" t="s">
        <v>2011</v>
      </c>
      <c r="AZ330" s="77" t="s">
        <v>2394</v>
      </c>
      <c r="BA330" s="77" t="s">
        <v>2495</v>
      </c>
      <c r="BB330" s="77" t="s">
        <v>2494</v>
      </c>
      <c r="BC330" s="77" t="s">
        <v>2494</v>
      </c>
      <c r="BD330" s="77" t="s">
        <v>2495</v>
      </c>
      <c r="BE330" s="77" t="s">
        <v>2553</v>
      </c>
      <c r="BK330" s="112" t="str">
        <f>REPLACE(INDEX(GroupVertices[Group], MATCH("~"&amp;Edges[[#This Row],[Vertex 1]],GroupVertices[Vertex],0)),1,1,"")</f>
        <v>5</v>
      </c>
      <c r="BL330" s="112" t="str">
        <f>REPLACE(INDEX(GroupVertices[Group], MATCH("~"&amp;Edges[[#This Row],[Vertex 2]],GroupVertices[Vertex],0)),1,1,"")</f>
        <v>5</v>
      </c>
    </row>
    <row r="331" spans="1:64" x14ac:dyDescent="0.25">
      <c r="A331" s="61" t="s">
        <v>278</v>
      </c>
      <c r="B331" s="61" t="s">
        <v>506</v>
      </c>
      <c r="C331" s="62"/>
      <c r="D331" s="63"/>
      <c r="E331" s="64"/>
      <c r="F331" s="65"/>
      <c r="G331" s="62"/>
      <c r="H331" s="66"/>
      <c r="I331" s="67"/>
      <c r="J331" s="67"/>
      <c r="K331" s="31"/>
      <c r="L331" s="75">
        <v>331</v>
      </c>
      <c r="M331"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31" s="69"/>
      <c r="O331" t="s">
        <v>702</v>
      </c>
      <c r="P331" s="76">
        <v>45508.209687499999</v>
      </c>
      <c r="Q331" t="s">
        <v>780</v>
      </c>
      <c r="R331" t="b">
        <v>0</v>
      </c>
      <c r="S331">
        <v>0</v>
      </c>
      <c r="T331">
        <v>0</v>
      </c>
      <c r="U331">
        <v>0</v>
      </c>
      <c r="V331">
        <v>0</v>
      </c>
      <c r="W331">
        <v>21</v>
      </c>
      <c r="Y331" s="78" t="str">
        <f>HYPERLINK("https://www.eluniversal.com.mx/opinion/ricardo-homs/la-tombola-judicial/")</f>
        <v>https://www.eluniversal.com.mx/opinion/ricardo-homs/la-tombola-judicial/</v>
      </c>
      <c r="Z331" t="s">
        <v>1136</v>
      </c>
      <c r="AA331" t="s">
        <v>506</v>
      </c>
      <c r="AD331" s="77" t="s">
        <v>1366</v>
      </c>
      <c r="AE331" t="s">
        <v>1385</v>
      </c>
      <c r="AF331" s="78" t="str">
        <f>HYPERLINK("https://twitter.com/benignopf/status/1819961951641841717")</f>
        <v>https://twitter.com/benignopf/status/1819961951641841717</v>
      </c>
      <c r="AG331" s="76">
        <v>45508.209687499999</v>
      </c>
      <c r="AH331" s="80">
        <v>45508</v>
      </c>
      <c r="AI331" s="77" t="s">
        <v>1462</v>
      </c>
      <c r="AJ331" t="b">
        <v>0</v>
      </c>
      <c r="AW331" s="78" t="str">
        <f>HYPERLINK("https://pbs.twimg.com/profile_images/477659492587278337/OjBEBRZw_normal.jpeg")</f>
        <v>https://pbs.twimg.com/profile_images/477659492587278337/OjBEBRZw_normal.jpeg</v>
      </c>
      <c r="AX331" s="77" t="s">
        <v>1946</v>
      </c>
      <c r="AY331" s="77" t="s">
        <v>1946</v>
      </c>
      <c r="BA331" s="77" t="s">
        <v>2494</v>
      </c>
      <c r="BB331" s="77" t="s">
        <v>2494</v>
      </c>
      <c r="BC331" s="77" t="s">
        <v>2494</v>
      </c>
      <c r="BD331" s="77" t="s">
        <v>1946</v>
      </c>
      <c r="BE331">
        <v>195998422</v>
      </c>
      <c r="BK331" s="112" t="str">
        <f>REPLACE(INDEX(GroupVertices[Group], MATCH("~"&amp;Edges[[#This Row],[Vertex 1]],GroupVertices[Vertex],0)),1,1,"")</f>
        <v>4</v>
      </c>
      <c r="BL331" s="112" t="str">
        <f>REPLACE(INDEX(GroupVertices[Group], MATCH("~"&amp;Edges[[#This Row],[Vertex 2]],GroupVertices[Vertex],0)),1,1,"")</f>
        <v>4</v>
      </c>
    </row>
    <row r="332" spans="1:64" x14ac:dyDescent="0.25">
      <c r="A332" s="61" t="s">
        <v>292</v>
      </c>
      <c r="B332" s="61" t="s">
        <v>571</v>
      </c>
      <c r="C332" s="62"/>
      <c r="D332" s="63"/>
      <c r="E332" s="64"/>
      <c r="F332" s="65"/>
      <c r="G332" s="62"/>
      <c r="H332" s="66"/>
      <c r="I332" s="67"/>
      <c r="J332" s="67"/>
      <c r="K332" s="31"/>
      <c r="L332" s="75">
        <v>332</v>
      </c>
      <c r="M332"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32" s="69"/>
      <c r="O332" t="s">
        <v>701</v>
      </c>
      <c r="P332" s="76">
        <v>45505.697118055556</v>
      </c>
      <c r="Q332" t="s">
        <v>805</v>
      </c>
      <c r="R332" t="b">
        <v>0</v>
      </c>
      <c r="S332">
        <v>0</v>
      </c>
      <c r="T332">
        <v>0</v>
      </c>
      <c r="U332">
        <v>0</v>
      </c>
      <c r="V332">
        <v>0</v>
      </c>
      <c r="W332">
        <v>21</v>
      </c>
      <c r="AA332" t="s">
        <v>1228</v>
      </c>
      <c r="AD332" s="77" t="s">
        <v>1365</v>
      </c>
      <c r="AE332" t="s">
        <v>1385</v>
      </c>
      <c r="AF332" s="78" t="str">
        <f>HYPERLINK("https://twitter.com/atologocito1/status/1819051426389107089")</f>
        <v>https://twitter.com/atologocito1/status/1819051426389107089</v>
      </c>
      <c r="AG332" s="76">
        <v>45505.697118055556</v>
      </c>
      <c r="AH332" s="80">
        <v>45505</v>
      </c>
      <c r="AI332" s="77" t="s">
        <v>1487</v>
      </c>
      <c r="AK332" t="s">
        <v>1767</v>
      </c>
      <c r="AL332" t="s">
        <v>1769</v>
      </c>
      <c r="AM332" t="s">
        <v>1770</v>
      </c>
      <c r="AN332" t="s">
        <v>1771</v>
      </c>
      <c r="AO332" t="s">
        <v>1773</v>
      </c>
      <c r="AP332" t="s">
        <v>1775</v>
      </c>
      <c r="AQ332" t="s">
        <v>1777</v>
      </c>
      <c r="AW332" s="78" t="str">
        <f>HYPERLINK("https://pbs.twimg.com/profile_images/1497222336470298628/AOSxZ6NT_normal.jpg")</f>
        <v>https://pbs.twimg.com/profile_images/1497222336470298628/AOSxZ6NT_normal.jpg</v>
      </c>
      <c r="AX332" s="77" t="s">
        <v>1971</v>
      </c>
      <c r="AY332" s="77" t="s">
        <v>2249</v>
      </c>
      <c r="AZ332" s="77" t="s">
        <v>2414</v>
      </c>
      <c r="BA332" s="77" t="s">
        <v>2506</v>
      </c>
      <c r="BB332" s="77" t="s">
        <v>2494</v>
      </c>
      <c r="BC332" s="77" t="s">
        <v>2494</v>
      </c>
      <c r="BD332" s="77" t="s">
        <v>2506</v>
      </c>
      <c r="BE332" s="77" t="s">
        <v>2565</v>
      </c>
      <c r="BK332" s="112" t="str">
        <f>REPLACE(INDEX(GroupVertices[Group], MATCH("~"&amp;Edges[[#This Row],[Vertex 1]],GroupVertices[Vertex],0)),1,1,"")</f>
        <v>13</v>
      </c>
      <c r="BL332" s="112" t="str">
        <f>REPLACE(INDEX(GroupVertices[Group], MATCH("~"&amp;Edges[[#This Row],[Vertex 2]],GroupVertices[Vertex],0)),1,1,"")</f>
        <v>13</v>
      </c>
    </row>
    <row r="333" spans="1:64" x14ac:dyDescent="0.25">
      <c r="A333" s="61" t="s">
        <v>292</v>
      </c>
      <c r="B333" s="61" t="s">
        <v>501</v>
      </c>
      <c r="C333" s="62"/>
      <c r="D333" s="63"/>
      <c r="E333" s="64"/>
      <c r="F333" s="65"/>
      <c r="G333" s="62"/>
      <c r="H333" s="66"/>
      <c r="I333" s="67"/>
      <c r="J333" s="67"/>
      <c r="K333" s="31"/>
      <c r="L333" s="75">
        <v>333</v>
      </c>
      <c r="M333"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33" s="69"/>
      <c r="O333" t="s">
        <v>703</v>
      </c>
      <c r="P333" s="76">
        <v>45505.697118055556</v>
      </c>
      <c r="Q333" t="s">
        <v>805</v>
      </c>
      <c r="R333" t="b">
        <v>0</v>
      </c>
      <c r="S333">
        <v>0</v>
      </c>
      <c r="T333">
        <v>0</v>
      </c>
      <c r="U333">
        <v>0</v>
      </c>
      <c r="V333">
        <v>0</v>
      </c>
      <c r="W333">
        <v>21</v>
      </c>
      <c r="AA333" t="s">
        <v>1228</v>
      </c>
      <c r="AD333" s="77" t="s">
        <v>1365</v>
      </c>
      <c r="AE333" t="s">
        <v>1385</v>
      </c>
      <c r="AF333" s="78" t="str">
        <f>HYPERLINK("https://twitter.com/atologocito1/status/1819051426389107089")</f>
        <v>https://twitter.com/atologocito1/status/1819051426389107089</v>
      </c>
      <c r="AG333" s="76">
        <v>45505.697118055556</v>
      </c>
      <c r="AH333" s="80">
        <v>45505</v>
      </c>
      <c r="AI333" s="77" t="s">
        <v>1487</v>
      </c>
      <c r="AK333" t="s">
        <v>1767</v>
      </c>
      <c r="AL333" t="s">
        <v>1769</v>
      </c>
      <c r="AM333" t="s">
        <v>1770</v>
      </c>
      <c r="AN333" t="s">
        <v>1771</v>
      </c>
      <c r="AO333" t="s">
        <v>1773</v>
      </c>
      <c r="AP333" t="s">
        <v>1775</v>
      </c>
      <c r="AQ333" t="s">
        <v>1777</v>
      </c>
      <c r="AW333" s="78" t="str">
        <f>HYPERLINK("https://pbs.twimg.com/profile_images/1497222336470298628/AOSxZ6NT_normal.jpg")</f>
        <v>https://pbs.twimg.com/profile_images/1497222336470298628/AOSxZ6NT_normal.jpg</v>
      </c>
      <c r="AX333" s="77" t="s">
        <v>1971</v>
      </c>
      <c r="AY333" s="77" t="s">
        <v>2249</v>
      </c>
      <c r="AZ333" s="77" t="s">
        <v>2414</v>
      </c>
      <c r="BA333" s="77" t="s">
        <v>2506</v>
      </c>
      <c r="BB333" s="77" t="s">
        <v>2494</v>
      </c>
      <c r="BC333" s="77" t="s">
        <v>2494</v>
      </c>
      <c r="BD333" s="77" t="s">
        <v>2506</v>
      </c>
      <c r="BE333" s="77" t="s">
        <v>2565</v>
      </c>
      <c r="BK333" s="112" t="str">
        <f>REPLACE(INDEX(GroupVertices[Group], MATCH("~"&amp;Edges[[#This Row],[Vertex 1]],GroupVertices[Vertex],0)),1,1,"")</f>
        <v>13</v>
      </c>
      <c r="BL333" s="112" t="str">
        <f>REPLACE(INDEX(GroupVertices[Group], MATCH("~"&amp;Edges[[#This Row],[Vertex 2]],GroupVertices[Vertex],0)),1,1,"")</f>
        <v>13</v>
      </c>
    </row>
    <row r="334" spans="1:64" x14ac:dyDescent="0.25">
      <c r="A334" s="61" t="s">
        <v>433</v>
      </c>
      <c r="B334" s="61" t="s">
        <v>433</v>
      </c>
      <c r="C334" s="62"/>
      <c r="D334" s="63"/>
      <c r="E334" s="64"/>
      <c r="F334" s="65"/>
      <c r="G334" s="62"/>
      <c r="H334" s="66"/>
      <c r="I334" s="67"/>
      <c r="J334" s="67"/>
      <c r="K334" s="31"/>
      <c r="L334" s="75">
        <v>334</v>
      </c>
      <c r="M334"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34" s="69"/>
      <c r="O334" t="s">
        <v>177</v>
      </c>
      <c r="P334" s="76">
        <v>45508.789270833331</v>
      </c>
      <c r="Q334" t="s">
        <v>1008</v>
      </c>
      <c r="R334" t="b">
        <v>0</v>
      </c>
      <c r="S334">
        <v>0</v>
      </c>
      <c r="T334">
        <v>0</v>
      </c>
      <c r="U334">
        <v>0</v>
      </c>
      <c r="V334">
        <v>0</v>
      </c>
      <c r="W334">
        <v>21</v>
      </c>
      <c r="Y334" s="78" t="str">
        <f>HYPERLINK("https://pacificotelevisionhd.cl/?p=20715")</f>
        <v>https://pacificotelevisionhd.cl/?p=20715</v>
      </c>
      <c r="Z334" t="s">
        <v>1190</v>
      </c>
      <c r="AB334" t="s">
        <v>1338</v>
      </c>
      <c r="AC334" t="s">
        <v>1359</v>
      </c>
      <c r="AD334" s="77" t="s">
        <v>1367</v>
      </c>
      <c r="AE334" t="s">
        <v>1385</v>
      </c>
      <c r="AF334" s="78" t="str">
        <f>HYPERLINK("https://twitter.com/pacifico_tv/status/1820171986166817132")</f>
        <v>https://twitter.com/pacifico_tv/status/1820171986166817132</v>
      </c>
      <c r="AG334" s="76">
        <v>45508.789270833331</v>
      </c>
      <c r="AH334" s="80">
        <v>45508</v>
      </c>
      <c r="AI334" s="77" t="s">
        <v>1686</v>
      </c>
      <c r="AJ334" t="b">
        <v>0</v>
      </c>
      <c r="AR334" t="s">
        <v>1851</v>
      </c>
      <c r="AW334" s="78" t="str">
        <f>HYPERLINK("https://pbs.twimg.com/media/GUKMvflXAAEeXwq.jpg")</f>
        <v>https://pbs.twimg.com/media/GUKMvflXAAEeXwq.jpg</v>
      </c>
      <c r="AX334" s="77" t="s">
        <v>2174</v>
      </c>
      <c r="AY334" s="77" t="s">
        <v>2174</v>
      </c>
      <c r="BA334" s="77" t="s">
        <v>2494</v>
      </c>
      <c r="BB334" s="77" t="s">
        <v>2494</v>
      </c>
      <c r="BC334" s="77" t="s">
        <v>2494</v>
      </c>
      <c r="BD334" s="77" t="s">
        <v>2174</v>
      </c>
      <c r="BE334">
        <v>201774528</v>
      </c>
      <c r="BK334" s="112" t="str">
        <f>REPLACE(INDEX(GroupVertices[Group], MATCH("~"&amp;Edges[[#This Row],[Vertex 1]],GroupVertices[Vertex],0)),1,1,"")</f>
        <v>118</v>
      </c>
      <c r="BL334" s="112" t="str">
        <f>REPLACE(INDEX(GroupVertices[Group], MATCH("~"&amp;Edges[[#This Row],[Vertex 2]],GroupVertices[Vertex],0)),1,1,"")</f>
        <v>118</v>
      </c>
    </row>
    <row r="335" spans="1:64" x14ac:dyDescent="0.25">
      <c r="A335" s="61" t="s">
        <v>458</v>
      </c>
      <c r="B335" s="61" t="s">
        <v>506</v>
      </c>
      <c r="C335" s="62"/>
      <c r="D335" s="63"/>
      <c r="E335" s="64"/>
      <c r="F335" s="65"/>
      <c r="G335" s="62"/>
      <c r="H335" s="66"/>
      <c r="I335" s="67"/>
      <c r="J335" s="67"/>
      <c r="K335" s="31"/>
      <c r="L335" s="75">
        <v>335</v>
      </c>
      <c r="M335"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35" s="69"/>
      <c r="O335" t="s">
        <v>702</v>
      </c>
      <c r="P335" s="76">
        <v>45507.641527777778</v>
      </c>
      <c r="Q335" t="s">
        <v>1035</v>
      </c>
      <c r="R335" t="b">
        <v>0</v>
      </c>
      <c r="S335">
        <v>0</v>
      </c>
      <c r="T335">
        <v>0</v>
      </c>
      <c r="U335">
        <v>0</v>
      </c>
      <c r="V335">
        <v>0</v>
      </c>
      <c r="W335">
        <v>21</v>
      </c>
      <c r="Y335" s="78" t="str">
        <f>HYPERLINK("https://www.eluniversal.com.mx/opinion/ricardo-homs/la-tombola-judicial/")</f>
        <v>https://www.eluniversal.com.mx/opinion/ricardo-homs/la-tombola-judicial/</v>
      </c>
      <c r="Z335" t="s">
        <v>1136</v>
      </c>
      <c r="AA335" t="s">
        <v>1234</v>
      </c>
      <c r="AD335" s="77" t="s">
        <v>1366</v>
      </c>
      <c r="AE335" t="s">
        <v>1385</v>
      </c>
      <c r="AF335" s="78" t="str">
        <f>HYPERLINK("https://twitter.com/fdodiaznaranjo/status/1819756057234964656")</f>
        <v>https://twitter.com/fdodiaznaranjo/status/1819756057234964656</v>
      </c>
      <c r="AG335" s="76">
        <v>45507.641527777778</v>
      </c>
      <c r="AH335" s="80">
        <v>45507</v>
      </c>
      <c r="AI335" s="77" t="s">
        <v>1713</v>
      </c>
      <c r="AJ335" t="b">
        <v>0</v>
      </c>
      <c r="AW335" s="78" t="str">
        <f>HYPERLINK("https://pbs.twimg.com/profile_images/1699224164614516736/qLQAPeEx_normal.jpg")</f>
        <v>https://pbs.twimg.com/profile_images/1699224164614516736/qLQAPeEx_normal.jpg</v>
      </c>
      <c r="AX335" s="77" t="s">
        <v>2201</v>
      </c>
      <c r="AY335" s="77" t="s">
        <v>2201</v>
      </c>
      <c r="BA335" s="77" t="s">
        <v>2494</v>
      </c>
      <c r="BB335" s="77" t="s">
        <v>2494</v>
      </c>
      <c r="BC335" s="77" t="s">
        <v>2494</v>
      </c>
      <c r="BD335" s="77" t="s">
        <v>2201</v>
      </c>
      <c r="BE335">
        <v>183688780</v>
      </c>
      <c r="BK335" s="112" t="str">
        <f>REPLACE(INDEX(GroupVertices[Group], MATCH("~"&amp;Edges[[#This Row],[Vertex 1]],GroupVertices[Vertex],0)),1,1,"")</f>
        <v>4</v>
      </c>
      <c r="BL335" s="112" t="str">
        <f>REPLACE(INDEX(GroupVertices[Group], MATCH("~"&amp;Edges[[#This Row],[Vertex 2]],GroupVertices[Vertex],0)),1,1,"")</f>
        <v>4</v>
      </c>
    </row>
    <row r="336" spans="1:64" x14ac:dyDescent="0.25">
      <c r="A336" s="61" t="s">
        <v>458</v>
      </c>
      <c r="B336" s="61" t="s">
        <v>587</v>
      </c>
      <c r="C336" s="62"/>
      <c r="D336" s="63"/>
      <c r="E336" s="64"/>
      <c r="F336" s="65"/>
      <c r="G336" s="62"/>
      <c r="H336" s="66"/>
      <c r="I336" s="67"/>
      <c r="J336" s="67"/>
      <c r="K336" s="31"/>
      <c r="L336" s="75">
        <v>336</v>
      </c>
      <c r="M336"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36" s="69"/>
      <c r="O336" t="s">
        <v>702</v>
      </c>
      <c r="P336" s="76">
        <v>45507.641527777778</v>
      </c>
      <c r="Q336" t="s">
        <v>1035</v>
      </c>
      <c r="R336" t="b">
        <v>0</v>
      </c>
      <c r="S336">
        <v>0</v>
      </c>
      <c r="T336">
        <v>0</v>
      </c>
      <c r="U336">
        <v>0</v>
      </c>
      <c r="V336">
        <v>0</v>
      </c>
      <c r="W336">
        <v>21</v>
      </c>
      <c r="Y336" s="78" t="str">
        <f>HYPERLINK("https://www.eluniversal.com.mx/opinion/ricardo-homs/la-tombola-judicial/")</f>
        <v>https://www.eluniversal.com.mx/opinion/ricardo-homs/la-tombola-judicial/</v>
      </c>
      <c r="Z336" t="s">
        <v>1136</v>
      </c>
      <c r="AA336" t="s">
        <v>1234</v>
      </c>
      <c r="AD336" s="77" t="s">
        <v>1366</v>
      </c>
      <c r="AE336" t="s">
        <v>1385</v>
      </c>
      <c r="AF336" s="78" t="str">
        <f>HYPERLINK("https://twitter.com/fdodiaznaranjo/status/1819756057234964656")</f>
        <v>https://twitter.com/fdodiaznaranjo/status/1819756057234964656</v>
      </c>
      <c r="AG336" s="76">
        <v>45507.641527777778</v>
      </c>
      <c r="AH336" s="80">
        <v>45507</v>
      </c>
      <c r="AI336" s="77" t="s">
        <v>1713</v>
      </c>
      <c r="AJ336" t="b">
        <v>0</v>
      </c>
      <c r="AW336" s="78" t="str">
        <f>HYPERLINK("https://pbs.twimg.com/profile_images/1699224164614516736/qLQAPeEx_normal.jpg")</f>
        <v>https://pbs.twimg.com/profile_images/1699224164614516736/qLQAPeEx_normal.jpg</v>
      </c>
      <c r="AX336" s="77" t="s">
        <v>2201</v>
      </c>
      <c r="AY336" s="77" t="s">
        <v>2201</v>
      </c>
      <c r="BA336" s="77" t="s">
        <v>2494</v>
      </c>
      <c r="BB336" s="77" t="s">
        <v>2494</v>
      </c>
      <c r="BC336" s="77" t="s">
        <v>2494</v>
      </c>
      <c r="BD336" s="77" t="s">
        <v>2201</v>
      </c>
      <c r="BE336">
        <v>183688780</v>
      </c>
      <c r="BK336" s="112" t="str">
        <f>REPLACE(INDEX(GroupVertices[Group], MATCH("~"&amp;Edges[[#This Row],[Vertex 1]],GroupVertices[Vertex],0)),1,1,"")</f>
        <v>4</v>
      </c>
      <c r="BL336" s="112" t="str">
        <f>REPLACE(INDEX(GroupVertices[Group], MATCH("~"&amp;Edges[[#This Row],[Vertex 2]],GroupVertices[Vertex],0)),1,1,"")</f>
        <v>4</v>
      </c>
    </row>
    <row r="337" spans="1:64" x14ac:dyDescent="0.25">
      <c r="A337" s="61" t="s">
        <v>310</v>
      </c>
      <c r="B337" s="61" t="s">
        <v>589</v>
      </c>
      <c r="C337" s="62"/>
      <c r="D337" s="63"/>
      <c r="E337" s="64"/>
      <c r="F337" s="65"/>
      <c r="G337" s="62"/>
      <c r="H337" s="66"/>
      <c r="I337" s="67"/>
      <c r="J337" s="67"/>
      <c r="K337" s="31"/>
      <c r="L337" s="75">
        <v>337</v>
      </c>
      <c r="M337"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37" s="69"/>
      <c r="O337" t="s">
        <v>701</v>
      </c>
      <c r="P337" s="76">
        <v>45510.334560185183</v>
      </c>
      <c r="Q337" t="s">
        <v>860</v>
      </c>
      <c r="R337" t="b">
        <v>0</v>
      </c>
      <c r="S337">
        <v>1</v>
      </c>
      <c r="T337">
        <v>2</v>
      </c>
      <c r="U337">
        <v>0</v>
      </c>
      <c r="V337">
        <v>0</v>
      </c>
      <c r="W337">
        <v>20</v>
      </c>
      <c r="AA337" t="s">
        <v>589</v>
      </c>
      <c r="AD337" s="77" t="s">
        <v>1367</v>
      </c>
      <c r="AE337" t="s">
        <v>1385</v>
      </c>
      <c r="AF337" s="78" t="str">
        <f>HYPERLINK("https://twitter.com/ninodecat/status/1820731981602116019")</f>
        <v>https://twitter.com/ninodecat/status/1820731981602116019</v>
      </c>
      <c r="AG337" s="76">
        <v>45510.334560185183</v>
      </c>
      <c r="AH337" s="80">
        <v>45510</v>
      </c>
      <c r="AI337" s="77" t="s">
        <v>1541</v>
      </c>
      <c r="AW337" s="78" t="str">
        <f>HYPERLINK("https://pbs.twimg.com/profile_images/1611495102915936257/lyo2mqOU_normal.jpg")</f>
        <v>https://pbs.twimg.com/profile_images/1611495102915936257/lyo2mqOU_normal.jpg</v>
      </c>
      <c r="AX337" s="77" t="s">
        <v>2026</v>
      </c>
      <c r="AY337" s="77" t="s">
        <v>2303</v>
      </c>
      <c r="AZ337" s="77" t="s">
        <v>2423</v>
      </c>
      <c r="BA337" s="77" t="s">
        <v>2303</v>
      </c>
      <c r="BB337" s="77" t="s">
        <v>2494</v>
      </c>
      <c r="BC337" s="77" t="s">
        <v>2494</v>
      </c>
      <c r="BD337" s="77" t="s">
        <v>2303</v>
      </c>
      <c r="BE337">
        <v>382700029</v>
      </c>
      <c r="BK337" s="112" t="str">
        <f>REPLACE(INDEX(GroupVertices[Group], MATCH("~"&amp;Edges[[#This Row],[Vertex 1]],GroupVertices[Vertex],0)),1,1,"")</f>
        <v>68</v>
      </c>
      <c r="BL337" s="112" t="str">
        <f>REPLACE(INDEX(GroupVertices[Group], MATCH("~"&amp;Edges[[#This Row],[Vertex 2]],GroupVertices[Vertex],0)),1,1,"")</f>
        <v>68</v>
      </c>
    </row>
    <row r="338" spans="1:64" x14ac:dyDescent="0.25">
      <c r="A338" s="61" t="s">
        <v>385</v>
      </c>
      <c r="B338" s="61" t="s">
        <v>641</v>
      </c>
      <c r="C338" s="62"/>
      <c r="D338" s="63"/>
      <c r="E338" s="64"/>
      <c r="F338" s="65"/>
      <c r="G338" s="62"/>
      <c r="H338" s="66"/>
      <c r="I338" s="67"/>
      <c r="J338" s="67"/>
      <c r="K338" s="31"/>
      <c r="L338" s="75">
        <v>338</v>
      </c>
      <c r="M338"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38" s="69"/>
      <c r="O338" t="s">
        <v>703</v>
      </c>
      <c r="P338" s="76">
        <v>45505.651689814818</v>
      </c>
      <c r="Q338" t="s">
        <v>949</v>
      </c>
      <c r="R338" t="b">
        <v>0</v>
      </c>
      <c r="S338">
        <v>0</v>
      </c>
      <c r="T338">
        <v>2</v>
      </c>
      <c r="U338">
        <v>0</v>
      </c>
      <c r="V338">
        <v>0</v>
      </c>
      <c r="W338">
        <v>20</v>
      </c>
      <c r="AA338" t="s">
        <v>1245</v>
      </c>
      <c r="AD338" s="77" t="s">
        <v>1365</v>
      </c>
      <c r="AE338" t="s">
        <v>1385</v>
      </c>
      <c r="AF338" s="78" t="str">
        <f>HYPERLINK("https://twitter.com/ramirodaniel_/status/1819034965431988520")</f>
        <v>https://twitter.com/ramirodaniel_/status/1819034965431988520</v>
      </c>
      <c r="AG338" s="76">
        <v>45505.651689814818</v>
      </c>
      <c r="AH338" s="80">
        <v>45505</v>
      </c>
      <c r="AI338" s="77" t="s">
        <v>1629</v>
      </c>
      <c r="AW338" s="78" t="str">
        <f>HYPERLINK("https://pbs.twimg.com/profile_images/1881285387382853632/wyInioZ5_normal.jpg")</f>
        <v>https://pbs.twimg.com/profile_images/1881285387382853632/wyInioZ5_normal.jpg</v>
      </c>
      <c r="AX338" s="77" t="s">
        <v>2115</v>
      </c>
      <c r="AY338" s="77" t="s">
        <v>2331</v>
      </c>
      <c r="AZ338" s="77" t="s">
        <v>2450</v>
      </c>
      <c r="BA338" s="77" t="s">
        <v>2517</v>
      </c>
      <c r="BB338" s="77" t="s">
        <v>2494</v>
      </c>
      <c r="BC338" s="77" t="s">
        <v>2494</v>
      </c>
      <c r="BD338" s="77" t="s">
        <v>2517</v>
      </c>
      <c r="BE338">
        <v>408130371</v>
      </c>
      <c r="BK338" s="112" t="str">
        <f>REPLACE(INDEX(GroupVertices[Group], MATCH("~"&amp;Edges[[#This Row],[Vertex 1]],GroupVertices[Vertex],0)),1,1,"")</f>
        <v>21</v>
      </c>
      <c r="BL338" s="112" t="str">
        <f>REPLACE(INDEX(GroupVertices[Group], MATCH("~"&amp;Edges[[#This Row],[Vertex 2]],GroupVertices[Vertex],0)),1,1,"")</f>
        <v>21</v>
      </c>
    </row>
    <row r="339" spans="1:64" x14ac:dyDescent="0.25">
      <c r="A339" s="61" t="s">
        <v>385</v>
      </c>
      <c r="B339" s="61" t="s">
        <v>642</v>
      </c>
      <c r="C339" s="62"/>
      <c r="D339" s="63"/>
      <c r="E339" s="64"/>
      <c r="F339" s="65"/>
      <c r="G339" s="62"/>
      <c r="H339" s="66"/>
      <c r="I339" s="67"/>
      <c r="J339" s="67"/>
      <c r="K339" s="31"/>
      <c r="L339" s="75">
        <v>339</v>
      </c>
      <c r="M339"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39" s="69"/>
      <c r="O339" t="s">
        <v>703</v>
      </c>
      <c r="P339" s="76">
        <v>45505.651689814818</v>
      </c>
      <c r="Q339" t="s">
        <v>949</v>
      </c>
      <c r="R339" t="b">
        <v>0</v>
      </c>
      <c r="S339">
        <v>0</v>
      </c>
      <c r="T339">
        <v>2</v>
      </c>
      <c r="U339">
        <v>0</v>
      </c>
      <c r="V339">
        <v>0</v>
      </c>
      <c r="W339">
        <v>20</v>
      </c>
      <c r="AA339" t="s">
        <v>1245</v>
      </c>
      <c r="AD339" s="77" t="s">
        <v>1365</v>
      </c>
      <c r="AE339" t="s">
        <v>1385</v>
      </c>
      <c r="AF339" s="78" t="str">
        <f>HYPERLINK("https://twitter.com/ramirodaniel_/status/1819034965431988520")</f>
        <v>https://twitter.com/ramirodaniel_/status/1819034965431988520</v>
      </c>
      <c r="AG339" s="76">
        <v>45505.651689814818</v>
      </c>
      <c r="AH339" s="80">
        <v>45505</v>
      </c>
      <c r="AI339" s="77" t="s">
        <v>1629</v>
      </c>
      <c r="AW339" s="78" t="str">
        <f>HYPERLINK("https://pbs.twimg.com/profile_images/1881285387382853632/wyInioZ5_normal.jpg")</f>
        <v>https://pbs.twimg.com/profile_images/1881285387382853632/wyInioZ5_normal.jpg</v>
      </c>
      <c r="AX339" s="77" t="s">
        <v>2115</v>
      </c>
      <c r="AY339" s="77" t="s">
        <v>2331</v>
      </c>
      <c r="AZ339" s="77" t="s">
        <v>2450</v>
      </c>
      <c r="BA339" s="77" t="s">
        <v>2517</v>
      </c>
      <c r="BB339" s="77" t="s">
        <v>2494</v>
      </c>
      <c r="BC339" s="77" t="s">
        <v>2494</v>
      </c>
      <c r="BD339" s="77" t="s">
        <v>2517</v>
      </c>
      <c r="BE339">
        <v>408130371</v>
      </c>
      <c r="BK339" s="112" t="str">
        <f>REPLACE(INDEX(GroupVertices[Group], MATCH("~"&amp;Edges[[#This Row],[Vertex 1]],GroupVertices[Vertex],0)),1,1,"")</f>
        <v>21</v>
      </c>
      <c r="BL339" s="112" t="str">
        <f>REPLACE(INDEX(GroupVertices[Group], MATCH("~"&amp;Edges[[#This Row],[Vertex 2]],GroupVertices[Vertex],0)),1,1,"")</f>
        <v>21</v>
      </c>
    </row>
    <row r="340" spans="1:64" x14ac:dyDescent="0.25">
      <c r="A340" s="61" t="s">
        <v>385</v>
      </c>
      <c r="B340" s="61" t="s">
        <v>643</v>
      </c>
      <c r="C340" s="62"/>
      <c r="D340" s="63"/>
      <c r="E340" s="64"/>
      <c r="F340" s="65"/>
      <c r="G340" s="62"/>
      <c r="H340" s="66"/>
      <c r="I340" s="67"/>
      <c r="J340" s="67"/>
      <c r="K340" s="31"/>
      <c r="L340" s="75">
        <v>340</v>
      </c>
      <c r="M340"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40" s="69"/>
      <c r="O340" t="s">
        <v>701</v>
      </c>
      <c r="P340" s="76">
        <v>45505.651689814818</v>
      </c>
      <c r="Q340" t="s">
        <v>949</v>
      </c>
      <c r="R340" t="b">
        <v>0</v>
      </c>
      <c r="S340">
        <v>0</v>
      </c>
      <c r="T340">
        <v>2</v>
      </c>
      <c r="U340">
        <v>0</v>
      </c>
      <c r="V340">
        <v>0</v>
      </c>
      <c r="W340">
        <v>20</v>
      </c>
      <c r="AA340" t="s">
        <v>1245</v>
      </c>
      <c r="AD340" s="77" t="s">
        <v>1365</v>
      </c>
      <c r="AE340" t="s">
        <v>1385</v>
      </c>
      <c r="AF340" s="78" t="str">
        <f>HYPERLINK("https://twitter.com/ramirodaniel_/status/1819034965431988520")</f>
        <v>https://twitter.com/ramirodaniel_/status/1819034965431988520</v>
      </c>
      <c r="AG340" s="76">
        <v>45505.651689814818</v>
      </c>
      <c r="AH340" s="80">
        <v>45505</v>
      </c>
      <c r="AI340" s="77" t="s">
        <v>1629</v>
      </c>
      <c r="AW340" s="78" t="str">
        <f>HYPERLINK("https://pbs.twimg.com/profile_images/1881285387382853632/wyInioZ5_normal.jpg")</f>
        <v>https://pbs.twimg.com/profile_images/1881285387382853632/wyInioZ5_normal.jpg</v>
      </c>
      <c r="AX340" s="77" t="s">
        <v>2115</v>
      </c>
      <c r="AY340" s="77" t="s">
        <v>2331</v>
      </c>
      <c r="AZ340" s="77" t="s">
        <v>2450</v>
      </c>
      <c r="BA340" s="77" t="s">
        <v>2517</v>
      </c>
      <c r="BB340" s="77" t="s">
        <v>2494</v>
      </c>
      <c r="BC340" s="77" t="s">
        <v>2494</v>
      </c>
      <c r="BD340" s="77" t="s">
        <v>2517</v>
      </c>
      <c r="BE340">
        <v>408130371</v>
      </c>
      <c r="BK340" s="112" t="str">
        <f>REPLACE(INDEX(GroupVertices[Group], MATCH("~"&amp;Edges[[#This Row],[Vertex 1]],GroupVertices[Vertex],0)),1,1,"")</f>
        <v>21</v>
      </c>
      <c r="BL340" s="112" t="str">
        <f>REPLACE(INDEX(GroupVertices[Group], MATCH("~"&amp;Edges[[#This Row],[Vertex 2]],GroupVertices[Vertex],0)),1,1,"")</f>
        <v>21</v>
      </c>
    </row>
    <row r="341" spans="1:64" x14ac:dyDescent="0.25">
      <c r="A341" s="61" t="s">
        <v>432</v>
      </c>
      <c r="B341" s="61" t="s">
        <v>676</v>
      </c>
      <c r="C341" s="62"/>
      <c r="D341" s="63"/>
      <c r="E341" s="64"/>
      <c r="F341" s="65"/>
      <c r="G341" s="62"/>
      <c r="H341" s="66"/>
      <c r="I341" s="67"/>
      <c r="J341" s="67"/>
      <c r="K341" s="31"/>
      <c r="L341" s="75">
        <v>341</v>
      </c>
      <c r="M341"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41" s="69"/>
      <c r="O341" t="s">
        <v>701</v>
      </c>
      <c r="P341" s="76">
        <v>45506.73946759259</v>
      </c>
      <c r="Q341" t="s">
        <v>1007</v>
      </c>
      <c r="R341" t="b">
        <v>0</v>
      </c>
      <c r="S341">
        <v>0</v>
      </c>
      <c r="T341">
        <v>0</v>
      </c>
      <c r="U341">
        <v>0</v>
      </c>
      <c r="V341">
        <v>0</v>
      </c>
      <c r="W341">
        <v>20</v>
      </c>
      <c r="AA341" t="s">
        <v>676</v>
      </c>
      <c r="AD341" s="77" t="s">
        <v>1366</v>
      </c>
      <c r="AE341" t="s">
        <v>1385</v>
      </c>
      <c r="AF341" s="78" t="str">
        <f>HYPERLINK("https://twitter.com/garcinuno91/status/1819429165067538740")</f>
        <v>https://twitter.com/garcinuno91/status/1819429165067538740</v>
      </c>
      <c r="AG341" s="76">
        <v>45506.73946759259</v>
      </c>
      <c r="AH341" s="80">
        <v>45506</v>
      </c>
      <c r="AI341" s="77" t="s">
        <v>1685</v>
      </c>
      <c r="AW341" s="78" t="str">
        <f>HYPERLINK("https://pbs.twimg.com/profile_images/1633459104935976960/NJQTYisi_normal.jpg")</f>
        <v>https://pbs.twimg.com/profile_images/1633459104935976960/NJQTYisi_normal.jpg</v>
      </c>
      <c r="AX341" s="77" t="s">
        <v>2173</v>
      </c>
      <c r="AY341" s="77" t="s">
        <v>2348</v>
      </c>
      <c r="AZ341" s="77" t="s">
        <v>2470</v>
      </c>
      <c r="BA341" s="77" t="s">
        <v>2348</v>
      </c>
      <c r="BB341" s="77" t="s">
        <v>2494</v>
      </c>
      <c r="BC341" s="77" t="s">
        <v>2494</v>
      </c>
      <c r="BD341" s="77" t="s">
        <v>2348</v>
      </c>
      <c r="BE341" s="77" t="s">
        <v>2616</v>
      </c>
      <c r="BK341" s="112" t="str">
        <f>REPLACE(INDEX(GroupVertices[Group], MATCH("~"&amp;Edges[[#This Row],[Vertex 1]],GroupVertices[Vertex],0)),1,1,"")</f>
        <v>67</v>
      </c>
      <c r="BL341" s="112" t="str">
        <f>REPLACE(INDEX(GroupVertices[Group], MATCH("~"&amp;Edges[[#This Row],[Vertex 2]],GroupVertices[Vertex],0)),1,1,"")</f>
        <v>67</v>
      </c>
    </row>
    <row r="342" spans="1:64" x14ac:dyDescent="0.25">
      <c r="A342" s="61" t="s">
        <v>245</v>
      </c>
      <c r="B342" s="61" t="s">
        <v>245</v>
      </c>
      <c r="C342" s="62"/>
      <c r="D342" s="63"/>
      <c r="E342" s="64"/>
      <c r="F342" s="65"/>
      <c r="G342" s="62"/>
      <c r="H342" s="66"/>
      <c r="I342" s="67"/>
      <c r="J342" s="67"/>
      <c r="K342" s="31"/>
      <c r="L342" s="75">
        <v>342</v>
      </c>
      <c r="M342"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42" s="69"/>
      <c r="O342" t="s">
        <v>177</v>
      </c>
      <c r="P342" s="76">
        <v>45506.558020833334</v>
      </c>
      <c r="Q342" t="s">
        <v>733</v>
      </c>
      <c r="R342" t="b">
        <v>0</v>
      </c>
      <c r="S342">
        <v>0</v>
      </c>
      <c r="T342">
        <v>1</v>
      </c>
      <c r="U342">
        <v>0</v>
      </c>
      <c r="V342">
        <v>0</v>
      </c>
      <c r="W342">
        <v>19</v>
      </c>
      <c r="AD342" s="77" t="s">
        <v>1365</v>
      </c>
      <c r="AE342" t="s">
        <v>1385</v>
      </c>
      <c r="AF342" s="78" t="str">
        <f>HYPERLINK("https://twitter.com/_la_tombola_/status/1819363407528710437")</f>
        <v>https://twitter.com/_la_tombola_/status/1819363407528710437</v>
      </c>
      <c r="AG342" s="76">
        <v>45506.558020833334</v>
      </c>
      <c r="AH342" s="80">
        <v>45506</v>
      </c>
      <c r="AI342" s="77" t="s">
        <v>1415</v>
      </c>
      <c r="AW342" s="78" t="str">
        <f>HYPERLINK("https://pbs.twimg.com/profile_images/1782904715967078400/BENjXW57_normal.jpg")</f>
        <v>https://pbs.twimg.com/profile_images/1782904715967078400/BENjXW57_normal.jpg</v>
      </c>
      <c r="AX342" s="77" t="s">
        <v>1899</v>
      </c>
      <c r="AY342" s="77" t="s">
        <v>1899</v>
      </c>
      <c r="BA342" s="77" t="s">
        <v>2494</v>
      </c>
      <c r="BB342" s="77" t="s">
        <v>2494</v>
      </c>
      <c r="BC342" s="77" t="s">
        <v>2494</v>
      </c>
      <c r="BD342" s="77" t="s">
        <v>1899</v>
      </c>
      <c r="BE342" s="77" t="s">
        <v>2542</v>
      </c>
      <c r="BK342" s="112" t="str">
        <f>REPLACE(INDEX(GroupVertices[Group], MATCH("~"&amp;Edges[[#This Row],[Vertex 1]],GroupVertices[Vertex],0)),1,1,"")</f>
        <v>144</v>
      </c>
      <c r="BL342" s="112" t="str">
        <f>REPLACE(INDEX(GroupVertices[Group], MATCH("~"&amp;Edges[[#This Row],[Vertex 2]],GroupVertices[Vertex],0)),1,1,"")</f>
        <v>144</v>
      </c>
    </row>
    <row r="343" spans="1:64" x14ac:dyDescent="0.25">
      <c r="A343" s="61" t="s">
        <v>266</v>
      </c>
      <c r="B343" s="61" t="s">
        <v>546</v>
      </c>
      <c r="C343" s="62"/>
      <c r="D343" s="63"/>
      <c r="E343" s="64"/>
      <c r="F343" s="65"/>
      <c r="G343" s="62"/>
      <c r="H343" s="66"/>
      <c r="I343" s="67"/>
      <c r="J343" s="67"/>
      <c r="K343" s="31"/>
      <c r="L343" s="75">
        <v>343</v>
      </c>
      <c r="M343"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43" s="69"/>
      <c r="O343" t="s">
        <v>701</v>
      </c>
      <c r="P343" s="76">
        <v>45506.809618055559</v>
      </c>
      <c r="Q343" t="s">
        <v>762</v>
      </c>
      <c r="R343" t="b">
        <v>0</v>
      </c>
      <c r="S343">
        <v>0</v>
      </c>
      <c r="T343">
        <v>0</v>
      </c>
      <c r="U343">
        <v>1</v>
      </c>
      <c r="V343">
        <v>0</v>
      </c>
      <c r="W343">
        <v>19</v>
      </c>
      <c r="AA343" t="s">
        <v>546</v>
      </c>
      <c r="AD343" s="77" t="s">
        <v>1367</v>
      </c>
      <c r="AE343" t="s">
        <v>1385</v>
      </c>
      <c r="AF343" s="78" t="str">
        <f>HYPERLINK("https://twitter.com/admisionescolar/status/1819454583477096935")</f>
        <v>https://twitter.com/admisionescolar/status/1819454583477096935</v>
      </c>
      <c r="AG343" s="76">
        <v>45506.809618055559</v>
      </c>
      <c r="AH343" s="80">
        <v>45506</v>
      </c>
      <c r="AI343" s="77" t="s">
        <v>1444</v>
      </c>
      <c r="AW343" s="78" t="str">
        <f>HYPERLINK("https://pbs.twimg.com/profile_images/1814702908295798784/D2-qs3dC_normal.jpg")</f>
        <v>https://pbs.twimg.com/profile_images/1814702908295798784/D2-qs3dC_normal.jpg</v>
      </c>
      <c r="AX343" s="77" t="s">
        <v>1928</v>
      </c>
      <c r="AY343" s="77" t="s">
        <v>2280</v>
      </c>
      <c r="AZ343" s="77" t="s">
        <v>2396</v>
      </c>
      <c r="BA343" s="77" t="s">
        <v>2280</v>
      </c>
      <c r="BB343" s="77" t="s">
        <v>2494</v>
      </c>
      <c r="BC343" s="77" t="s">
        <v>2494</v>
      </c>
      <c r="BD343" s="77" t="s">
        <v>2280</v>
      </c>
      <c r="BE343" s="77" t="s">
        <v>2553</v>
      </c>
      <c r="BK343" s="112" t="str">
        <f>REPLACE(INDEX(GroupVertices[Group], MATCH("~"&amp;Edges[[#This Row],[Vertex 1]],GroupVertices[Vertex],0)),1,1,"")</f>
        <v>5</v>
      </c>
      <c r="BL343" s="112" t="str">
        <f>REPLACE(INDEX(GroupVertices[Group], MATCH("~"&amp;Edges[[#This Row],[Vertex 2]],GroupVertices[Vertex],0)),1,1,"")</f>
        <v>5</v>
      </c>
    </row>
    <row r="344" spans="1:64" x14ac:dyDescent="0.25">
      <c r="A344" s="61" t="s">
        <v>334</v>
      </c>
      <c r="B344" s="61" t="s">
        <v>610</v>
      </c>
      <c r="C344" s="62"/>
      <c r="D344" s="63"/>
      <c r="E344" s="64"/>
      <c r="F344" s="65"/>
      <c r="G344" s="62"/>
      <c r="H344" s="66"/>
      <c r="I344" s="67"/>
      <c r="J344" s="67"/>
      <c r="K344" s="31"/>
      <c r="L344" s="75">
        <v>344</v>
      </c>
      <c r="M344"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44" s="69"/>
      <c r="O344" t="s">
        <v>701</v>
      </c>
      <c r="P344" s="76">
        <v>45505.288194444445</v>
      </c>
      <c r="Q344" t="s">
        <v>893</v>
      </c>
      <c r="R344" t="b">
        <v>0</v>
      </c>
      <c r="S344">
        <v>0</v>
      </c>
      <c r="T344">
        <v>1</v>
      </c>
      <c r="U344">
        <v>0</v>
      </c>
      <c r="V344">
        <v>0</v>
      </c>
      <c r="W344">
        <v>19</v>
      </c>
      <c r="AA344" t="s">
        <v>610</v>
      </c>
      <c r="AD344" s="77" t="s">
        <v>1365</v>
      </c>
      <c r="AE344" t="s">
        <v>1385</v>
      </c>
      <c r="AF344" s="78" t="str">
        <f>HYPERLINK("https://twitter.com/mdelacruz75/status/1818903238965330110")</f>
        <v>https://twitter.com/mdelacruz75/status/1818903238965330110</v>
      </c>
      <c r="AG344" s="76">
        <v>45505.288194444445</v>
      </c>
      <c r="AH344" s="80">
        <v>45505</v>
      </c>
      <c r="AI344" s="77" t="s">
        <v>1573</v>
      </c>
      <c r="AW344" s="78" t="str">
        <f>HYPERLINK("https://pbs.twimg.com/profile_images/1776352166418296832/mKoVQM0G_normal.jpg")</f>
        <v>https://pbs.twimg.com/profile_images/1776352166418296832/mKoVQM0G_normal.jpg</v>
      </c>
      <c r="AX344" s="77" t="s">
        <v>2059</v>
      </c>
      <c r="AY344" s="77" t="s">
        <v>2311</v>
      </c>
      <c r="AZ344" s="77" t="s">
        <v>2430</v>
      </c>
      <c r="BA344" s="77" t="s">
        <v>2311</v>
      </c>
      <c r="BB344" s="77" t="s">
        <v>2494</v>
      </c>
      <c r="BC344" s="77" t="s">
        <v>2494</v>
      </c>
      <c r="BD344" s="77" t="s">
        <v>2311</v>
      </c>
      <c r="BE344">
        <v>434354655</v>
      </c>
      <c r="BK344" s="112" t="str">
        <f>REPLACE(INDEX(GroupVertices[Group], MATCH("~"&amp;Edges[[#This Row],[Vertex 1]],GroupVertices[Vertex],0)),1,1,"")</f>
        <v>31</v>
      </c>
      <c r="BL344" s="112" t="str">
        <f>REPLACE(INDEX(GroupVertices[Group], MATCH("~"&amp;Edges[[#This Row],[Vertex 2]],GroupVertices[Vertex],0)),1,1,"")</f>
        <v>31</v>
      </c>
    </row>
    <row r="345" spans="1:64" x14ac:dyDescent="0.25">
      <c r="A345" s="61" t="s">
        <v>420</v>
      </c>
      <c r="B345" s="61" t="s">
        <v>673</v>
      </c>
      <c r="C345" s="62"/>
      <c r="D345" s="63"/>
      <c r="E345" s="64"/>
      <c r="F345" s="65"/>
      <c r="G345" s="62"/>
      <c r="H345" s="66"/>
      <c r="I345" s="67"/>
      <c r="J345" s="67"/>
      <c r="K345" s="31"/>
      <c r="L345" s="75">
        <v>345</v>
      </c>
      <c r="M345"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45" s="69"/>
      <c r="O345" t="s">
        <v>703</v>
      </c>
      <c r="P345" s="76">
        <v>45509.522928240738</v>
      </c>
      <c r="Q345" t="s">
        <v>990</v>
      </c>
      <c r="R345" t="b">
        <v>0</v>
      </c>
      <c r="S345">
        <v>0</v>
      </c>
      <c r="T345">
        <v>1</v>
      </c>
      <c r="U345">
        <v>1</v>
      </c>
      <c r="V345">
        <v>0</v>
      </c>
      <c r="W345">
        <v>19</v>
      </c>
      <c r="AA345" t="s">
        <v>1256</v>
      </c>
      <c r="AD345" s="77" t="s">
        <v>1367</v>
      </c>
      <c r="AE345" t="s">
        <v>1385</v>
      </c>
      <c r="AF345" s="78" t="str">
        <f>HYPERLINK("https://twitter.com/takashidarko/status/1820437854712909863")</f>
        <v>https://twitter.com/takashidarko/status/1820437854712909863</v>
      </c>
      <c r="AG345" s="76">
        <v>45509.522928240738</v>
      </c>
      <c r="AH345" s="80">
        <v>45509</v>
      </c>
      <c r="AI345" s="77" t="s">
        <v>1670</v>
      </c>
      <c r="AW345" s="78" t="str">
        <f>HYPERLINK("https://pbs.twimg.com/profile_images/1733838798650277888/uPhbogLN_normal.jpg")</f>
        <v>https://pbs.twimg.com/profile_images/1733838798650277888/uPhbogLN_normal.jpg</v>
      </c>
      <c r="AX345" s="77" t="s">
        <v>2156</v>
      </c>
      <c r="AY345" s="77" t="s">
        <v>2346</v>
      </c>
      <c r="AZ345" s="77" t="s">
        <v>2467</v>
      </c>
      <c r="BA345" s="77" t="s">
        <v>2346</v>
      </c>
      <c r="BB345" s="77" t="s">
        <v>2494</v>
      </c>
      <c r="BC345" s="77" t="s">
        <v>2494</v>
      </c>
      <c r="BD345" s="77" t="s">
        <v>2346</v>
      </c>
      <c r="BE345" s="77" t="s">
        <v>2612</v>
      </c>
      <c r="BK345" s="112" t="str">
        <f>REPLACE(INDEX(GroupVertices[Group], MATCH("~"&amp;Edges[[#This Row],[Vertex 1]],GroupVertices[Vertex],0)),1,1,"")</f>
        <v>35</v>
      </c>
      <c r="BL345" s="112" t="str">
        <f>REPLACE(INDEX(GroupVertices[Group], MATCH("~"&amp;Edges[[#This Row],[Vertex 2]],GroupVertices[Vertex],0)),1,1,"")</f>
        <v>35</v>
      </c>
    </row>
    <row r="346" spans="1:64" x14ac:dyDescent="0.25">
      <c r="A346" s="61" t="s">
        <v>420</v>
      </c>
      <c r="B346" s="61" t="s">
        <v>674</v>
      </c>
      <c r="C346" s="62"/>
      <c r="D346" s="63"/>
      <c r="E346" s="64"/>
      <c r="F346" s="65"/>
      <c r="G346" s="62"/>
      <c r="H346" s="66"/>
      <c r="I346" s="67"/>
      <c r="J346" s="67"/>
      <c r="K346" s="31"/>
      <c r="L346" s="75">
        <v>346</v>
      </c>
      <c r="M346"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46" s="69"/>
      <c r="O346" t="s">
        <v>701</v>
      </c>
      <c r="P346" s="76">
        <v>45509.522928240738</v>
      </c>
      <c r="Q346" t="s">
        <v>990</v>
      </c>
      <c r="R346" t="b">
        <v>0</v>
      </c>
      <c r="S346">
        <v>0</v>
      </c>
      <c r="T346">
        <v>1</v>
      </c>
      <c r="U346">
        <v>1</v>
      </c>
      <c r="V346">
        <v>0</v>
      </c>
      <c r="W346">
        <v>19</v>
      </c>
      <c r="AA346" t="s">
        <v>1256</v>
      </c>
      <c r="AD346" s="77" t="s">
        <v>1367</v>
      </c>
      <c r="AE346" t="s">
        <v>1385</v>
      </c>
      <c r="AF346" s="78" t="str">
        <f>HYPERLINK("https://twitter.com/takashidarko/status/1820437854712909863")</f>
        <v>https://twitter.com/takashidarko/status/1820437854712909863</v>
      </c>
      <c r="AG346" s="76">
        <v>45509.522928240738</v>
      </c>
      <c r="AH346" s="80">
        <v>45509</v>
      </c>
      <c r="AI346" s="77" t="s">
        <v>1670</v>
      </c>
      <c r="AW346" s="78" t="str">
        <f>HYPERLINK("https://pbs.twimg.com/profile_images/1733838798650277888/uPhbogLN_normal.jpg")</f>
        <v>https://pbs.twimg.com/profile_images/1733838798650277888/uPhbogLN_normal.jpg</v>
      </c>
      <c r="AX346" s="77" t="s">
        <v>2156</v>
      </c>
      <c r="AY346" s="77" t="s">
        <v>2346</v>
      </c>
      <c r="AZ346" s="77" t="s">
        <v>2467</v>
      </c>
      <c r="BA346" s="77" t="s">
        <v>2346</v>
      </c>
      <c r="BB346" s="77" t="s">
        <v>2494</v>
      </c>
      <c r="BC346" s="77" t="s">
        <v>2494</v>
      </c>
      <c r="BD346" s="77" t="s">
        <v>2346</v>
      </c>
      <c r="BE346" s="77" t="s">
        <v>2612</v>
      </c>
      <c r="BK346" s="112" t="str">
        <f>REPLACE(INDEX(GroupVertices[Group], MATCH("~"&amp;Edges[[#This Row],[Vertex 1]],GroupVertices[Vertex],0)),1,1,"")</f>
        <v>35</v>
      </c>
      <c r="BL346" s="112" t="str">
        <f>REPLACE(INDEX(GroupVertices[Group], MATCH("~"&amp;Edges[[#This Row],[Vertex 2]],GroupVertices[Vertex],0)),1,1,"")</f>
        <v>35</v>
      </c>
    </row>
    <row r="347" spans="1:64" x14ac:dyDescent="0.25">
      <c r="A347" s="61" t="s">
        <v>421</v>
      </c>
      <c r="B347" s="61" t="s">
        <v>421</v>
      </c>
      <c r="C347" s="62"/>
      <c r="D347" s="63"/>
      <c r="E347" s="64"/>
      <c r="F347" s="65"/>
      <c r="G347" s="62"/>
      <c r="H347" s="66"/>
      <c r="I347" s="67"/>
      <c r="J347" s="67"/>
      <c r="K347" s="31"/>
      <c r="L347" s="75">
        <v>347</v>
      </c>
      <c r="M347"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47" s="69"/>
      <c r="O347" t="s">
        <v>177</v>
      </c>
      <c r="P347" s="76">
        <v>45506.044444444444</v>
      </c>
      <c r="Q347" t="s">
        <v>991</v>
      </c>
      <c r="R347" t="b">
        <v>0</v>
      </c>
      <c r="S347">
        <v>1</v>
      </c>
      <c r="T347">
        <v>2</v>
      </c>
      <c r="U347">
        <v>0</v>
      </c>
      <c r="V347">
        <v>0</v>
      </c>
      <c r="W347">
        <v>19</v>
      </c>
      <c r="X347" s="77" t="s">
        <v>1099</v>
      </c>
      <c r="Y347" s="78" t="str">
        <f>HYPERLINK("https://vm.tiktok.com/ZMrCWUYky/")</f>
        <v>https://vm.tiktok.com/ZMrCWUYky/</v>
      </c>
      <c r="Z347" t="s">
        <v>1149</v>
      </c>
      <c r="AD347" s="77" t="s">
        <v>1365</v>
      </c>
      <c r="AE347" t="s">
        <v>1385</v>
      </c>
      <c r="AF347" s="78" t="str">
        <f>HYPERLINK("https://twitter.com/antirreelexion/status/1819177296005083560")</f>
        <v>https://twitter.com/antirreelexion/status/1819177296005083560</v>
      </c>
      <c r="AG347" s="76">
        <v>45506.044444444444</v>
      </c>
      <c r="AH347" s="80">
        <v>45506</v>
      </c>
      <c r="AI347" s="77" t="s">
        <v>1671</v>
      </c>
      <c r="AJ347" t="b">
        <v>0</v>
      </c>
      <c r="AW347" s="78" t="str">
        <f>HYPERLINK("https://pbs.twimg.com/profile_images/1340328048810471425/tZ5ITgVx_normal.jpg")</f>
        <v>https://pbs.twimg.com/profile_images/1340328048810471425/tZ5ITgVx_normal.jpg</v>
      </c>
      <c r="AX347" s="77" t="s">
        <v>2157</v>
      </c>
      <c r="AY347" s="77" t="s">
        <v>2157</v>
      </c>
      <c r="BA347" s="77" t="s">
        <v>2494</v>
      </c>
      <c r="BB347" s="77" t="s">
        <v>2494</v>
      </c>
      <c r="BC347" s="77" t="s">
        <v>2494</v>
      </c>
      <c r="BD347" s="77" t="s">
        <v>2157</v>
      </c>
      <c r="BE347">
        <v>171801469</v>
      </c>
      <c r="BK347" s="112" t="str">
        <f>REPLACE(INDEX(GroupVertices[Group], MATCH("~"&amp;Edges[[#This Row],[Vertex 1]],GroupVertices[Vertex],0)),1,1,"")</f>
        <v>117</v>
      </c>
      <c r="BL347" s="112" t="str">
        <f>REPLACE(INDEX(GroupVertices[Group], MATCH("~"&amp;Edges[[#This Row],[Vertex 2]],GroupVertices[Vertex],0)),1,1,"")</f>
        <v>117</v>
      </c>
    </row>
    <row r="348" spans="1:64" x14ac:dyDescent="0.25">
      <c r="A348" s="61" t="s">
        <v>238</v>
      </c>
      <c r="B348" s="61" t="s">
        <v>518</v>
      </c>
      <c r="C348" s="62"/>
      <c r="D348" s="63"/>
      <c r="E348" s="64"/>
      <c r="F348" s="65"/>
      <c r="G348" s="62"/>
      <c r="H348" s="66"/>
      <c r="I348" s="67"/>
      <c r="J348" s="67"/>
      <c r="K348" s="31"/>
      <c r="L348" s="75">
        <v>348</v>
      </c>
      <c r="M348"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48" s="69"/>
      <c r="O348" t="s">
        <v>701</v>
      </c>
      <c r="P348" s="76">
        <v>45509.706631944442</v>
      </c>
      <c r="Q348" t="s">
        <v>721</v>
      </c>
      <c r="R348" t="b">
        <v>0</v>
      </c>
      <c r="S348">
        <v>0</v>
      </c>
      <c r="T348">
        <v>1</v>
      </c>
      <c r="U348">
        <v>0</v>
      </c>
      <c r="V348">
        <v>0</v>
      </c>
      <c r="W348">
        <v>18</v>
      </c>
      <c r="AA348" t="s">
        <v>518</v>
      </c>
      <c r="AD348" s="77" t="s">
        <v>1365</v>
      </c>
      <c r="AE348" t="s">
        <v>1385</v>
      </c>
      <c r="AF348" s="78" t="str">
        <f>HYPERLINK("https://twitter.com/gracimou/status/1820504427838452074")</f>
        <v>https://twitter.com/gracimou/status/1820504427838452074</v>
      </c>
      <c r="AG348" s="76">
        <v>45509.706631944442</v>
      </c>
      <c r="AH348" s="80">
        <v>45509</v>
      </c>
      <c r="AI348" s="77" t="s">
        <v>1403</v>
      </c>
      <c r="AW348" s="78" t="str">
        <f>HYPERLINK("https://pbs.twimg.com/profile_images/617760980643258368/LigwWM0t_normal.jpg")</f>
        <v>https://pbs.twimg.com/profile_images/617760980643258368/LigwWM0t_normal.jpg</v>
      </c>
      <c r="AX348" s="77" t="s">
        <v>1887</v>
      </c>
      <c r="AY348" s="77" t="s">
        <v>2262</v>
      </c>
      <c r="AZ348" s="77" t="s">
        <v>2376</v>
      </c>
      <c r="BA348" s="77" t="s">
        <v>2262</v>
      </c>
      <c r="BB348" s="77" t="s">
        <v>2494</v>
      </c>
      <c r="BC348" s="77" t="s">
        <v>2494</v>
      </c>
      <c r="BD348" s="77" t="s">
        <v>2262</v>
      </c>
      <c r="BE348">
        <v>3344268101</v>
      </c>
      <c r="BK348" s="112" t="str">
        <f>REPLACE(INDEX(GroupVertices[Group], MATCH("~"&amp;Edges[[#This Row],[Vertex 1]],GroupVertices[Vertex],0)),1,1,"")</f>
        <v>66</v>
      </c>
      <c r="BL348" s="112" t="str">
        <f>REPLACE(INDEX(GroupVertices[Group], MATCH("~"&amp;Edges[[#This Row],[Vertex 2]],GroupVertices[Vertex],0)),1,1,"")</f>
        <v>66</v>
      </c>
    </row>
    <row r="349" spans="1:64" x14ac:dyDescent="0.25">
      <c r="A349" s="61" t="s">
        <v>449</v>
      </c>
      <c r="B349" s="61" t="s">
        <v>449</v>
      </c>
      <c r="C349" s="62"/>
      <c r="D349" s="63"/>
      <c r="E349" s="64"/>
      <c r="F349" s="65"/>
      <c r="G349" s="62"/>
      <c r="H349" s="66"/>
      <c r="I349" s="67"/>
      <c r="J349" s="67"/>
      <c r="K349" s="31"/>
      <c r="L349" s="75">
        <v>349</v>
      </c>
      <c r="M349"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49" s="69"/>
      <c r="O349" t="s">
        <v>177</v>
      </c>
      <c r="P349" s="76">
        <v>45510.683993055558</v>
      </c>
      <c r="Q349" t="s">
        <v>1026</v>
      </c>
      <c r="R349" t="b">
        <v>0</v>
      </c>
      <c r="S349">
        <v>0</v>
      </c>
      <c r="T349">
        <v>0</v>
      </c>
      <c r="U349">
        <v>0</v>
      </c>
      <c r="V349">
        <v>0</v>
      </c>
      <c r="W349">
        <v>18</v>
      </c>
      <c r="Y349" s="78" t="str">
        <f>HYPERLINK("https://www.encancha.cl/enlahora/nacional/2024/08/06/senadores-de-izquierda-y-derecha-impulsan-proyecto-de-ley-para-modificar-el-sistema-de-admision-escolar-de-que-se-trata/")</f>
        <v>https://www.encancha.cl/enlahora/nacional/2024/08/06/senadores-de-izquierda-y-derecha-impulsan-proyecto-de-ley-para-modificar-el-sistema-de-admision-escolar-de-que-se-trata/</v>
      </c>
      <c r="Z349" t="s">
        <v>1196</v>
      </c>
      <c r="AD349" s="77" t="s">
        <v>1367</v>
      </c>
      <c r="AE349" t="s">
        <v>1385</v>
      </c>
      <c r="AF349" s="78" t="str">
        <f>HYPERLINK("https://twitter.com/enlahoracl/status/1820858609376674017")</f>
        <v>https://twitter.com/enlahoracl/status/1820858609376674017</v>
      </c>
      <c r="AG349" s="76">
        <v>45510.683993055558</v>
      </c>
      <c r="AH349" s="80">
        <v>45510</v>
      </c>
      <c r="AI349" s="77" t="s">
        <v>1704</v>
      </c>
      <c r="AJ349" t="b">
        <v>0</v>
      </c>
      <c r="AW349" s="78" t="str">
        <f>HYPERLINK("https://pbs.twimg.com/profile_images/1377357480322289669/zFO40nD__normal.jpg")</f>
        <v>https://pbs.twimg.com/profile_images/1377357480322289669/zFO40nD__normal.jpg</v>
      </c>
      <c r="AX349" s="77" t="s">
        <v>2192</v>
      </c>
      <c r="AY349" s="77" t="s">
        <v>2192</v>
      </c>
      <c r="BA349" s="77" t="s">
        <v>2494</v>
      </c>
      <c r="BB349" s="77" t="s">
        <v>2494</v>
      </c>
      <c r="BC349" s="77" t="s">
        <v>2494</v>
      </c>
      <c r="BD349" s="77" t="s">
        <v>2192</v>
      </c>
      <c r="BE349" s="77" t="s">
        <v>2623</v>
      </c>
      <c r="BK349" s="112" t="str">
        <f>REPLACE(INDEX(GroupVertices[Group], MATCH("~"&amp;Edges[[#This Row],[Vertex 1]],GroupVertices[Vertex],0)),1,1,"")</f>
        <v>170</v>
      </c>
      <c r="BL349" s="112" t="str">
        <f>REPLACE(INDEX(GroupVertices[Group], MATCH("~"&amp;Edges[[#This Row],[Vertex 2]],GroupVertices[Vertex],0)),1,1,"")</f>
        <v>170</v>
      </c>
    </row>
    <row r="350" spans="1:64" x14ac:dyDescent="0.25">
      <c r="A350" s="61" t="s">
        <v>481</v>
      </c>
      <c r="B350" s="61" t="s">
        <v>481</v>
      </c>
      <c r="C350" s="62"/>
      <c r="D350" s="63"/>
      <c r="E350" s="64"/>
      <c r="F350" s="65"/>
      <c r="G350" s="62"/>
      <c r="H350" s="66"/>
      <c r="I350" s="67"/>
      <c r="J350" s="67"/>
      <c r="K350" s="31"/>
      <c r="L350" s="75">
        <v>350</v>
      </c>
      <c r="M350"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50" s="69"/>
      <c r="O350" t="s">
        <v>177</v>
      </c>
      <c r="P350" s="76">
        <v>45509.690972222219</v>
      </c>
      <c r="Q350" t="s">
        <v>1061</v>
      </c>
      <c r="R350" t="b">
        <v>0</v>
      </c>
      <c r="S350">
        <v>0</v>
      </c>
      <c r="T350">
        <v>0</v>
      </c>
      <c r="U350">
        <v>0</v>
      </c>
      <c r="V350">
        <v>0</v>
      </c>
      <c r="W350">
        <v>18</v>
      </c>
      <c r="X350" s="77" t="s">
        <v>1128</v>
      </c>
      <c r="Y350" s="78" t="str">
        <f>HYPERLINK("https://radiocrystal.cl/sistema-de-admision-escolar-sae-los-mitos-y-verdades-de-la-plataforma-de-postulacion-a-colegios")</f>
        <v>https://radiocrystal.cl/sistema-de-admision-escolar-sae-los-mitos-y-verdades-de-la-plataforma-de-postulacion-a-colegios</v>
      </c>
      <c r="Z350" t="s">
        <v>1203</v>
      </c>
      <c r="AD350" s="77" t="s">
        <v>1367</v>
      </c>
      <c r="AE350" t="s">
        <v>1385</v>
      </c>
      <c r="AF350" s="78" t="str">
        <f>HYPERLINK("https://twitter.com/radiocrystalcl/status/1820498751422685326")</f>
        <v>https://twitter.com/radiocrystalcl/status/1820498751422685326</v>
      </c>
      <c r="AG350" s="76">
        <v>45509.690972222219</v>
      </c>
      <c r="AH350" s="80">
        <v>45509</v>
      </c>
      <c r="AI350" s="77" t="s">
        <v>1738</v>
      </c>
      <c r="AJ350" t="b">
        <v>0</v>
      </c>
      <c r="AW350" s="78" t="str">
        <f>HYPERLINK("https://pbs.twimg.com/profile_images/1753150288385486848/JTXP5XiT_normal.jpg")</f>
        <v>https://pbs.twimg.com/profile_images/1753150288385486848/JTXP5XiT_normal.jpg</v>
      </c>
      <c r="AX350" s="77" t="s">
        <v>2227</v>
      </c>
      <c r="AY350" s="77" t="s">
        <v>2227</v>
      </c>
      <c r="BA350" s="77" t="s">
        <v>2494</v>
      </c>
      <c r="BB350" s="77" t="s">
        <v>2494</v>
      </c>
      <c r="BC350" s="77" t="s">
        <v>2494</v>
      </c>
      <c r="BD350" s="77" t="s">
        <v>2227</v>
      </c>
      <c r="BE350">
        <v>1323363619</v>
      </c>
      <c r="BK350" s="112" t="str">
        <f>REPLACE(INDEX(GroupVertices[Group], MATCH("~"&amp;Edges[[#This Row],[Vertex 1]],GroupVertices[Vertex],0)),1,1,"")</f>
        <v>119</v>
      </c>
      <c r="BL350" s="112" t="str">
        <f>REPLACE(INDEX(GroupVertices[Group], MATCH("~"&amp;Edges[[#This Row],[Vertex 2]],GroupVertices[Vertex],0)),1,1,"")</f>
        <v>119</v>
      </c>
    </row>
    <row r="351" spans="1:64" x14ac:dyDescent="0.25">
      <c r="A351" s="61" t="s">
        <v>259</v>
      </c>
      <c r="B351" s="61" t="s">
        <v>536</v>
      </c>
      <c r="C351" s="62"/>
      <c r="D351" s="63"/>
      <c r="E351" s="64"/>
      <c r="F351" s="65"/>
      <c r="G351" s="62"/>
      <c r="H351" s="66"/>
      <c r="I351" s="67"/>
      <c r="J351" s="67"/>
      <c r="K351" s="31"/>
      <c r="L351" s="75">
        <v>351</v>
      </c>
      <c r="M351"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51" s="69"/>
      <c r="O351" t="s">
        <v>701</v>
      </c>
      <c r="P351" s="76">
        <v>45507.056296296294</v>
      </c>
      <c r="Q351" t="s">
        <v>752</v>
      </c>
      <c r="R351" t="b">
        <v>0</v>
      </c>
      <c r="S351">
        <v>0</v>
      </c>
      <c r="T351">
        <v>0</v>
      </c>
      <c r="U351">
        <v>0</v>
      </c>
      <c r="V351">
        <v>0</v>
      </c>
      <c r="W351">
        <v>16</v>
      </c>
      <c r="AA351" t="s">
        <v>536</v>
      </c>
      <c r="AD351" s="77" t="s">
        <v>1365</v>
      </c>
      <c r="AE351" t="s">
        <v>1385</v>
      </c>
      <c r="AF351" s="78" t="str">
        <f>HYPERLINK("https://twitter.com/joaco_ledesma11/status/1819543978804441522")</f>
        <v>https://twitter.com/joaco_ledesma11/status/1819543978804441522</v>
      </c>
      <c r="AG351" s="76">
        <v>45507.056296296294</v>
      </c>
      <c r="AH351" s="80">
        <v>45507</v>
      </c>
      <c r="AI351" s="77" t="s">
        <v>1434</v>
      </c>
      <c r="AW351" s="78" t="str">
        <f>HYPERLINK("https://pbs.twimg.com/profile_images/1829539179300032512/GKkQkK-C_normal.jpg")</f>
        <v>https://pbs.twimg.com/profile_images/1829539179300032512/GKkQkK-C_normal.jpg</v>
      </c>
      <c r="AX351" s="77" t="s">
        <v>1918</v>
      </c>
      <c r="AY351" s="77" t="s">
        <v>2273</v>
      </c>
      <c r="AZ351" s="77" t="s">
        <v>2387</v>
      </c>
      <c r="BA351" s="77" t="s">
        <v>2273</v>
      </c>
      <c r="BB351" s="77" t="s">
        <v>2494</v>
      </c>
      <c r="BC351" s="77" t="s">
        <v>2494</v>
      </c>
      <c r="BD351" s="77" t="s">
        <v>2273</v>
      </c>
      <c r="BE351" s="77" t="s">
        <v>2548</v>
      </c>
      <c r="BK351" s="112" t="str">
        <f>REPLACE(INDEX(GroupVertices[Group], MATCH("~"&amp;Edges[[#This Row],[Vertex 1]],GroupVertices[Vertex],0)),1,1,"")</f>
        <v>30</v>
      </c>
      <c r="BL351" s="112" t="str">
        <f>REPLACE(INDEX(GroupVertices[Group], MATCH("~"&amp;Edges[[#This Row],[Vertex 2]],GroupVertices[Vertex],0)),1,1,"")</f>
        <v>30</v>
      </c>
    </row>
    <row r="352" spans="1:64" x14ac:dyDescent="0.25">
      <c r="A352" s="61" t="s">
        <v>266</v>
      </c>
      <c r="B352" s="61" t="s">
        <v>547</v>
      </c>
      <c r="C352" s="62"/>
      <c r="D352" s="63"/>
      <c r="E352" s="64"/>
      <c r="F352" s="65"/>
      <c r="G352" s="62"/>
      <c r="H352" s="66"/>
      <c r="I352" s="67"/>
      <c r="J352" s="67"/>
      <c r="K352" s="31"/>
      <c r="L352" s="75">
        <v>352</v>
      </c>
      <c r="M352"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52" s="69"/>
      <c r="O352" t="s">
        <v>701</v>
      </c>
      <c r="P352" s="76">
        <v>45506.797256944446</v>
      </c>
      <c r="Q352" t="s">
        <v>763</v>
      </c>
      <c r="R352" t="b">
        <v>0</v>
      </c>
      <c r="S352">
        <v>0</v>
      </c>
      <c r="T352">
        <v>0</v>
      </c>
      <c r="U352">
        <v>0</v>
      </c>
      <c r="V352">
        <v>0</v>
      </c>
      <c r="W352">
        <v>16</v>
      </c>
      <c r="AA352" t="s">
        <v>547</v>
      </c>
      <c r="AD352" s="77" t="s">
        <v>1367</v>
      </c>
      <c r="AE352" t="s">
        <v>1385</v>
      </c>
      <c r="AF352" s="78" t="str">
        <f>HYPERLINK("https://twitter.com/admisionescolar/status/1819450105965302178")</f>
        <v>https://twitter.com/admisionescolar/status/1819450105965302178</v>
      </c>
      <c r="AG352" s="76">
        <v>45506.797256944446</v>
      </c>
      <c r="AH352" s="80">
        <v>45506</v>
      </c>
      <c r="AI352" s="77" t="s">
        <v>1445</v>
      </c>
      <c r="AW352" s="78" t="str">
        <f>HYPERLINK("https://pbs.twimg.com/profile_images/1814702908295798784/D2-qs3dC_normal.jpg")</f>
        <v>https://pbs.twimg.com/profile_images/1814702908295798784/D2-qs3dC_normal.jpg</v>
      </c>
      <c r="AX352" s="77" t="s">
        <v>1929</v>
      </c>
      <c r="AY352" s="77" t="s">
        <v>2010</v>
      </c>
      <c r="AZ352" s="77" t="s">
        <v>2397</v>
      </c>
      <c r="BA352" s="77" t="s">
        <v>2497</v>
      </c>
      <c r="BB352" s="77" t="s">
        <v>2494</v>
      </c>
      <c r="BC352" s="77" t="s">
        <v>2494</v>
      </c>
      <c r="BD352" s="77" t="s">
        <v>2497</v>
      </c>
      <c r="BE352" s="77" t="s">
        <v>2553</v>
      </c>
      <c r="BK352" s="112" t="str">
        <f>REPLACE(INDEX(GroupVertices[Group], MATCH("~"&amp;Edges[[#This Row],[Vertex 1]],GroupVertices[Vertex],0)),1,1,"")</f>
        <v>5</v>
      </c>
      <c r="BL352" s="112" t="str">
        <f>REPLACE(INDEX(GroupVertices[Group], MATCH("~"&amp;Edges[[#This Row],[Vertex 2]],GroupVertices[Vertex],0)),1,1,"")</f>
        <v>5</v>
      </c>
    </row>
    <row r="353" spans="1:64" x14ac:dyDescent="0.25">
      <c r="A353" s="61" t="s">
        <v>288</v>
      </c>
      <c r="B353" s="61" t="s">
        <v>564</v>
      </c>
      <c r="C353" s="62"/>
      <c r="D353" s="63"/>
      <c r="E353" s="64"/>
      <c r="F353" s="65"/>
      <c r="G353" s="62"/>
      <c r="H353" s="66"/>
      <c r="I353" s="67"/>
      <c r="J353" s="67"/>
      <c r="K353" s="31"/>
      <c r="L353" s="75">
        <v>353</v>
      </c>
      <c r="M353"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53" s="69"/>
      <c r="O353" t="s">
        <v>701</v>
      </c>
      <c r="P353" s="76">
        <v>45508.576608796298</v>
      </c>
      <c r="Q353" t="s">
        <v>795</v>
      </c>
      <c r="R353" t="b">
        <v>0</v>
      </c>
      <c r="S353">
        <v>0</v>
      </c>
      <c r="T353">
        <v>0</v>
      </c>
      <c r="U353">
        <v>0</v>
      </c>
      <c r="V353">
        <v>0</v>
      </c>
      <c r="W353">
        <v>16</v>
      </c>
      <c r="AA353" t="s">
        <v>564</v>
      </c>
      <c r="AB353" t="s">
        <v>1275</v>
      </c>
      <c r="AC353" t="s">
        <v>1362</v>
      </c>
      <c r="AD353" s="77" t="s">
        <v>1365</v>
      </c>
      <c r="AE353" t="s">
        <v>1385</v>
      </c>
      <c r="AF353" s="78" t="str">
        <f>HYPERLINK("https://twitter.com/alex_alic/status/1820094919442317497")</f>
        <v>https://twitter.com/alex_alic/status/1820094919442317497</v>
      </c>
      <c r="AG353" s="76">
        <v>45508.576608796298</v>
      </c>
      <c r="AH353" s="80">
        <v>45508</v>
      </c>
      <c r="AI353" s="77" t="s">
        <v>1477</v>
      </c>
      <c r="AJ353" t="b">
        <v>0</v>
      </c>
      <c r="AR353" t="s">
        <v>1788</v>
      </c>
      <c r="AW353" s="78" t="str">
        <f>HYPERLINK("https://pbs.twimg.com/tweet_video_thumb/GUJGrQ8XYAAt3J4.jpg")</f>
        <v>https://pbs.twimg.com/tweet_video_thumb/GUJGrQ8XYAAt3J4.jpg</v>
      </c>
      <c r="AX353" s="77" t="s">
        <v>1961</v>
      </c>
      <c r="AY353" s="77" t="s">
        <v>1965</v>
      </c>
      <c r="AZ353" s="77" t="s">
        <v>2411</v>
      </c>
      <c r="BA353" s="77" t="s">
        <v>2503</v>
      </c>
      <c r="BB353" s="77" t="s">
        <v>2494</v>
      </c>
      <c r="BC353" s="77" t="s">
        <v>2494</v>
      </c>
      <c r="BD353" s="77" t="s">
        <v>2503</v>
      </c>
      <c r="BE353">
        <v>282930614</v>
      </c>
      <c r="BK353" s="112" t="str">
        <f>REPLACE(INDEX(GroupVertices[Group], MATCH("~"&amp;Edges[[#This Row],[Vertex 1]],GroupVertices[Vertex],0)),1,1,"")</f>
        <v>8</v>
      </c>
      <c r="BL353" s="112" t="str">
        <f>REPLACE(INDEX(GroupVertices[Group], MATCH("~"&amp;Edges[[#This Row],[Vertex 2]],GroupVertices[Vertex],0)),1,1,"")</f>
        <v>8</v>
      </c>
    </row>
    <row r="354" spans="1:64" x14ac:dyDescent="0.25">
      <c r="A354" s="61" t="s">
        <v>302</v>
      </c>
      <c r="B354" s="61" t="s">
        <v>578</v>
      </c>
      <c r="C354" s="62"/>
      <c r="D354" s="63"/>
      <c r="E354" s="64"/>
      <c r="F354" s="65"/>
      <c r="G354" s="62"/>
      <c r="H354" s="66"/>
      <c r="I354" s="67"/>
      <c r="J354" s="67"/>
      <c r="K354" s="31"/>
      <c r="L354" s="75">
        <v>354</v>
      </c>
      <c r="M354"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54" s="69"/>
      <c r="O354" t="s">
        <v>703</v>
      </c>
      <c r="P354" s="76">
        <v>45509.034328703703</v>
      </c>
      <c r="Q354" t="s">
        <v>852</v>
      </c>
      <c r="R354" t="b">
        <v>0</v>
      </c>
      <c r="S354">
        <v>0</v>
      </c>
      <c r="T354">
        <v>0</v>
      </c>
      <c r="U354">
        <v>2</v>
      </c>
      <c r="V354">
        <v>0</v>
      </c>
      <c r="W354">
        <v>16</v>
      </c>
      <c r="AA354" t="s">
        <v>1232</v>
      </c>
      <c r="AD354" s="77" t="s">
        <v>1365</v>
      </c>
      <c r="AE354" t="s">
        <v>1385</v>
      </c>
      <c r="AF354" s="78" t="str">
        <f>HYPERLINK("https://twitter.com/ctorrety55512/status/1820260793943732361")</f>
        <v>https://twitter.com/ctorrety55512/status/1820260793943732361</v>
      </c>
      <c r="AG354" s="76">
        <v>45509.034328703703</v>
      </c>
      <c r="AH354" s="80">
        <v>45509</v>
      </c>
      <c r="AI354" s="77" t="s">
        <v>1533</v>
      </c>
      <c r="AW354" s="78" t="str">
        <f>HYPERLINK("https://pbs.twimg.com/profile_images/1730311539767308288/CaxoP5Rn_normal.jpg")</f>
        <v>https://pbs.twimg.com/profile_images/1730311539767308288/CaxoP5Rn_normal.jpg</v>
      </c>
      <c r="AX354" s="77" t="s">
        <v>2018</v>
      </c>
      <c r="AY354" s="77" t="s">
        <v>2301</v>
      </c>
      <c r="AZ354" s="77" t="s">
        <v>2420</v>
      </c>
      <c r="BA354" s="77" t="s">
        <v>2509</v>
      </c>
      <c r="BB354" s="77" t="s">
        <v>2494</v>
      </c>
      <c r="BC354" s="77" t="s">
        <v>2494</v>
      </c>
      <c r="BD354" s="77" t="s">
        <v>2509</v>
      </c>
      <c r="BE354" s="77" t="s">
        <v>2569</v>
      </c>
      <c r="BK354" s="112" t="str">
        <f>REPLACE(INDEX(GroupVertices[Group], MATCH("~"&amp;Edges[[#This Row],[Vertex 1]],GroupVertices[Vertex],0)),1,1,"")</f>
        <v>12</v>
      </c>
      <c r="BL354" s="112" t="str">
        <f>REPLACE(INDEX(GroupVertices[Group], MATCH("~"&amp;Edges[[#This Row],[Vertex 2]],GroupVertices[Vertex],0)),1,1,"")</f>
        <v>12</v>
      </c>
    </row>
    <row r="355" spans="1:64" x14ac:dyDescent="0.25">
      <c r="A355" s="61" t="s">
        <v>302</v>
      </c>
      <c r="B355" s="61" t="s">
        <v>579</v>
      </c>
      <c r="C355" s="62"/>
      <c r="D355" s="63"/>
      <c r="E355" s="64"/>
      <c r="F355" s="65"/>
      <c r="G355" s="62"/>
      <c r="H355" s="66"/>
      <c r="I355" s="67"/>
      <c r="J355" s="67"/>
      <c r="K355" s="31"/>
      <c r="L355" s="75">
        <v>355</v>
      </c>
      <c r="M355"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55" s="69"/>
      <c r="O355" t="s">
        <v>703</v>
      </c>
      <c r="P355" s="76">
        <v>45509.034328703703</v>
      </c>
      <c r="Q355" t="s">
        <v>852</v>
      </c>
      <c r="R355" t="b">
        <v>0</v>
      </c>
      <c r="S355">
        <v>0</v>
      </c>
      <c r="T355">
        <v>0</v>
      </c>
      <c r="U355">
        <v>2</v>
      </c>
      <c r="V355">
        <v>0</v>
      </c>
      <c r="W355">
        <v>16</v>
      </c>
      <c r="AA355" t="s">
        <v>1232</v>
      </c>
      <c r="AD355" s="77" t="s">
        <v>1365</v>
      </c>
      <c r="AE355" t="s">
        <v>1385</v>
      </c>
      <c r="AF355" s="78" t="str">
        <f>HYPERLINK("https://twitter.com/ctorrety55512/status/1820260793943732361")</f>
        <v>https://twitter.com/ctorrety55512/status/1820260793943732361</v>
      </c>
      <c r="AG355" s="76">
        <v>45509.034328703703</v>
      </c>
      <c r="AH355" s="80">
        <v>45509</v>
      </c>
      <c r="AI355" s="77" t="s">
        <v>1533</v>
      </c>
      <c r="AW355" s="78" t="str">
        <f>HYPERLINK("https://pbs.twimg.com/profile_images/1730311539767308288/CaxoP5Rn_normal.jpg")</f>
        <v>https://pbs.twimg.com/profile_images/1730311539767308288/CaxoP5Rn_normal.jpg</v>
      </c>
      <c r="AX355" s="77" t="s">
        <v>2018</v>
      </c>
      <c r="AY355" s="77" t="s">
        <v>2301</v>
      </c>
      <c r="AZ355" s="77" t="s">
        <v>2420</v>
      </c>
      <c r="BA355" s="77" t="s">
        <v>2509</v>
      </c>
      <c r="BB355" s="77" t="s">
        <v>2494</v>
      </c>
      <c r="BC355" s="77" t="s">
        <v>2494</v>
      </c>
      <c r="BD355" s="77" t="s">
        <v>2509</v>
      </c>
      <c r="BE355" s="77" t="s">
        <v>2569</v>
      </c>
      <c r="BK355" s="112" t="str">
        <f>REPLACE(INDEX(GroupVertices[Group], MATCH("~"&amp;Edges[[#This Row],[Vertex 1]],GroupVertices[Vertex],0)),1,1,"")</f>
        <v>12</v>
      </c>
      <c r="BL355" s="112" t="str">
        <f>REPLACE(INDEX(GroupVertices[Group], MATCH("~"&amp;Edges[[#This Row],[Vertex 2]],GroupVertices[Vertex],0)),1,1,"")</f>
        <v>12</v>
      </c>
    </row>
    <row r="356" spans="1:64" x14ac:dyDescent="0.25">
      <c r="A356" s="61" t="s">
        <v>302</v>
      </c>
      <c r="B356" s="61" t="s">
        <v>580</v>
      </c>
      <c r="C356" s="62"/>
      <c r="D356" s="63"/>
      <c r="E356" s="64"/>
      <c r="F356" s="65"/>
      <c r="G356" s="62"/>
      <c r="H356" s="66"/>
      <c r="I356" s="67"/>
      <c r="J356" s="67"/>
      <c r="K356" s="31"/>
      <c r="L356" s="75">
        <v>356</v>
      </c>
      <c r="M356"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56" s="69"/>
      <c r="O356" t="s">
        <v>703</v>
      </c>
      <c r="P356" s="76">
        <v>45509.034328703703</v>
      </c>
      <c r="Q356" t="s">
        <v>852</v>
      </c>
      <c r="R356" t="b">
        <v>0</v>
      </c>
      <c r="S356">
        <v>0</v>
      </c>
      <c r="T356">
        <v>0</v>
      </c>
      <c r="U356">
        <v>2</v>
      </c>
      <c r="V356">
        <v>0</v>
      </c>
      <c r="W356">
        <v>16</v>
      </c>
      <c r="AA356" t="s">
        <v>1232</v>
      </c>
      <c r="AD356" s="77" t="s">
        <v>1365</v>
      </c>
      <c r="AE356" t="s">
        <v>1385</v>
      </c>
      <c r="AF356" s="78" t="str">
        <f>HYPERLINK("https://twitter.com/ctorrety55512/status/1820260793943732361")</f>
        <v>https://twitter.com/ctorrety55512/status/1820260793943732361</v>
      </c>
      <c r="AG356" s="76">
        <v>45509.034328703703</v>
      </c>
      <c r="AH356" s="80">
        <v>45509</v>
      </c>
      <c r="AI356" s="77" t="s">
        <v>1533</v>
      </c>
      <c r="AW356" s="78" t="str">
        <f>HYPERLINK("https://pbs.twimg.com/profile_images/1730311539767308288/CaxoP5Rn_normal.jpg")</f>
        <v>https://pbs.twimg.com/profile_images/1730311539767308288/CaxoP5Rn_normal.jpg</v>
      </c>
      <c r="AX356" s="77" t="s">
        <v>2018</v>
      </c>
      <c r="AY356" s="77" t="s">
        <v>2301</v>
      </c>
      <c r="AZ356" s="77" t="s">
        <v>2420</v>
      </c>
      <c r="BA356" s="77" t="s">
        <v>2509</v>
      </c>
      <c r="BB356" s="77" t="s">
        <v>2494</v>
      </c>
      <c r="BC356" s="77" t="s">
        <v>2494</v>
      </c>
      <c r="BD356" s="77" t="s">
        <v>2509</v>
      </c>
      <c r="BE356" s="77" t="s">
        <v>2569</v>
      </c>
      <c r="BK356" s="112" t="str">
        <f>REPLACE(INDEX(GroupVertices[Group], MATCH("~"&amp;Edges[[#This Row],[Vertex 1]],GroupVertices[Vertex],0)),1,1,"")</f>
        <v>12</v>
      </c>
      <c r="BL356" s="112" t="str">
        <f>REPLACE(INDEX(GroupVertices[Group], MATCH("~"&amp;Edges[[#This Row],[Vertex 2]],GroupVertices[Vertex],0)),1,1,"")</f>
        <v>12</v>
      </c>
    </row>
    <row r="357" spans="1:64" x14ac:dyDescent="0.25">
      <c r="A357" s="61" t="s">
        <v>302</v>
      </c>
      <c r="B357" s="61" t="s">
        <v>581</v>
      </c>
      <c r="C357" s="62"/>
      <c r="D357" s="63"/>
      <c r="E357" s="64"/>
      <c r="F357" s="65"/>
      <c r="G357" s="62"/>
      <c r="H357" s="66"/>
      <c r="I357" s="67"/>
      <c r="J357" s="67"/>
      <c r="K357" s="31"/>
      <c r="L357" s="75">
        <v>357</v>
      </c>
      <c r="M357"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57" s="69"/>
      <c r="O357" t="s">
        <v>701</v>
      </c>
      <c r="P357" s="76">
        <v>45509.034328703703</v>
      </c>
      <c r="Q357" t="s">
        <v>852</v>
      </c>
      <c r="R357" t="b">
        <v>0</v>
      </c>
      <c r="S357">
        <v>0</v>
      </c>
      <c r="T357">
        <v>0</v>
      </c>
      <c r="U357">
        <v>2</v>
      </c>
      <c r="V357">
        <v>0</v>
      </c>
      <c r="W357">
        <v>16</v>
      </c>
      <c r="AA357" t="s">
        <v>1232</v>
      </c>
      <c r="AD357" s="77" t="s">
        <v>1365</v>
      </c>
      <c r="AE357" t="s">
        <v>1385</v>
      </c>
      <c r="AF357" s="78" t="str">
        <f>HYPERLINK("https://twitter.com/ctorrety55512/status/1820260793943732361")</f>
        <v>https://twitter.com/ctorrety55512/status/1820260793943732361</v>
      </c>
      <c r="AG357" s="76">
        <v>45509.034328703703</v>
      </c>
      <c r="AH357" s="80">
        <v>45509</v>
      </c>
      <c r="AI357" s="77" t="s">
        <v>1533</v>
      </c>
      <c r="AW357" s="78" t="str">
        <f>HYPERLINK("https://pbs.twimg.com/profile_images/1730311539767308288/CaxoP5Rn_normal.jpg")</f>
        <v>https://pbs.twimg.com/profile_images/1730311539767308288/CaxoP5Rn_normal.jpg</v>
      </c>
      <c r="AX357" s="77" t="s">
        <v>2018</v>
      </c>
      <c r="AY357" s="77" t="s">
        <v>2301</v>
      </c>
      <c r="AZ357" s="77" t="s">
        <v>2420</v>
      </c>
      <c r="BA357" s="77" t="s">
        <v>2509</v>
      </c>
      <c r="BB357" s="77" t="s">
        <v>2494</v>
      </c>
      <c r="BC357" s="77" t="s">
        <v>2494</v>
      </c>
      <c r="BD357" s="77" t="s">
        <v>2509</v>
      </c>
      <c r="BE357" s="77" t="s">
        <v>2569</v>
      </c>
      <c r="BK357" s="112" t="str">
        <f>REPLACE(INDEX(GroupVertices[Group], MATCH("~"&amp;Edges[[#This Row],[Vertex 1]],GroupVertices[Vertex],0)),1,1,"")</f>
        <v>12</v>
      </c>
      <c r="BL357" s="112" t="str">
        <f>REPLACE(INDEX(GroupVertices[Group], MATCH("~"&amp;Edges[[#This Row],[Vertex 2]],GroupVertices[Vertex],0)),1,1,"")</f>
        <v>12</v>
      </c>
    </row>
    <row r="358" spans="1:64" x14ac:dyDescent="0.25">
      <c r="A358" s="61" t="s">
        <v>320</v>
      </c>
      <c r="B358" s="61" t="s">
        <v>594</v>
      </c>
      <c r="C358" s="62"/>
      <c r="D358" s="63"/>
      <c r="E358" s="64"/>
      <c r="F358" s="65"/>
      <c r="G358" s="62"/>
      <c r="H358" s="66"/>
      <c r="I358" s="67"/>
      <c r="J358" s="67"/>
      <c r="K358" s="31"/>
      <c r="L358" s="75">
        <v>358</v>
      </c>
      <c r="M358"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58" s="69"/>
      <c r="O358" t="s">
        <v>703</v>
      </c>
      <c r="P358" s="76">
        <v>45506.722291666665</v>
      </c>
      <c r="Q358" t="s">
        <v>871</v>
      </c>
      <c r="R358" t="b">
        <v>0</v>
      </c>
      <c r="S358">
        <v>0</v>
      </c>
      <c r="T358">
        <v>0</v>
      </c>
      <c r="U358">
        <v>0</v>
      </c>
      <c r="V358">
        <v>0</v>
      </c>
      <c r="W358">
        <v>16</v>
      </c>
      <c r="AA358" t="s">
        <v>1235</v>
      </c>
      <c r="AB358" t="s">
        <v>1293</v>
      </c>
      <c r="AC358" t="s">
        <v>1359</v>
      </c>
      <c r="AD358" s="77" t="s">
        <v>1367</v>
      </c>
      <c r="AE358" t="s">
        <v>1385</v>
      </c>
      <c r="AF358" s="78" t="str">
        <f t="shared" ref="AF358:AF370" si="0">HYPERLINK("https://twitter.com/palasrisillas/status/1819422937658617892")</f>
        <v>https://twitter.com/palasrisillas/status/1819422937658617892</v>
      </c>
      <c r="AG358" s="76">
        <v>45506.722291666665</v>
      </c>
      <c r="AH358" s="80">
        <v>45506</v>
      </c>
      <c r="AI358" s="77" t="s">
        <v>1552</v>
      </c>
      <c r="AJ358" t="b">
        <v>0</v>
      </c>
      <c r="AR358" t="s">
        <v>1806</v>
      </c>
      <c r="AW358" s="78" t="str">
        <f t="shared" ref="AW358:AW370" si="1">HYPERLINK("https://pbs.twimg.com/media/GT_jXDMW8AgGZac.jpg")</f>
        <v>https://pbs.twimg.com/media/GT_jXDMW8AgGZac.jpg</v>
      </c>
      <c r="AX358" s="77" t="s">
        <v>2037</v>
      </c>
      <c r="AY358" s="77" t="s">
        <v>2307</v>
      </c>
      <c r="AZ358" s="77" t="s">
        <v>2427</v>
      </c>
      <c r="BA358" s="77" t="s">
        <v>2510</v>
      </c>
      <c r="BB358" s="77" t="s">
        <v>2494</v>
      </c>
      <c r="BC358" s="77" t="s">
        <v>2494</v>
      </c>
      <c r="BD358" s="77" t="s">
        <v>2510</v>
      </c>
      <c r="BE358">
        <v>410817258</v>
      </c>
      <c r="BK358" s="112" t="str">
        <f>REPLACE(INDEX(GroupVertices[Group], MATCH("~"&amp;Edges[[#This Row],[Vertex 1]],GroupVertices[Vertex],0)),1,1,"")</f>
        <v>2</v>
      </c>
      <c r="BL358" s="112" t="str">
        <f>REPLACE(INDEX(GroupVertices[Group], MATCH("~"&amp;Edges[[#This Row],[Vertex 2]],GroupVertices[Vertex],0)),1,1,"")</f>
        <v>2</v>
      </c>
    </row>
    <row r="359" spans="1:64" x14ac:dyDescent="0.25">
      <c r="A359" s="61" t="s">
        <v>320</v>
      </c>
      <c r="B359" s="61" t="s">
        <v>595</v>
      </c>
      <c r="C359" s="62"/>
      <c r="D359" s="63"/>
      <c r="E359" s="64"/>
      <c r="F359" s="65"/>
      <c r="G359" s="62"/>
      <c r="H359" s="66"/>
      <c r="I359" s="67"/>
      <c r="J359" s="67"/>
      <c r="K359" s="31"/>
      <c r="L359" s="75">
        <v>359</v>
      </c>
      <c r="M359"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59" s="69"/>
      <c r="O359" t="s">
        <v>703</v>
      </c>
      <c r="P359" s="76">
        <v>45506.722291666665</v>
      </c>
      <c r="Q359" t="s">
        <v>871</v>
      </c>
      <c r="R359" t="b">
        <v>0</v>
      </c>
      <c r="S359">
        <v>0</v>
      </c>
      <c r="T359">
        <v>0</v>
      </c>
      <c r="U359">
        <v>0</v>
      </c>
      <c r="V359">
        <v>0</v>
      </c>
      <c r="W359">
        <v>16</v>
      </c>
      <c r="AA359" t="s">
        <v>1235</v>
      </c>
      <c r="AB359" t="s">
        <v>1293</v>
      </c>
      <c r="AC359" t="s">
        <v>1359</v>
      </c>
      <c r="AD359" s="77" t="s">
        <v>1367</v>
      </c>
      <c r="AE359" t="s">
        <v>1385</v>
      </c>
      <c r="AF359" s="78" t="str">
        <f t="shared" si="0"/>
        <v>https://twitter.com/palasrisillas/status/1819422937658617892</v>
      </c>
      <c r="AG359" s="76">
        <v>45506.722291666665</v>
      </c>
      <c r="AH359" s="80">
        <v>45506</v>
      </c>
      <c r="AI359" s="77" t="s">
        <v>1552</v>
      </c>
      <c r="AJ359" t="b">
        <v>0</v>
      </c>
      <c r="AR359" t="s">
        <v>1806</v>
      </c>
      <c r="AW359" s="78" t="str">
        <f t="shared" si="1"/>
        <v>https://pbs.twimg.com/media/GT_jXDMW8AgGZac.jpg</v>
      </c>
      <c r="AX359" s="77" t="s">
        <v>2037</v>
      </c>
      <c r="AY359" s="77" t="s">
        <v>2307</v>
      </c>
      <c r="AZ359" s="77" t="s">
        <v>2427</v>
      </c>
      <c r="BA359" s="77" t="s">
        <v>2510</v>
      </c>
      <c r="BB359" s="77" t="s">
        <v>2494</v>
      </c>
      <c r="BC359" s="77" t="s">
        <v>2494</v>
      </c>
      <c r="BD359" s="77" t="s">
        <v>2510</v>
      </c>
      <c r="BE359">
        <v>410817258</v>
      </c>
      <c r="BK359" s="112" t="str">
        <f>REPLACE(INDEX(GroupVertices[Group], MATCH("~"&amp;Edges[[#This Row],[Vertex 1]],GroupVertices[Vertex],0)),1,1,"")</f>
        <v>2</v>
      </c>
      <c r="BL359" s="112" t="str">
        <f>REPLACE(INDEX(GroupVertices[Group], MATCH("~"&amp;Edges[[#This Row],[Vertex 2]],GroupVertices[Vertex],0)),1,1,"")</f>
        <v>2</v>
      </c>
    </row>
    <row r="360" spans="1:64" x14ac:dyDescent="0.25">
      <c r="A360" s="61" t="s">
        <v>320</v>
      </c>
      <c r="B360" s="61" t="s">
        <v>596</v>
      </c>
      <c r="C360" s="62"/>
      <c r="D360" s="63"/>
      <c r="E360" s="64"/>
      <c r="F360" s="65"/>
      <c r="G360" s="62"/>
      <c r="H360" s="66"/>
      <c r="I360" s="67"/>
      <c r="J360" s="67"/>
      <c r="K360" s="31"/>
      <c r="L360" s="75">
        <v>360</v>
      </c>
      <c r="M360"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60" s="69"/>
      <c r="O360" t="s">
        <v>703</v>
      </c>
      <c r="P360" s="76">
        <v>45506.722291666665</v>
      </c>
      <c r="Q360" t="s">
        <v>871</v>
      </c>
      <c r="R360" t="b">
        <v>0</v>
      </c>
      <c r="S360">
        <v>0</v>
      </c>
      <c r="T360">
        <v>0</v>
      </c>
      <c r="U360">
        <v>0</v>
      </c>
      <c r="V360">
        <v>0</v>
      </c>
      <c r="W360">
        <v>16</v>
      </c>
      <c r="AA360" t="s">
        <v>1235</v>
      </c>
      <c r="AB360" t="s">
        <v>1293</v>
      </c>
      <c r="AC360" t="s">
        <v>1359</v>
      </c>
      <c r="AD360" s="77" t="s">
        <v>1367</v>
      </c>
      <c r="AE360" t="s">
        <v>1385</v>
      </c>
      <c r="AF360" s="78" t="str">
        <f t="shared" si="0"/>
        <v>https://twitter.com/palasrisillas/status/1819422937658617892</v>
      </c>
      <c r="AG360" s="76">
        <v>45506.722291666665</v>
      </c>
      <c r="AH360" s="80">
        <v>45506</v>
      </c>
      <c r="AI360" s="77" t="s">
        <v>1552</v>
      </c>
      <c r="AJ360" t="b">
        <v>0</v>
      </c>
      <c r="AR360" t="s">
        <v>1806</v>
      </c>
      <c r="AW360" s="78" t="str">
        <f t="shared" si="1"/>
        <v>https://pbs.twimg.com/media/GT_jXDMW8AgGZac.jpg</v>
      </c>
      <c r="AX360" s="77" t="s">
        <v>2037</v>
      </c>
      <c r="AY360" s="77" t="s">
        <v>2307</v>
      </c>
      <c r="AZ360" s="77" t="s">
        <v>2427</v>
      </c>
      <c r="BA360" s="77" t="s">
        <v>2510</v>
      </c>
      <c r="BB360" s="77" t="s">
        <v>2494</v>
      </c>
      <c r="BC360" s="77" t="s">
        <v>2494</v>
      </c>
      <c r="BD360" s="77" t="s">
        <v>2510</v>
      </c>
      <c r="BE360">
        <v>410817258</v>
      </c>
      <c r="BK360" s="112" t="str">
        <f>REPLACE(INDEX(GroupVertices[Group], MATCH("~"&amp;Edges[[#This Row],[Vertex 1]],GroupVertices[Vertex],0)),1,1,"")</f>
        <v>2</v>
      </c>
      <c r="BL360" s="112" t="str">
        <f>REPLACE(INDEX(GroupVertices[Group], MATCH("~"&amp;Edges[[#This Row],[Vertex 2]],GroupVertices[Vertex],0)),1,1,"")</f>
        <v>2</v>
      </c>
    </row>
    <row r="361" spans="1:64" x14ac:dyDescent="0.25">
      <c r="A361" s="61" t="s">
        <v>320</v>
      </c>
      <c r="B361" s="61" t="s">
        <v>597</v>
      </c>
      <c r="C361" s="62"/>
      <c r="D361" s="63"/>
      <c r="E361" s="64"/>
      <c r="F361" s="65"/>
      <c r="G361" s="62"/>
      <c r="H361" s="66"/>
      <c r="I361" s="67"/>
      <c r="J361" s="67"/>
      <c r="K361" s="31"/>
      <c r="L361" s="75">
        <v>361</v>
      </c>
      <c r="M361"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61" s="69"/>
      <c r="O361" t="s">
        <v>703</v>
      </c>
      <c r="P361" s="76">
        <v>45506.722291666665</v>
      </c>
      <c r="Q361" t="s">
        <v>871</v>
      </c>
      <c r="R361" t="b">
        <v>0</v>
      </c>
      <c r="S361">
        <v>0</v>
      </c>
      <c r="T361">
        <v>0</v>
      </c>
      <c r="U361">
        <v>0</v>
      </c>
      <c r="V361">
        <v>0</v>
      </c>
      <c r="W361">
        <v>16</v>
      </c>
      <c r="AA361" t="s">
        <v>1235</v>
      </c>
      <c r="AB361" t="s">
        <v>1293</v>
      </c>
      <c r="AC361" t="s">
        <v>1359</v>
      </c>
      <c r="AD361" s="77" t="s">
        <v>1367</v>
      </c>
      <c r="AE361" t="s">
        <v>1385</v>
      </c>
      <c r="AF361" s="78" t="str">
        <f t="shared" si="0"/>
        <v>https://twitter.com/palasrisillas/status/1819422937658617892</v>
      </c>
      <c r="AG361" s="76">
        <v>45506.722291666665</v>
      </c>
      <c r="AH361" s="80">
        <v>45506</v>
      </c>
      <c r="AI361" s="77" t="s">
        <v>1552</v>
      </c>
      <c r="AJ361" t="b">
        <v>0</v>
      </c>
      <c r="AR361" t="s">
        <v>1806</v>
      </c>
      <c r="AW361" s="78" t="str">
        <f t="shared" si="1"/>
        <v>https://pbs.twimg.com/media/GT_jXDMW8AgGZac.jpg</v>
      </c>
      <c r="AX361" s="77" t="s">
        <v>2037</v>
      </c>
      <c r="AY361" s="77" t="s">
        <v>2307</v>
      </c>
      <c r="AZ361" s="77" t="s">
        <v>2427</v>
      </c>
      <c r="BA361" s="77" t="s">
        <v>2510</v>
      </c>
      <c r="BB361" s="77" t="s">
        <v>2494</v>
      </c>
      <c r="BC361" s="77" t="s">
        <v>2494</v>
      </c>
      <c r="BD361" s="77" t="s">
        <v>2510</v>
      </c>
      <c r="BE361">
        <v>410817258</v>
      </c>
      <c r="BK361" s="112" t="str">
        <f>REPLACE(INDEX(GroupVertices[Group], MATCH("~"&amp;Edges[[#This Row],[Vertex 1]],GroupVertices[Vertex],0)),1,1,"")</f>
        <v>2</v>
      </c>
      <c r="BL361" s="112" t="str">
        <f>REPLACE(INDEX(GroupVertices[Group], MATCH("~"&amp;Edges[[#This Row],[Vertex 2]],GroupVertices[Vertex],0)),1,1,"")</f>
        <v>2</v>
      </c>
    </row>
    <row r="362" spans="1:64" x14ac:dyDescent="0.25">
      <c r="A362" s="61" t="s">
        <v>320</v>
      </c>
      <c r="B362" s="61" t="s">
        <v>598</v>
      </c>
      <c r="C362" s="62"/>
      <c r="D362" s="63"/>
      <c r="E362" s="64"/>
      <c r="F362" s="65"/>
      <c r="G362" s="62"/>
      <c r="H362" s="66"/>
      <c r="I362" s="67"/>
      <c r="J362" s="67"/>
      <c r="K362" s="31"/>
      <c r="L362" s="75">
        <v>362</v>
      </c>
      <c r="M362"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62" s="69"/>
      <c r="O362" t="s">
        <v>703</v>
      </c>
      <c r="P362" s="76">
        <v>45506.722291666665</v>
      </c>
      <c r="Q362" t="s">
        <v>871</v>
      </c>
      <c r="R362" t="b">
        <v>0</v>
      </c>
      <c r="S362">
        <v>0</v>
      </c>
      <c r="T362">
        <v>0</v>
      </c>
      <c r="U362">
        <v>0</v>
      </c>
      <c r="V362">
        <v>0</v>
      </c>
      <c r="W362">
        <v>16</v>
      </c>
      <c r="AA362" t="s">
        <v>1235</v>
      </c>
      <c r="AB362" t="s">
        <v>1293</v>
      </c>
      <c r="AC362" t="s">
        <v>1359</v>
      </c>
      <c r="AD362" s="77" t="s">
        <v>1367</v>
      </c>
      <c r="AE362" t="s">
        <v>1385</v>
      </c>
      <c r="AF362" s="78" t="str">
        <f t="shared" si="0"/>
        <v>https://twitter.com/palasrisillas/status/1819422937658617892</v>
      </c>
      <c r="AG362" s="76">
        <v>45506.722291666665</v>
      </c>
      <c r="AH362" s="80">
        <v>45506</v>
      </c>
      <c r="AI362" s="77" t="s">
        <v>1552</v>
      </c>
      <c r="AJ362" t="b">
        <v>0</v>
      </c>
      <c r="AR362" t="s">
        <v>1806</v>
      </c>
      <c r="AW362" s="78" t="str">
        <f t="shared" si="1"/>
        <v>https://pbs.twimg.com/media/GT_jXDMW8AgGZac.jpg</v>
      </c>
      <c r="AX362" s="77" t="s">
        <v>2037</v>
      </c>
      <c r="AY362" s="77" t="s">
        <v>2307</v>
      </c>
      <c r="AZ362" s="77" t="s">
        <v>2427</v>
      </c>
      <c r="BA362" s="77" t="s">
        <v>2510</v>
      </c>
      <c r="BB362" s="77" t="s">
        <v>2494</v>
      </c>
      <c r="BC362" s="77" t="s">
        <v>2494</v>
      </c>
      <c r="BD362" s="77" t="s">
        <v>2510</v>
      </c>
      <c r="BE362">
        <v>410817258</v>
      </c>
      <c r="BK362" s="112" t="str">
        <f>REPLACE(INDEX(GroupVertices[Group], MATCH("~"&amp;Edges[[#This Row],[Vertex 1]],GroupVertices[Vertex],0)),1,1,"")</f>
        <v>2</v>
      </c>
      <c r="BL362" s="112" t="str">
        <f>REPLACE(INDEX(GroupVertices[Group], MATCH("~"&amp;Edges[[#This Row],[Vertex 2]],GroupVertices[Vertex],0)),1,1,"")</f>
        <v>2</v>
      </c>
    </row>
    <row r="363" spans="1:64" x14ac:dyDescent="0.25">
      <c r="A363" s="61" t="s">
        <v>320</v>
      </c>
      <c r="B363" s="61" t="s">
        <v>599</v>
      </c>
      <c r="C363" s="62"/>
      <c r="D363" s="63"/>
      <c r="E363" s="64"/>
      <c r="F363" s="65"/>
      <c r="G363" s="62"/>
      <c r="H363" s="66"/>
      <c r="I363" s="67"/>
      <c r="J363" s="67"/>
      <c r="K363" s="31"/>
      <c r="L363" s="75">
        <v>363</v>
      </c>
      <c r="M363"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63" s="69"/>
      <c r="O363" t="s">
        <v>703</v>
      </c>
      <c r="P363" s="76">
        <v>45506.722291666665</v>
      </c>
      <c r="Q363" t="s">
        <v>871</v>
      </c>
      <c r="R363" t="b">
        <v>0</v>
      </c>
      <c r="S363">
        <v>0</v>
      </c>
      <c r="T363">
        <v>0</v>
      </c>
      <c r="U363">
        <v>0</v>
      </c>
      <c r="V363">
        <v>0</v>
      </c>
      <c r="W363">
        <v>16</v>
      </c>
      <c r="AA363" t="s">
        <v>1235</v>
      </c>
      <c r="AB363" t="s">
        <v>1293</v>
      </c>
      <c r="AC363" t="s">
        <v>1359</v>
      </c>
      <c r="AD363" s="77" t="s">
        <v>1367</v>
      </c>
      <c r="AE363" t="s">
        <v>1385</v>
      </c>
      <c r="AF363" s="78" t="str">
        <f t="shared" si="0"/>
        <v>https://twitter.com/palasrisillas/status/1819422937658617892</v>
      </c>
      <c r="AG363" s="76">
        <v>45506.722291666665</v>
      </c>
      <c r="AH363" s="80">
        <v>45506</v>
      </c>
      <c r="AI363" s="77" t="s">
        <v>1552</v>
      </c>
      <c r="AJ363" t="b">
        <v>0</v>
      </c>
      <c r="AR363" t="s">
        <v>1806</v>
      </c>
      <c r="AW363" s="78" t="str">
        <f t="shared" si="1"/>
        <v>https://pbs.twimg.com/media/GT_jXDMW8AgGZac.jpg</v>
      </c>
      <c r="AX363" s="77" t="s">
        <v>2037</v>
      </c>
      <c r="AY363" s="77" t="s">
        <v>2307</v>
      </c>
      <c r="AZ363" s="77" t="s">
        <v>2427</v>
      </c>
      <c r="BA363" s="77" t="s">
        <v>2510</v>
      </c>
      <c r="BB363" s="77" t="s">
        <v>2494</v>
      </c>
      <c r="BC363" s="77" t="s">
        <v>2494</v>
      </c>
      <c r="BD363" s="77" t="s">
        <v>2510</v>
      </c>
      <c r="BE363">
        <v>410817258</v>
      </c>
      <c r="BK363" s="112" t="str">
        <f>REPLACE(INDEX(GroupVertices[Group], MATCH("~"&amp;Edges[[#This Row],[Vertex 1]],GroupVertices[Vertex],0)),1,1,"")</f>
        <v>2</v>
      </c>
      <c r="BL363" s="112" t="str">
        <f>REPLACE(INDEX(GroupVertices[Group], MATCH("~"&amp;Edges[[#This Row],[Vertex 2]],GroupVertices[Vertex],0)),1,1,"")</f>
        <v>2</v>
      </c>
    </row>
    <row r="364" spans="1:64" x14ac:dyDescent="0.25">
      <c r="A364" s="61" t="s">
        <v>320</v>
      </c>
      <c r="B364" s="61" t="s">
        <v>600</v>
      </c>
      <c r="C364" s="62"/>
      <c r="D364" s="63"/>
      <c r="E364" s="64"/>
      <c r="F364" s="65"/>
      <c r="G364" s="62"/>
      <c r="H364" s="66"/>
      <c r="I364" s="67"/>
      <c r="J364" s="67"/>
      <c r="K364" s="31"/>
      <c r="L364" s="75">
        <v>364</v>
      </c>
      <c r="M364"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64" s="69"/>
      <c r="O364" t="s">
        <v>703</v>
      </c>
      <c r="P364" s="76">
        <v>45506.722291666665</v>
      </c>
      <c r="Q364" t="s">
        <v>871</v>
      </c>
      <c r="R364" t="b">
        <v>0</v>
      </c>
      <c r="S364">
        <v>0</v>
      </c>
      <c r="T364">
        <v>0</v>
      </c>
      <c r="U364">
        <v>0</v>
      </c>
      <c r="V364">
        <v>0</v>
      </c>
      <c r="W364">
        <v>16</v>
      </c>
      <c r="AA364" t="s">
        <v>1235</v>
      </c>
      <c r="AB364" t="s">
        <v>1293</v>
      </c>
      <c r="AC364" t="s">
        <v>1359</v>
      </c>
      <c r="AD364" s="77" t="s">
        <v>1367</v>
      </c>
      <c r="AE364" t="s">
        <v>1385</v>
      </c>
      <c r="AF364" s="78" t="str">
        <f t="shared" si="0"/>
        <v>https://twitter.com/palasrisillas/status/1819422937658617892</v>
      </c>
      <c r="AG364" s="76">
        <v>45506.722291666665</v>
      </c>
      <c r="AH364" s="80">
        <v>45506</v>
      </c>
      <c r="AI364" s="77" t="s">
        <v>1552</v>
      </c>
      <c r="AJ364" t="b">
        <v>0</v>
      </c>
      <c r="AR364" t="s">
        <v>1806</v>
      </c>
      <c r="AW364" s="78" t="str">
        <f t="shared" si="1"/>
        <v>https://pbs.twimg.com/media/GT_jXDMW8AgGZac.jpg</v>
      </c>
      <c r="AX364" s="77" t="s">
        <v>2037</v>
      </c>
      <c r="AY364" s="77" t="s">
        <v>2307</v>
      </c>
      <c r="AZ364" s="77" t="s">
        <v>2427</v>
      </c>
      <c r="BA364" s="77" t="s">
        <v>2510</v>
      </c>
      <c r="BB364" s="77" t="s">
        <v>2494</v>
      </c>
      <c r="BC364" s="77" t="s">
        <v>2494</v>
      </c>
      <c r="BD364" s="77" t="s">
        <v>2510</v>
      </c>
      <c r="BE364">
        <v>410817258</v>
      </c>
      <c r="BK364" s="112" t="str">
        <f>REPLACE(INDEX(GroupVertices[Group], MATCH("~"&amp;Edges[[#This Row],[Vertex 1]],GroupVertices[Vertex],0)),1,1,"")</f>
        <v>2</v>
      </c>
      <c r="BL364" s="112" t="str">
        <f>REPLACE(INDEX(GroupVertices[Group], MATCH("~"&amp;Edges[[#This Row],[Vertex 2]],GroupVertices[Vertex],0)),1,1,"")</f>
        <v>2</v>
      </c>
    </row>
    <row r="365" spans="1:64" x14ac:dyDescent="0.25">
      <c r="A365" s="61" t="s">
        <v>320</v>
      </c>
      <c r="B365" s="61" t="s">
        <v>601</v>
      </c>
      <c r="C365" s="62"/>
      <c r="D365" s="63"/>
      <c r="E365" s="64"/>
      <c r="F365" s="65"/>
      <c r="G365" s="62"/>
      <c r="H365" s="66"/>
      <c r="I365" s="67"/>
      <c r="J365" s="67"/>
      <c r="K365" s="31"/>
      <c r="L365" s="75">
        <v>365</v>
      </c>
      <c r="M365"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65" s="69"/>
      <c r="O365" t="s">
        <v>703</v>
      </c>
      <c r="P365" s="76">
        <v>45506.722291666665</v>
      </c>
      <c r="Q365" t="s">
        <v>871</v>
      </c>
      <c r="R365" t="b">
        <v>0</v>
      </c>
      <c r="S365">
        <v>0</v>
      </c>
      <c r="T365">
        <v>0</v>
      </c>
      <c r="U365">
        <v>0</v>
      </c>
      <c r="V365">
        <v>0</v>
      </c>
      <c r="W365">
        <v>16</v>
      </c>
      <c r="AA365" t="s">
        <v>1235</v>
      </c>
      <c r="AB365" t="s">
        <v>1293</v>
      </c>
      <c r="AC365" t="s">
        <v>1359</v>
      </c>
      <c r="AD365" s="77" t="s">
        <v>1367</v>
      </c>
      <c r="AE365" t="s">
        <v>1385</v>
      </c>
      <c r="AF365" s="78" t="str">
        <f t="shared" si="0"/>
        <v>https://twitter.com/palasrisillas/status/1819422937658617892</v>
      </c>
      <c r="AG365" s="76">
        <v>45506.722291666665</v>
      </c>
      <c r="AH365" s="80">
        <v>45506</v>
      </c>
      <c r="AI365" s="77" t="s">
        <v>1552</v>
      </c>
      <c r="AJ365" t="b">
        <v>0</v>
      </c>
      <c r="AR365" t="s">
        <v>1806</v>
      </c>
      <c r="AW365" s="78" t="str">
        <f t="shared" si="1"/>
        <v>https://pbs.twimg.com/media/GT_jXDMW8AgGZac.jpg</v>
      </c>
      <c r="AX365" s="77" t="s">
        <v>2037</v>
      </c>
      <c r="AY365" s="77" t="s">
        <v>2307</v>
      </c>
      <c r="AZ365" s="77" t="s">
        <v>2427</v>
      </c>
      <c r="BA365" s="77" t="s">
        <v>2510</v>
      </c>
      <c r="BB365" s="77" t="s">
        <v>2494</v>
      </c>
      <c r="BC365" s="77" t="s">
        <v>2494</v>
      </c>
      <c r="BD365" s="77" t="s">
        <v>2510</v>
      </c>
      <c r="BE365">
        <v>410817258</v>
      </c>
      <c r="BK365" s="112" t="str">
        <f>REPLACE(INDEX(GroupVertices[Group], MATCH("~"&amp;Edges[[#This Row],[Vertex 1]],GroupVertices[Vertex],0)),1,1,"")</f>
        <v>2</v>
      </c>
      <c r="BL365" s="112" t="str">
        <f>REPLACE(INDEX(GroupVertices[Group], MATCH("~"&amp;Edges[[#This Row],[Vertex 2]],GroupVertices[Vertex],0)),1,1,"")</f>
        <v>2</v>
      </c>
    </row>
    <row r="366" spans="1:64" x14ac:dyDescent="0.25">
      <c r="A366" s="61" t="s">
        <v>320</v>
      </c>
      <c r="B366" s="61" t="s">
        <v>602</v>
      </c>
      <c r="C366" s="62"/>
      <c r="D366" s="63"/>
      <c r="E366" s="64"/>
      <c r="F366" s="65"/>
      <c r="G366" s="62"/>
      <c r="H366" s="66"/>
      <c r="I366" s="67"/>
      <c r="J366" s="67"/>
      <c r="K366" s="31"/>
      <c r="L366" s="75">
        <v>366</v>
      </c>
      <c r="M366"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66" s="69"/>
      <c r="O366" t="s">
        <v>703</v>
      </c>
      <c r="P366" s="76">
        <v>45506.722291666665</v>
      </c>
      <c r="Q366" t="s">
        <v>871</v>
      </c>
      <c r="R366" t="b">
        <v>0</v>
      </c>
      <c r="S366">
        <v>0</v>
      </c>
      <c r="T366">
        <v>0</v>
      </c>
      <c r="U366">
        <v>0</v>
      </c>
      <c r="V366">
        <v>0</v>
      </c>
      <c r="W366">
        <v>16</v>
      </c>
      <c r="AA366" t="s">
        <v>1235</v>
      </c>
      <c r="AB366" t="s">
        <v>1293</v>
      </c>
      <c r="AC366" t="s">
        <v>1359</v>
      </c>
      <c r="AD366" s="77" t="s">
        <v>1367</v>
      </c>
      <c r="AE366" t="s">
        <v>1385</v>
      </c>
      <c r="AF366" s="78" t="str">
        <f t="shared" si="0"/>
        <v>https://twitter.com/palasrisillas/status/1819422937658617892</v>
      </c>
      <c r="AG366" s="76">
        <v>45506.722291666665</v>
      </c>
      <c r="AH366" s="80">
        <v>45506</v>
      </c>
      <c r="AI366" s="77" t="s">
        <v>1552</v>
      </c>
      <c r="AJ366" t="b">
        <v>0</v>
      </c>
      <c r="AR366" t="s">
        <v>1806</v>
      </c>
      <c r="AW366" s="78" t="str">
        <f t="shared" si="1"/>
        <v>https://pbs.twimg.com/media/GT_jXDMW8AgGZac.jpg</v>
      </c>
      <c r="AX366" s="77" t="s">
        <v>2037</v>
      </c>
      <c r="AY366" s="77" t="s">
        <v>2307</v>
      </c>
      <c r="AZ366" s="77" t="s">
        <v>2427</v>
      </c>
      <c r="BA366" s="77" t="s">
        <v>2510</v>
      </c>
      <c r="BB366" s="77" t="s">
        <v>2494</v>
      </c>
      <c r="BC366" s="77" t="s">
        <v>2494</v>
      </c>
      <c r="BD366" s="77" t="s">
        <v>2510</v>
      </c>
      <c r="BE366">
        <v>410817258</v>
      </c>
      <c r="BK366" s="112" t="str">
        <f>REPLACE(INDEX(GroupVertices[Group], MATCH("~"&amp;Edges[[#This Row],[Vertex 1]],GroupVertices[Vertex],0)),1,1,"")</f>
        <v>2</v>
      </c>
      <c r="BL366" s="112" t="str">
        <f>REPLACE(INDEX(GroupVertices[Group], MATCH("~"&amp;Edges[[#This Row],[Vertex 2]],GroupVertices[Vertex],0)),1,1,"")</f>
        <v>2</v>
      </c>
    </row>
    <row r="367" spans="1:64" x14ac:dyDescent="0.25">
      <c r="A367" s="61" t="s">
        <v>320</v>
      </c>
      <c r="B367" s="61" t="s">
        <v>603</v>
      </c>
      <c r="C367" s="62"/>
      <c r="D367" s="63"/>
      <c r="E367" s="64"/>
      <c r="F367" s="65"/>
      <c r="G367" s="62"/>
      <c r="H367" s="66"/>
      <c r="I367" s="67"/>
      <c r="J367" s="67"/>
      <c r="K367" s="31"/>
      <c r="L367" s="75">
        <v>367</v>
      </c>
      <c r="M367"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67" s="69"/>
      <c r="O367" t="s">
        <v>703</v>
      </c>
      <c r="P367" s="76">
        <v>45506.722291666665</v>
      </c>
      <c r="Q367" t="s">
        <v>871</v>
      </c>
      <c r="R367" t="b">
        <v>0</v>
      </c>
      <c r="S367">
        <v>0</v>
      </c>
      <c r="T367">
        <v>0</v>
      </c>
      <c r="U367">
        <v>0</v>
      </c>
      <c r="V367">
        <v>0</v>
      </c>
      <c r="W367">
        <v>16</v>
      </c>
      <c r="AA367" t="s">
        <v>1235</v>
      </c>
      <c r="AB367" t="s">
        <v>1293</v>
      </c>
      <c r="AC367" t="s">
        <v>1359</v>
      </c>
      <c r="AD367" s="77" t="s">
        <v>1367</v>
      </c>
      <c r="AE367" t="s">
        <v>1385</v>
      </c>
      <c r="AF367" s="78" t="str">
        <f t="shared" si="0"/>
        <v>https://twitter.com/palasrisillas/status/1819422937658617892</v>
      </c>
      <c r="AG367" s="76">
        <v>45506.722291666665</v>
      </c>
      <c r="AH367" s="80">
        <v>45506</v>
      </c>
      <c r="AI367" s="77" t="s">
        <v>1552</v>
      </c>
      <c r="AJ367" t="b">
        <v>0</v>
      </c>
      <c r="AR367" t="s">
        <v>1806</v>
      </c>
      <c r="AW367" s="78" t="str">
        <f t="shared" si="1"/>
        <v>https://pbs.twimg.com/media/GT_jXDMW8AgGZac.jpg</v>
      </c>
      <c r="AX367" s="77" t="s">
        <v>2037</v>
      </c>
      <c r="AY367" s="77" t="s">
        <v>2307</v>
      </c>
      <c r="AZ367" s="77" t="s">
        <v>2427</v>
      </c>
      <c r="BA367" s="77" t="s">
        <v>2510</v>
      </c>
      <c r="BB367" s="77" t="s">
        <v>2494</v>
      </c>
      <c r="BC367" s="77" t="s">
        <v>2494</v>
      </c>
      <c r="BD367" s="77" t="s">
        <v>2510</v>
      </c>
      <c r="BE367">
        <v>410817258</v>
      </c>
      <c r="BK367" s="112" t="str">
        <f>REPLACE(INDEX(GroupVertices[Group], MATCH("~"&amp;Edges[[#This Row],[Vertex 1]],GroupVertices[Vertex],0)),1,1,"")</f>
        <v>2</v>
      </c>
      <c r="BL367" s="112" t="str">
        <f>REPLACE(INDEX(GroupVertices[Group], MATCH("~"&amp;Edges[[#This Row],[Vertex 2]],GroupVertices[Vertex],0)),1,1,"")</f>
        <v>2</v>
      </c>
    </row>
    <row r="368" spans="1:64" x14ac:dyDescent="0.25">
      <c r="A368" s="61" t="s">
        <v>320</v>
      </c>
      <c r="B368" s="61" t="s">
        <v>604</v>
      </c>
      <c r="C368" s="62"/>
      <c r="D368" s="63"/>
      <c r="E368" s="64"/>
      <c r="F368" s="65"/>
      <c r="G368" s="62"/>
      <c r="H368" s="66"/>
      <c r="I368" s="67"/>
      <c r="J368" s="67"/>
      <c r="K368" s="31"/>
      <c r="L368" s="75">
        <v>368</v>
      </c>
      <c r="M368"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68" s="69"/>
      <c r="O368" t="s">
        <v>703</v>
      </c>
      <c r="P368" s="76">
        <v>45506.722291666665</v>
      </c>
      <c r="Q368" t="s">
        <v>871</v>
      </c>
      <c r="R368" t="b">
        <v>0</v>
      </c>
      <c r="S368">
        <v>0</v>
      </c>
      <c r="T368">
        <v>0</v>
      </c>
      <c r="U368">
        <v>0</v>
      </c>
      <c r="V368">
        <v>0</v>
      </c>
      <c r="W368">
        <v>16</v>
      </c>
      <c r="AA368" t="s">
        <v>1235</v>
      </c>
      <c r="AB368" t="s">
        <v>1293</v>
      </c>
      <c r="AC368" t="s">
        <v>1359</v>
      </c>
      <c r="AD368" s="77" t="s">
        <v>1367</v>
      </c>
      <c r="AE368" t="s">
        <v>1385</v>
      </c>
      <c r="AF368" s="78" t="str">
        <f t="shared" si="0"/>
        <v>https://twitter.com/palasrisillas/status/1819422937658617892</v>
      </c>
      <c r="AG368" s="76">
        <v>45506.722291666665</v>
      </c>
      <c r="AH368" s="80">
        <v>45506</v>
      </c>
      <c r="AI368" s="77" t="s">
        <v>1552</v>
      </c>
      <c r="AJ368" t="b">
        <v>0</v>
      </c>
      <c r="AR368" t="s">
        <v>1806</v>
      </c>
      <c r="AW368" s="78" t="str">
        <f t="shared" si="1"/>
        <v>https://pbs.twimg.com/media/GT_jXDMW8AgGZac.jpg</v>
      </c>
      <c r="AX368" s="77" t="s">
        <v>2037</v>
      </c>
      <c r="AY368" s="77" t="s">
        <v>2307</v>
      </c>
      <c r="AZ368" s="77" t="s">
        <v>2427</v>
      </c>
      <c r="BA368" s="77" t="s">
        <v>2510</v>
      </c>
      <c r="BB368" s="77" t="s">
        <v>2494</v>
      </c>
      <c r="BC368" s="77" t="s">
        <v>2494</v>
      </c>
      <c r="BD368" s="77" t="s">
        <v>2510</v>
      </c>
      <c r="BE368">
        <v>410817258</v>
      </c>
      <c r="BK368" s="112" t="str">
        <f>REPLACE(INDEX(GroupVertices[Group], MATCH("~"&amp;Edges[[#This Row],[Vertex 1]],GroupVertices[Vertex],0)),1,1,"")</f>
        <v>2</v>
      </c>
      <c r="BL368" s="112" t="str">
        <f>REPLACE(INDEX(GroupVertices[Group], MATCH("~"&amp;Edges[[#This Row],[Vertex 2]],GroupVertices[Vertex],0)),1,1,"")</f>
        <v>2</v>
      </c>
    </row>
    <row r="369" spans="1:64" x14ac:dyDescent="0.25">
      <c r="A369" s="61" t="s">
        <v>320</v>
      </c>
      <c r="B369" s="61" t="s">
        <v>605</v>
      </c>
      <c r="C369" s="62"/>
      <c r="D369" s="63"/>
      <c r="E369" s="64"/>
      <c r="F369" s="65"/>
      <c r="G369" s="62"/>
      <c r="H369" s="66"/>
      <c r="I369" s="67"/>
      <c r="J369" s="67"/>
      <c r="K369" s="31"/>
      <c r="L369" s="75">
        <v>369</v>
      </c>
      <c r="M369"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69" s="69"/>
      <c r="O369" t="s">
        <v>701</v>
      </c>
      <c r="P369" s="76">
        <v>45506.722291666665</v>
      </c>
      <c r="Q369" t="s">
        <v>871</v>
      </c>
      <c r="R369" t="b">
        <v>0</v>
      </c>
      <c r="S369">
        <v>0</v>
      </c>
      <c r="T369">
        <v>0</v>
      </c>
      <c r="U369">
        <v>0</v>
      </c>
      <c r="V369">
        <v>0</v>
      </c>
      <c r="W369">
        <v>16</v>
      </c>
      <c r="AA369" t="s">
        <v>1235</v>
      </c>
      <c r="AB369" t="s">
        <v>1293</v>
      </c>
      <c r="AC369" t="s">
        <v>1359</v>
      </c>
      <c r="AD369" s="77" t="s">
        <v>1367</v>
      </c>
      <c r="AE369" t="s">
        <v>1385</v>
      </c>
      <c r="AF369" s="78" t="str">
        <f t="shared" si="0"/>
        <v>https://twitter.com/palasrisillas/status/1819422937658617892</v>
      </c>
      <c r="AG369" s="76">
        <v>45506.722291666665</v>
      </c>
      <c r="AH369" s="80">
        <v>45506</v>
      </c>
      <c r="AI369" s="77" t="s">
        <v>1552</v>
      </c>
      <c r="AJ369" t="b">
        <v>0</v>
      </c>
      <c r="AR369" t="s">
        <v>1806</v>
      </c>
      <c r="AW369" s="78" t="str">
        <f t="shared" si="1"/>
        <v>https://pbs.twimg.com/media/GT_jXDMW8AgGZac.jpg</v>
      </c>
      <c r="AX369" s="77" t="s">
        <v>2037</v>
      </c>
      <c r="AY369" s="77" t="s">
        <v>2307</v>
      </c>
      <c r="AZ369" s="77" t="s">
        <v>2427</v>
      </c>
      <c r="BA369" s="77" t="s">
        <v>2510</v>
      </c>
      <c r="BB369" s="77" t="s">
        <v>2494</v>
      </c>
      <c r="BC369" s="77" t="s">
        <v>2494</v>
      </c>
      <c r="BD369" s="77" t="s">
        <v>2510</v>
      </c>
      <c r="BE369">
        <v>410817258</v>
      </c>
      <c r="BK369" s="112" t="str">
        <f>REPLACE(INDEX(GroupVertices[Group], MATCH("~"&amp;Edges[[#This Row],[Vertex 1]],GroupVertices[Vertex],0)),1,1,"")</f>
        <v>2</v>
      </c>
      <c r="BL369" s="112" t="str">
        <f>REPLACE(INDEX(GroupVertices[Group], MATCH("~"&amp;Edges[[#This Row],[Vertex 2]],GroupVertices[Vertex],0)),1,1,"")</f>
        <v>2</v>
      </c>
    </row>
    <row r="370" spans="1:64" x14ac:dyDescent="0.25">
      <c r="A370" s="61" t="s">
        <v>320</v>
      </c>
      <c r="B370" s="61" t="s">
        <v>606</v>
      </c>
      <c r="C370" s="62"/>
      <c r="D370" s="63"/>
      <c r="E370" s="64"/>
      <c r="F370" s="65"/>
      <c r="G370" s="62"/>
      <c r="H370" s="66"/>
      <c r="I370" s="67"/>
      <c r="J370" s="67"/>
      <c r="K370" s="31"/>
      <c r="L370" s="75">
        <v>370</v>
      </c>
      <c r="M370"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70" s="69"/>
      <c r="O370" t="s">
        <v>703</v>
      </c>
      <c r="P370" s="76">
        <v>45506.722291666665</v>
      </c>
      <c r="Q370" t="s">
        <v>871</v>
      </c>
      <c r="R370" t="b">
        <v>0</v>
      </c>
      <c r="S370">
        <v>0</v>
      </c>
      <c r="T370">
        <v>0</v>
      </c>
      <c r="U370">
        <v>0</v>
      </c>
      <c r="V370">
        <v>0</v>
      </c>
      <c r="W370">
        <v>16</v>
      </c>
      <c r="AA370" t="s">
        <v>1235</v>
      </c>
      <c r="AB370" t="s">
        <v>1293</v>
      </c>
      <c r="AC370" t="s">
        <v>1359</v>
      </c>
      <c r="AD370" s="77" t="s">
        <v>1367</v>
      </c>
      <c r="AE370" t="s">
        <v>1385</v>
      </c>
      <c r="AF370" s="78" t="str">
        <f t="shared" si="0"/>
        <v>https://twitter.com/palasrisillas/status/1819422937658617892</v>
      </c>
      <c r="AG370" s="76">
        <v>45506.722291666665</v>
      </c>
      <c r="AH370" s="80">
        <v>45506</v>
      </c>
      <c r="AI370" s="77" t="s">
        <v>1552</v>
      </c>
      <c r="AJ370" t="b">
        <v>0</v>
      </c>
      <c r="AR370" t="s">
        <v>1806</v>
      </c>
      <c r="AW370" s="78" t="str">
        <f t="shared" si="1"/>
        <v>https://pbs.twimg.com/media/GT_jXDMW8AgGZac.jpg</v>
      </c>
      <c r="AX370" s="77" t="s">
        <v>2037</v>
      </c>
      <c r="AY370" s="77" t="s">
        <v>2307</v>
      </c>
      <c r="AZ370" s="77" t="s">
        <v>2427</v>
      </c>
      <c r="BA370" s="77" t="s">
        <v>2510</v>
      </c>
      <c r="BB370" s="77" t="s">
        <v>2494</v>
      </c>
      <c r="BC370" s="77" t="s">
        <v>2494</v>
      </c>
      <c r="BD370" s="77" t="s">
        <v>2510</v>
      </c>
      <c r="BE370">
        <v>410817258</v>
      </c>
      <c r="BK370" s="112" t="str">
        <f>REPLACE(INDEX(GroupVertices[Group], MATCH("~"&amp;Edges[[#This Row],[Vertex 1]],GroupVertices[Vertex],0)),1,1,"")</f>
        <v>2</v>
      </c>
      <c r="BL370" s="112" t="str">
        <f>REPLACE(INDEX(GroupVertices[Group], MATCH("~"&amp;Edges[[#This Row],[Vertex 2]],GroupVertices[Vertex],0)),1,1,"")</f>
        <v>2</v>
      </c>
    </row>
    <row r="371" spans="1:64" x14ac:dyDescent="0.25">
      <c r="A371" s="61" t="s">
        <v>288</v>
      </c>
      <c r="B371" s="61" t="s">
        <v>563</v>
      </c>
      <c r="C371" s="62"/>
      <c r="D371" s="63"/>
      <c r="E371" s="64"/>
      <c r="F371" s="65"/>
      <c r="G371" s="62"/>
      <c r="H371" s="66"/>
      <c r="I371" s="67"/>
      <c r="J371" s="67"/>
      <c r="K371" s="31"/>
      <c r="L371" s="75">
        <v>371</v>
      </c>
      <c r="M371"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71" s="69"/>
      <c r="O371" t="s">
        <v>701</v>
      </c>
      <c r="P371" s="76">
        <v>45507.555115740739</v>
      </c>
      <c r="Q371" t="s">
        <v>794</v>
      </c>
      <c r="R371" t="b">
        <v>0</v>
      </c>
      <c r="S371">
        <v>0</v>
      </c>
      <c r="T371">
        <v>1</v>
      </c>
      <c r="U371">
        <v>0</v>
      </c>
      <c r="V371">
        <v>0</v>
      </c>
      <c r="W371">
        <v>15</v>
      </c>
      <c r="AA371" t="s">
        <v>563</v>
      </c>
      <c r="AD371" s="77" t="s">
        <v>1365</v>
      </c>
      <c r="AE371" t="s">
        <v>1385</v>
      </c>
      <c r="AF371" s="78" t="str">
        <f>HYPERLINK("https://twitter.com/alex_alic/status/1819724742883963387")</f>
        <v>https://twitter.com/alex_alic/status/1819724742883963387</v>
      </c>
      <c r="AG371" s="76">
        <v>45507.555115740739</v>
      </c>
      <c r="AH371" s="80">
        <v>45507</v>
      </c>
      <c r="AI371" s="77" t="s">
        <v>1476</v>
      </c>
      <c r="AW371" s="78" t="str">
        <f>HYPERLINK("https://pbs.twimg.com/profile_images/1787466031830585344/rmOMQzGH_normal.jpg")</f>
        <v>https://pbs.twimg.com/profile_images/1787466031830585344/rmOMQzGH_normal.jpg</v>
      </c>
      <c r="AX371" s="77" t="s">
        <v>1960</v>
      </c>
      <c r="AY371" s="77" t="s">
        <v>2292</v>
      </c>
      <c r="AZ371" s="77" t="s">
        <v>2410</v>
      </c>
      <c r="BA371" s="77" t="s">
        <v>2292</v>
      </c>
      <c r="BB371" s="77" t="s">
        <v>2494</v>
      </c>
      <c r="BC371" s="77" t="s">
        <v>2494</v>
      </c>
      <c r="BD371" s="77" t="s">
        <v>2292</v>
      </c>
      <c r="BE371">
        <v>282930614</v>
      </c>
      <c r="BK371" s="112" t="str">
        <f>REPLACE(INDEX(GroupVertices[Group], MATCH("~"&amp;Edges[[#This Row],[Vertex 1]],GroupVertices[Vertex],0)),1,1,"")</f>
        <v>8</v>
      </c>
      <c r="BL371" s="112" t="str">
        <f>REPLACE(INDEX(GroupVertices[Group], MATCH("~"&amp;Edges[[#This Row],[Vertex 2]],GroupVertices[Vertex],0)),1,1,"")</f>
        <v>8</v>
      </c>
    </row>
    <row r="372" spans="1:64" x14ac:dyDescent="0.25">
      <c r="A372" s="61" t="s">
        <v>292</v>
      </c>
      <c r="B372" s="61" t="s">
        <v>292</v>
      </c>
      <c r="C372" s="62"/>
      <c r="D372" s="63"/>
      <c r="E372" s="64"/>
      <c r="F372" s="65"/>
      <c r="G372" s="62"/>
      <c r="H372" s="66"/>
      <c r="I372" s="67"/>
      <c r="J372" s="67"/>
      <c r="K372" s="31"/>
      <c r="L372" s="75">
        <v>372</v>
      </c>
      <c r="M372"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72" s="69"/>
      <c r="O372" t="s">
        <v>177</v>
      </c>
      <c r="P372" s="76">
        <v>45506.769849537035</v>
      </c>
      <c r="Q372" t="s">
        <v>808</v>
      </c>
      <c r="R372" t="b">
        <v>0</v>
      </c>
      <c r="S372">
        <v>0</v>
      </c>
      <c r="T372">
        <v>0</v>
      </c>
      <c r="U372">
        <v>0</v>
      </c>
      <c r="V372">
        <v>0</v>
      </c>
      <c r="W372">
        <v>15</v>
      </c>
      <c r="X372" s="77" t="s">
        <v>1099</v>
      </c>
      <c r="Y372" s="78" t="str">
        <f>HYPERLINK("https://vm.tiktok.com/ZGe7QbSyh/")</f>
        <v>https://vm.tiktok.com/ZGe7QbSyh/</v>
      </c>
      <c r="Z372" t="s">
        <v>1149</v>
      </c>
      <c r="AD372" s="77" t="s">
        <v>1365</v>
      </c>
      <c r="AE372" t="s">
        <v>1385</v>
      </c>
      <c r="AF372" s="78" t="str">
        <f>HYPERLINK("https://twitter.com/atologocito1/status/1819440173341425675")</f>
        <v>https://twitter.com/atologocito1/status/1819440173341425675</v>
      </c>
      <c r="AG372" s="76">
        <v>45506.769849537035</v>
      </c>
      <c r="AH372" s="80">
        <v>45506</v>
      </c>
      <c r="AI372" s="77" t="s">
        <v>1490</v>
      </c>
      <c r="AJ372" t="b">
        <v>0</v>
      </c>
      <c r="AW372" s="78" t="str">
        <f>HYPERLINK("https://pbs.twimg.com/profile_images/1497222336470298628/AOSxZ6NT_normal.jpg")</f>
        <v>https://pbs.twimg.com/profile_images/1497222336470298628/AOSxZ6NT_normal.jpg</v>
      </c>
      <c r="AX372" s="77" t="s">
        <v>1974</v>
      </c>
      <c r="AY372" s="77" t="s">
        <v>1974</v>
      </c>
      <c r="BA372" s="77" t="s">
        <v>2494</v>
      </c>
      <c r="BB372" s="77" t="s">
        <v>2494</v>
      </c>
      <c r="BC372" s="77" t="s">
        <v>2494</v>
      </c>
      <c r="BD372" s="77" t="s">
        <v>1974</v>
      </c>
      <c r="BE372" s="77" t="s">
        <v>2565</v>
      </c>
      <c r="BK372" s="112" t="str">
        <f>REPLACE(INDEX(GroupVertices[Group], MATCH("~"&amp;Edges[[#This Row],[Vertex 1]],GroupVertices[Vertex],0)),1,1,"")</f>
        <v>13</v>
      </c>
      <c r="BL372" s="112" t="str">
        <f>REPLACE(INDEX(GroupVertices[Group], MATCH("~"&amp;Edges[[#This Row],[Vertex 2]],GroupVertices[Vertex],0)),1,1,"")</f>
        <v>13</v>
      </c>
    </row>
    <row r="373" spans="1:64" x14ac:dyDescent="0.25">
      <c r="A373" s="61" t="s">
        <v>292</v>
      </c>
      <c r="B373" s="61" t="s">
        <v>292</v>
      </c>
      <c r="C373" s="62"/>
      <c r="D373" s="63"/>
      <c r="E373" s="64"/>
      <c r="F373" s="65"/>
      <c r="G373" s="62"/>
      <c r="H373" s="66"/>
      <c r="I373" s="67"/>
      <c r="J373" s="67"/>
      <c r="K373" s="31"/>
      <c r="L373" s="75">
        <v>373</v>
      </c>
      <c r="M373"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73" s="69"/>
      <c r="O373" t="s">
        <v>177</v>
      </c>
      <c r="P373" s="76">
        <v>45506.767743055556</v>
      </c>
      <c r="Q373" t="s">
        <v>813</v>
      </c>
      <c r="R373" t="b">
        <v>0</v>
      </c>
      <c r="S373">
        <v>0</v>
      </c>
      <c r="T373">
        <v>0</v>
      </c>
      <c r="U373">
        <v>0</v>
      </c>
      <c r="V373">
        <v>0</v>
      </c>
      <c r="W373">
        <v>15</v>
      </c>
      <c r="X373" s="77" t="s">
        <v>1099</v>
      </c>
      <c r="Y373" s="78" t="str">
        <f>HYPERLINK("https://vm.tiktok.com/ZGe7QK2x7/")</f>
        <v>https://vm.tiktok.com/ZGe7QK2x7/</v>
      </c>
      <c r="Z373" t="s">
        <v>1149</v>
      </c>
      <c r="AD373" s="77" t="s">
        <v>1365</v>
      </c>
      <c r="AE373" t="s">
        <v>1385</v>
      </c>
      <c r="AF373" s="78" t="str">
        <f>HYPERLINK("https://twitter.com/atologocito1/status/1819439408464253209")</f>
        <v>https://twitter.com/atologocito1/status/1819439408464253209</v>
      </c>
      <c r="AG373" s="76">
        <v>45506.767743055556</v>
      </c>
      <c r="AH373" s="80">
        <v>45506</v>
      </c>
      <c r="AI373" s="77" t="s">
        <v>1495</v>
      </c>
      <c r="AJ373" t="b">
        <v>0</v>
      </c>
      <c r="AK373" t="s">
        <v>1767</v>
      </c>
      <c r="AL373" t="s">
        <v>1769</v>
      </c>
      <c r="AM373" t="s">
        <v>1770</v>
      </c>
      <c r="AN373" t="s">
        <v>1771</v>
      </c>
      <c r="AO373" t="s">
        <v>1773</v>
      </c>
      <c r="AP373" t="s">
        <v>1775</v>
      </c>
      <c r="AQ373" t="s">
        <v>1777</v>
      </c>
      <c r="AW373" s="78" t="str">
        <f>HYPERLINK("https://pbs.twimg.com/profile_images/1497222336470298628/AOSxZ6NT_normal.jpg")</f>
        <v>https://pbs.twimg.com/profile_images/1497222336470298628/AOSxZ6NT_normal.jpg</v>
      </c>
      <c r="AX373" s="77" t="s">
        <v>1979</v>
      </c>
      <c r="AY373" s="77" t="s">
        <v>1979</v>
      </c>
      <c r="BA373" s="77" t="s">
        <v>2494</v>
      </c>
      <c r="BB373" s="77" t="s">
        <v>2494</v>
      </c>
      <c r="BC373" s="77" t="s">
        <v>2494</v>
      </c>
      <c r="BD373" s="77" t="s">
        <v>1979</v>
      </c>
      <c r="BE373" s="77" t="s">
        <v>2565</v>
      </c>
      <c r="BK373" s="112" t="str">
        <f>REPLACE(INDEX(GroupVertices[Group], MATCH("~"&amp;Edges[[#This Row],[Vertex 1]],GroupVertices[Vertex],0)),1,1,"")</f>
        <v>13</v>
      </c>
      <c r="BL373" s="112" t="str">
        <f>REPLACE(INDEX(GroupVertices[Group], MATCH("~"&amp;Edges[[#This Row],[Vertex 2]],GroupVertices[Vertex],0)),1,1,"")</f>
        <v>13</v>
      </c>
    </row>
    <row r="374" spans="1:64" x14ac:dyDescent="0.25">
      <c r="A374" s="61" t="s">
        <v>296</v>
      </c>
      <c r="B374" s="61" t="s">
        <v>266</v>
      </c>
      <c r="C374" s="62"/>
      <c r="D374" s="63"/>
      <c r="E374" s="64"/>
      <c r="F374" s="65"/>
      <c r="G374" s="62"/>
      <c r="H374" s="66"/>
      <c r="I374" s="67"/>
      <c r="J374" s="67"/>
      <c r="K374" s="31"/>
      <c r="L374" s="75">
        <v>374</v>
      </c>
      <c r="M374"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74" s="69"/>
      <c r="O374" t="s">
        <v>702</v>
      </c>
      <c r="P374" s="76">
        <v>45509.990752314814</v>
      </c>
      <c r="Q374" t="s">
        <v>846</v>
      </c>
      <c r="R374" t="b">
        <v>0</v>
      </c>
      <c r="S374">
        <v>0</v>
      </c>
      <c r="T374">
        <v>0</v>
      </c>
      <c r="U374">
        <v>0</v>
      </c>
      <c r="V374">
        <v>0</v>
      </c>
      <c r="W374">
        <v>15</v>
      </c>
      <c r="X374" s="77" t="s">
        <v>1103</v>
      </c>
      <c r="AA374" t="s">
        <v>266</v>
      </c>
      <c r="AD374" s="77" t="s">
        <v>1365</v>
      </c>
      <c r="AE374" t="s">
        <v>1385</v>
      </c>
      <c r="AF374" s="78" t="str">
        <f>HYPERLINK("https://twitter.com/minervafdz/status/1820607389076193439")</f>
        <v>https://twitter.com/minervafdz/status/1820607389076193439</v>
      </c>
      <c r="AG374" s="76">
        <v>45509.990752314814</v>
      </c>
      <c r="AH374" s="80">
        <v>45509</v>
      </c>
      <c r="AI374" s="77" t="s">
        <v>1527</v>
      </c>
      <c r="AW374" s="78" t="str">
        <f>HYPERLINK("https://pbs.twimg.com/profile_images/1820173549572603904/kJxADlRp_normal.jpg")</f>
        <v>https://pbs.twimg.com/profile_images/1820173549572603904/kJxADlRp_normal.jpg</v>
      </c>
      <c r="AX374" s="77" t="s">
        <v>2012</v>
      </c>
      <c r="AY374" s="77" t="s">
        <v>2012</v>
      </c>
      <c r="BA374" s="77" t="s">
        <v>2494</v>
      </c>
      <c r="BB374" s="77" t="s">
        <v>2494</v>
      </c>
      <c r="BC374" s="77" t="s">
        <v>2494</v>
      </c>
      <c r="BD374" s="77" t="s">
        <v>2012</v>
      </c>
      <c r="BE374">
        <v>252834303</v>
      </c>
      <c r="BK374" s="112" t="str">
        <f>REPLACE(INDEX(GroupVertices[Group], MATCH("~"&amp;Edges[[#This Row],[Vertex 1]],GroupVertices[Vertex],0)),1,1,"")</f>
        <v>5</v>
      </c>
      <c r="BL374" s="112" t="str">
        <f>REPLACE(INDEX(GroupVertices[Group], MATCH("~"&amp;Edges[[#This Row],[Vertex 2]],GroupVertices[Vertex],0)),1,1,"")</f>
        <v>5</v>
      </c>
    </row>
    <row r="375" spans="1:64" x14ac:dyDescent="0.25">
      <c r="A375" s="61" t="s">
        <v>317</v>
      </c>
      <c r="B375" s="61" t="s">
        <v>592</v>
      </c>
      <c r="C375" s="62"/>
      <c r="D375" s="63"/>
      <c r="E375" s="64"/>
      <c r="F375" s="65"/>
      <c r="G375" s="62"/>
      <c r="H375" s="66"/>
      <c r="I375" s="67"/>
      <c r="J375" s="67"/>
      <c r="K375" s="31"/>
      <c r="L375" s="75">
        <v>375</v>
      </c>
      <c r="M375"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75" s="69"/>
      <c r="O375" t="s">
        <v>702</v>
      </c>
      <c r="P375" s="76">
        <v>45508.113912037035</v>
      </c>
      <c r="Q375" t="s">
        <v>868</v>
      </c>
      <c r="R375" t="b">
        <v>0</v>
      </c>
      <c r="S375">
        <v>0</v>
      </c>
      <c r="T375">
        <v>0</v>
      </c>
      <c r="U375">
        <v>0</v>
      </c>
      <c r="V375">
        <v>0</v>
      </c>
      <c r="W375">
        <v>15</v>
      </c>
      <c r="X375" s="77" t="s">
        <v>1105</v>
      </c>
      <c r="Y375" s="78" t="str">
        <f>HYPERLINK("https://cutlly.com/YBQbF")</f>
        <v>https://cutlly.com/YBQbF</v>
      </c>
      <c r="Z375" t="s">
        <v>1161</v>
      </c>
      <c r="AA375" t="s">
        <v>592</v>
      </c>
      <c r="AD375" s="77" t="s">
        <v>1374</v>
      </c>
      <c r="AE375" t="s">
        <v>1385</v>
      </c>
      <c r="AF375" s="78" t="str">
        <f>HYPERLINK("https://twitter.com/inoticias_cl/status/1819927247030984727")</f>
        <v>https://twitter.com/inoticias_cl/status/1819927247030984727</v>
      </c>
      <c r="AG375" s="76">
        <v>45508.113912037035</v>
      </c>
      <c r="AH375" s="80">
        <v>45508</v>
      </c>
      <c r="AI375" s="77" t="s">
        <v>1549</v>
      </c>
      <c r="AJ375" t="b">
        <v>0</v>
      </c>
      <c r="AW375" s="78" t="str">
        <f>HYPERLINK("https://pbs.twimg.com/profile_images/1864414351777525760/0N5k_59e_normal.jpg")</f>
        <v>https://pbs.twimg.com/profile_images/1864414351777525760/0N5k_59e_normal.jpg</v>
      </c>
      <c r="AX375" s="77" t="s">
        <v>2034</v>
      </c>
      <c r="AY375" s="77" t="s">
        <v>2034</v>
      </c>
      <c r="BA375" s="77" t="s">
        <v>2494</v>
      </c>
      <c r="BB375" s="77" t="s">
        <v>2494</v>
      </c>
      <c r="BC375" s="77" t="s">
        <v>2494</v>
      </c>
      <c r="BD375" s="77" t="s">
        <v>2034</v>
      </c>
      <c r="BE375" s="77" t="s">
        <v>2575</v>
      </c>
      <c r="BK375" s="112" t="str">
        <f>REPLACE(INDEX(GroupVertices[Group], MATCH("~"&amp;Edges[[#This Row],[Vertex 1]],GroupVertices[Vertex],0)),1,1,"")</f>
        <v>65</v>
      </c>
      <c r="BL375" s="112" t="str">
        <f>REPLACE(INDEX(GroupVertices[Group], MATCH("~"&amp;Edges[[#This Row],[Vertex 2]],GroupVertices[Vertex],0)),1,1,"")</f>
        <v>65</v>
      </c>
    </row>
    <row r="376" spans="1:64" x14ac:dyDescent="0.25">
      <c r="A376" s="61" t="s">
        <v>359</v>
      </c>
      <c r="B376" s="61" t="s">
        <v>359</v>
      </c>
      <c r="C376" s="62"/>
      <c r="D376" s="63"/>
      <c r="E376" s="64"/>
      <c r="F376" s="65"/>
      <c r="G376" s="62"/>
      <c r="H376" s="66"/>
      <c r="I376" s="67"/>
      <c r="J376" s="67"/>
      <c r="K376" s="31"/>
      <c r="L376" s="75">
        <v>376</v>
      </c>
      <c r="M376"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76" s="69"/>
      <c r="O376" t="s">
        <v>177</v>
      </c>
      <c r="P376" s="76">
        <v>45511.000636574077</v>
      </c>
      <c r="Q376" t="s">
        <v>919</v>
      </c>
      <c r="R376" t="b">
        <v>0</v>
      </c>
      <c r="S376">
        <v>0</v>
      </c>
      <c r="T376">
        <v>0</v>
      </c>
      <c r="U376">
        <v>0</v>
      </c>
      <c r="V376">
        <v>0</v>
      </c>
      <c r="W376">
        <v>15</v>
      </c>
      <c r="AD376" s="77" t="s">
        <v>1367</v>
      </c>
      <c r="AE376" t="s">
        <v>1385</v>
      </c>
      <c r="AF376" s="78" t="str">
        <f>HYPERLINK("https://twitter.com/c_verasaldivia/status/1820973358688989263")</f>
        <v>https://twitter.com/c_verasaldivia/status/1820973358688989263</v>
      </c>
      <c r="AG376" s="76">
        <v>45511.000636574077</v>
      </c>
      <c r="AH376" s="80">
        <v>45511</v>
      </c>
      <c r="AI376" s="77" t="s">
        <v>1599</v>
      </c>
      <c r="AW376" s="78" t="str">
        <f>HYPERLINK("https://pbs.twimg.com/profile_images/1248819808642138112/d1onf_3__normal.jpg")</f>
        <v>https://pbs.twimg.com/profile_images/1248819808642138112/d1onf_3__normal.jpg</v>
      </c>
      <c r="AX376" s="77" t="s">
        <v>2085</v>
      </c>
      <c r="AY376" s="77" t="s">
        <v>2085</v>
      </c>
      <c r="BA376" s="77" t="s">
        <v>2494</v>
      </c>
      <c r="BB376" s="77" t="s">
        <v>2494</v>
      </c>
      <c r="BC376" s="77" t="s">
        <v>2494</v>
      </c>
      <c r="BD376" s="77" t="s">
        <v>2085</v>
      </c>
      <c r="BE376" s="77" t="s">
        <v>2591</v>
      </c>
      <c r="BK376" s="112" t="str">
        <f>REPLACE(INDEX(GroupVertices[Group], MATCH("~"&amp;Edges[[#This Row],[Vertex 1]],GroupVertices[Vertex],0)),1,1,"")</f>
        <v>116</v>
      </c>
      <c r="BL376" s="112" t="str">
        <f>REPLACE(INDEX(GroupVertices[Group], MATCH("~"&amp;Edges[[#This Row],[Vertex 2]],GroupVertices[Vertex],0)),1,1,"")</f>
        <v>116</v>
      </c>
    </row>
    <row r="377" spans="1:64" x14ac:dyDescent="0.25">
      <c r="A377" s="61" t="s">
        <v>373</v>
      </c>
      <c r="B377" s="61" t="s">
        <v>627</v>
      </c>
      <c r="C377" s="62"/>
      <c r="D377" s="63"/>
      <c r="E377" s="64"/>
      <c r="F377" s="65"/>
      <c r="G377" s="62"/>
      <c r="H377" s="66"/>
      <c r="I377" s="67"/>
      <c r="J377" s="67"/>
      <c r="K377" s="31"/>
      <c r="L377" s="75">
        <v>377</v>
      </c>
      <c r="M377"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77" s="69"/>
      <c r="O377" t="s">
        <v>703</v>
      </c>
      <c r="P377" s="76">
        <v>45505.913946759261</v>
      </c>
      <c r="Q377" t="s">
        <v>936</v>
      </c>
      <c r="R377" t="b">
        <v>0</v>
      </c>
      <c r="S377">
        <v>0</v>
      </c>
      <c r="T377">
        <v>1</v>
      </c>
      <c r="U377">
        <v>1</v>
      </c>
      <c r="V377">
        <v>0</v>
      </c>
      <c r="W377">
        <v>15</v>
      </c>
      <c r="AA377" t="s">
        <v>1241</v>
      </c>
      <c r="AD377" s="77" t="s">
        <v>1365</v>
      </c>
      <c r="AE377" t="s">
        <v>1385</v>
      </c>
      <c r="AF377" s="78" t="str">
        <f>HYPERLINK("https://twitter.com/mjoseabad1/status/1819130002949951905")</f>
        <v>https://twitter.com/mjoseabad1/status/1819130002949951905</v>
      </c>
      <c r="AG377" s="76">
        <v>45505.913946759261</v>
      </c>
      <c r="AH377" s="80">
        <v>45505</v>
      </c>
      <c r="AI377" s="77" t="s">
        <v>1616</v>
      </c>
      <c r="AW377" s="78" t="str">
        <f>HYPERLINK("https://pbs.twimg.com/profile_images/1786446168077000704/mysFHcV0_normal.jpg")</f>
        <v>https://pbs.twimg.com/profile_images/1786446168077000704/mysFHcV0_normal.jpg</v>
      </c>
      <c r="AX377" s="77" t="s">
        <v>2102</v>
      </c>
      <c r="AY377" s="77" t="s">
        <v>2323</v>
      </c>
      <c r="AZ377" s="77" t="s">
        <v>2442</v>
      </c>
      <c r="BA377" s="77" t="s">
        <v>2513</v>
      </c>
      <c r="BB377" s="77" t="s">
        <v>2494</v>
      </c>
      <c r="BC377" s="77" t="s">
        <v>2494</v>
      </c>
      <c r="BD377" s="77" t="s">
        <v>2513</v>
      </c>
      <c r="BE377" s="77" t="s">
        <v>2595</v>
      </c>
      <c r="BK377" s="112" t="str">
        <f>REPLACE(INDEX(GroupVertices[Group], MATCH("~"&amp;Edges[[#This Row],[Vertex 1]],GroupVertices[Vertex],0)),1,1,"")</f>
        <v>11</v>
      </c>
      <c r="BL377" s="112" t="str">
        <f>REPLACE(INDEX(GroupVertices[Group], MATCH("~"&amp;Edges[[#This Row],[Vertex 2]],GroupVertices[Vertex],0)),1,1,"")</f>
        <v>11</v>
      </c>
    </row>
    <row r="378" spans="1:64" x14ac:dyDescent="0.25">
      <c r="A378" s="61" t="s">
        <v>373</v>
      </c>
      <c r="B378" s="61" t="s">
        <v>628</v>
      </c>
      <c r="C378" s="62"/>
      <c r="D378" s="63"/>
      <c r="E378" s="64"/>
      <c r="F378" s="65"/>
      <c r="G378" s="62"/>
      <c r="H378" s="66"/>
      <c r="I378" s="67"/>
      <c r="J378" s="67"/>
      <c r="K378" s="31"/>
      <c r="L378" s="75">
        <v>378</v>
      </c>
      <c r="M378"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78" s="69"/>
      <c r="O378" t="s">
        <v>701</v>
      </c>
      <c r="P378" s="76">
        <v>45505.913946759261</v>
      </c>
      <c r="Q378" t="s">
        <v>936</v>
      </c>
      <c r="R378" t="b">
        <v>0</v>
      </c>
      <c r="S378">
        <v>0</v>
      </c>
      <c r="T378">
        <v>1</v>
      </c>
      <c r="U378">
        <v>1</v>
      </c>
      <c r="V378">
        <v>0</v>
      </c>
      <c r="W378">
        <v>15</v>
      </c>
      <c r="AA378" t="s">
        <v>1241</v>
      </c>
      <c r="AD378" s="77" t="s">
        <v>1365</v>
      </c>
      <c r="AE378" t="s">
        <v>1385</v>
      </c>
      <c r="AF378" s="78" t="str">
        <f>HYPERLINK("https://twitter.com/mjoseabad1/status/1819130002949951905")</f>
        <v>https://twitter.com/mjoseabad1/status/1819130002949951905</v>
      </c>
      <c r="AG378" s="76">
        <v>45505.913946759261</v>
      </c>
      <c r="AH378" s="80">
        <v>45505</v>
      </c>
      <c r="AI378" s="77" t="s">
        <v>1616</v>
      </c>
      <c r="AW378" s="78" t="str">
        <f>HYPERLINK("https://pbs.twimg.com/profile_images/1786446168077000704/mysFHcV0_normal.jpg")</f>
        <v>https://pbs.twimg.com/profile_images/1786446168077000704/mysFHcV0_normal.jpg</v>
      </c>
      <c r="AX378" s="77" t="s">
        <v>2102</v>
      </c>
      <c r="AY378" s="77" t="s">
        <v>2323</v>
      </c>
      <c r="AZ378" s="77" t="s">
        <v>2442</v>
      </c>
      <c r="BA378" s="77" t="s">
        <v>2513</v>
      </c>
      <c r="BB378" s="77" t="s">
        <v>2494</v>
      </c>
      <c r="BC378" s="77" t="s">
        <v>2494</v>
      </c>
      <c r="BD378" s="77" t="s">
        <v>2513</v>
      </c>
      <c r="BE378" s="77" t="s">
        <v>2595</v>
      </c>
      <c r="BK378" s="112" t="str">
        <f>REPLACE(INDEX(GroupVertices[Group], MATCH("~"&amp;Edges[[#This Row],[Vertex 1]],GroupVertices[Vertex],0)),1,1,"")</f>
        <v>11</v>
      </c>
      <c r="BL378" s="112" t="str">
        <f>REPLACE(INDEX(GroupVertices[Group], MATCH("~"&amp;Edges[[#This Row],[Vertex 2]],GroupVertices[Vertex],0)),1,1,"")</f>
        <v>11</v>
      </c>
    </row>
    <row r="379" spans="1:64" x14ac:dyDescent="0.25">
      <c r="A379" s="61" t="s">
        <v>466</v>
      </c>
      <c r="B379" s="61" t="s">
        <v>684</v>
      </c>
      <c r="C379" s="62"/>
      <c r="D379" s="63"/>
      <c r="E379" s="64"/>
      <c r="F379" s="65"/>
      <c r="G379" s="62"/>
      <c r="H379" s="66"/>
      <c r="I379" s="67"/>
      <c r="J379" s="67"/>
      <c r="K379" s="31"/>
      <c r="L379" s="75">
        <v>379</v>
      </c>
      <c r="M379"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79" s="69"/>
      <c r="O379" t="s">
        <v>701</v>
      </c>
      <c r="P379" s="76">
        <v>45505.81</v>
      </c>
      <c r="Q379" t="s">
        <v>1043</v>
      </c>
      <c r="R379" t="b">
        <v>0</v>
      </c>
      <c r="S379">
        <v>0</v>
      </c>
      <c r="T379">
        <v>1</v>
      </c>
      <c r="U379">
        <v>0</v>
      </c>
      <c r="V379">
        <v>0</v>
      </c>
      <c r="W379">
        <v>15</v>
      </c>
      <c r="AA379" t="s">
        <v>684</v>
      </c>
      <c r="AD379" s="77" t="s">
        <v>1365</v>
      </c>
      <c r="AE379" t="s">
        <v>1385</v>
      </c>
      <c r="AF379" s="78" t="str">
        <f>HYPERLINK("https://twitter.com/hericunill/status/1819092337043140796")</f>
        <v>https://twitter.com/hericunill/status/1819092337043140796</v>
      </c>
      <c r="AG379" s="76">
        <v>45505.81</v>
      </c>
      <c r="AH379" s="80">
        <v>45505</v>
      </c>
      <c r="AI379" s="77" t="s">
        <v>1721</v>
      </c>
      <c r="AW379" s="78" t="str">
        <f>HYPERLINK("https://pbs.twimg.com/profile_images/1177939745839751168/9TdaJcOe_normal.jpg")</f>
        <v>https://pbs.twimg.com/profile_images/1177939745839751168/9TdaJcOe_normal.jpg</v>
      </c>
      <c r="AX379" s="77" t="s">
        <v>2209</v>
      </c>
      <c r="AY379" s="77" t="s">
        <v>2356</v>
      </c>
      <c r="AZ379" s="77" t="s">
        <v>2480</v>
      </c>
      <c r="BA379" s="77" t="s">
        <v>2526</v>
      </c>
      <c r="BB379" s="77" t="s">
        <v>2494</v>
      </c>
      <c r="BC379" s="77" t="s">
        <v>2494</v>
      </c>
      <c r="BD379" s="77" t="s">
        <v>2526</v>
      </c>
      <c r="BE379" s="77" t="s">
        <v>2632</v>
      </c>
      <c r="BK379" s="112" t="str">
        <f>REPLACE(INDEX(GroupVertices[Group], MATCH("~"&amp;Edges[[#This Row],[Vertex 1]],GroupVertices[Vertex],0)),1,1,"")</f>
        <v>64</v>
      </c>
      <c r="BL379" s="112" t="str">
        <f>REPLACE(INDEX(GroupVertices[Group], MATCH("~"&amp;Edges[[#This Row],[Vertex 2]],GroupVertices[Vertex],0)),1,1,"")</f>
        <v>64</v>
      </c>
    </row>
    <row r="380" spans="1:64" x14ac:dyDescent="0.25">
      <c r="A380" s="61" t="s">
        <v>229</v>
      </c>
      <c r="B380" s="61" t="s">
        <v>511</v>
      </c>
      <c r="C380" s="62"/>
      <c r="D380" s="63"/>
      <c r="E380" s="64"/>
      <c r="F380" s="65"/>
      <c r="G380" s="62"/>
      <c r="H380" s="66"/>
      <c r="I380" s="67"/>
      <c r="J380" s="67"/>
      <c r="K380" s="31"/>
      <c r="L380" s="75">
        <v>380</v>
      </c>
      <c r="M380"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80" s="69"/>
      <c r="O380" t="s">
        <v>701</v>
      </c>
      <c r="P380" s="76">
        <v>45505.879282407404</v>
      </c>
      <c r="Q380" t="s">
        <v>712</v>
      </c>
      <c r="R380" t="b">
        <v>0</v>
      </c>
      <c r="S380">
        <v>0</v>
      </c>
      <c r="T380">
        <v>0</v>
      </c>
      <c r="U380">
        <v>0</v>
      </c>
      <c r="V380">
        <v>0</v>
      </c>
      <c r="W380">
        <v>14</v>
      </c>
      <c r="AA380" t="s">
        <v>511</v>
      </c>
      <c r="AD380" s="77" t="s">
        <v>1365</v>
      </c>
      <c r="AE380" t="s">
        <v>1385</v>
      </c>
      <c r="AF380" s="78" t="str">
        <f>HYPERLINK("https://twitter.com/gwes_phy/status/1819117444159394032")</f>
        <v>https://twitter.com/gwes_phy/status/1819117444159394032</v>
      </c>
      <c r="AG380" s="76">
        <v>45505.879282407404</v>
      </c>
      <c r="AH380" s="80">
        <v>45505</v>
      </c>
      <c r="AI380" s="77" t="s">
        <v>1394</v>
      </c>
      <c r="AW380" s="78" t="str">
        <f>HYPERLINK("https://pbs.twimg.com/profile_images/1766415955222044672/13Gjx2Nu_normal.jpg")</f>
        <v>https://pbs.twimg.com/profile_images/1766415955222044672/13Gjx2Nu_normal.jpg</v>
      </c>
      <c r="AX380" s="77" t="s">
        <v>1878</v>
      </c>
      <c r="AY380" s="77" t="s">
        <v>2258</v>
      </c>
      <c r="AZ380" s="77" t="s">
        <v>2372</v>
      </c>
      <c r="BA380" s="77" t="s">
        <v>2258</v>
      </c>
      <c r="BB380" s="77" t="s">
        <v>2494</v>
      </c>
      <c r="BC380" s="77" t="s">
        <v>2494</v>
      </c>
      <c r="BD380" s="77" t="s">
        <v>2258</v>
      </c>
      <c r="BE380" s="77" t="s">
        <v>2534</v>
      </c>
      <c r="BK380" s="112" t="str">
        <f>REPLACE(INDEX(GroupVertices[Group], MATCH("~"&amp;Edges[[#This Row],[Vertex 1]],GroupVertices[Vertex],0)),1,1,"")</f>
        <v>63</v>
      </c>
      <c r="BL380" s="112" t="str">
        <f>REPLACE(INDEX(GroupVertices[Group], MATCH("~"&amp;Edges[[#This Row],[Vertex 2]],GroupVertices[Vertex],0)),1,1,"")</f>
        <v>63</v>
      </c>
    </row>
    <row r="381" spans="1:64" x14ac:dyDescent="0.25">
      <c r="A381" s="61" t="s">
        <v>234</v>
      </c>
      <c r="B381" s="61" t="s">
        <v>514</v>
      </c>
      <c r="C381" s="62"/>
      <c r="D381" s="63"/>
      <c r="E381" s="64"/>
      <c r="F381" s="65"/>
      <c r="G381" s="62"/>
      <c r="H381" s="66"/>
      <c r="I381" s="67"/>
      <c r="J381" s="67"/>
      <c r="K381" s="31"/>
      <c r="L381" s="75">
        <v>381</v>
      </c>
      <c r="M381"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81" s="69"/>
      <c r="O381" t="s">
        <v>701</v>
      </c>
      <c r="P381" s="76">
        <v>45505.985474537039</v>
      </c>
      <c r="Q381" t="s">
        <v>717</v>
      </c>
      <c r="R381" t="b">
        <v>0</v>
      </c>
      <c r="S381">
        <v>0</v>
      </c>
      <c r="T381">
        <v>0</v>
      </c>
      <c r="U381">
        <v>0</v>
      </c>
      <c r="V381">
        <v>0</v>
      </c>
      <c r="W381">
        <v>14</v>
      </c>
      <c r="AA381" t="s">
        <v>514</v>
      </c>
      <c r="AD381" s="77" t="s">
        <v>1365</v>
      </c>
      <c r="AE381" t="s">
        <v>1385</v>
      </c>
      <c r="AF381" s="78" t="str">
        <f>HYPERLINK("https://twitter.com/franciscoav13/status/1819155924218736996")</f>
        <v>https://twitter.com/franciscoav13/status/1819155924218736996</v>
      </c>
      <c r="AG381" s="76">
        <v>45505.985474537039</v>
      </c>
      <c r="AH381" s="80">
        <v>45505</v>
      </c>
      <c r="AI381" s="77" t="s">
        <v>1399</v>
      </c>
      <c r="AW381" s="78" t="str">
        <f>HYPERLINK("https://pbs.twimg.com/profile_images/1199494484297428992/i5oXT39R_normal.jpg")</f>
        <v>https://pbs.twimg.com/profile_images/1199494484297428992/i5oXT39R_normal.jpg</v>
      </c>
      <c r="AX381" s="77" t="s">
        <v>1883</v>
      </c>
      <c r="AY381" s="77" t="s">
        <v>2259</v>
      </c>
      <c r="AZ381" s="77" t="s">
        <v>2373</v>
      </c>
      <c r="BA381" s="77" t="s">
        <v>2259</v>
      </c>
      <c r="BB381" s="77" t="s">
        <v>2494</v>
      </c>
      <c r="BC381" s="77" t="s">
        <v>2494</v>
      </c>
      <c r="BD381" s="77" t="s">
        <v>2259</v>
      </c>
      <c r="BE381" s="77" t="s">
        <v>2537</v>
      </c>
      <c r="BK381" s="112" t="str">
        <f>REPLACE(INDEX(GroupVertices[Group], MATCH("~"&amp;Edges[[#This Row],[Vertex 1]],GroupVertices[Vertex],0)),1,1,"")</f>
        <v>7</v>
      </c>
      <c r="BL381" s="112" t="str">
        <f>REPLACE(INDEX(GroupVertices[Group], MATCH("~"&amp;Edges[[#This Row],[Vertex 2]],GroupVertices[Vertex],0)),1,1,"")</f>
        <v>7</v>
      </c>
    </row>
    <row r="382" spans="1:64" x14ac:dyDescent="0.25">
      <c r="A382" s="61" t="s">
        <v>245</v>
      </c>
      <c r="B382" s="61" t="s">
        <v>245</v>
      </c>
      <c r="C382" s="62"/>
      <c r="D382" s="63"/>
      <c r="E382" s="64"/>
      <c r="F382" s="65"/>
      <c r="G382" s="62"/>
      <c r="H382" s="66"/>
      <c r="I382" s="67"/>
      <c r="J382" s="67"/>
      <c r="K382" s="31"/>
      <c r="L382" s="75">
        <v>382</v>
      </c>
      <c r="M382"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82" s="69"/>
      <c r="O382" t="s">
        <v>177</v>
      </c>
      <c r="P382" s="76">
        <v>45506.249548611115</v>
      </c>
      <c r="Q382" t="s">
        <v>730</v>
      </c>
      <c r="R382" t="b">
        <v>0</v>
      </c>
      <c r="S382">
        <v>0</v>
      </c>
      <c r="T382">
        <v>1</v>
      </c>
      <c r="U382">
        <v>0</v>
      </c>
      <c r="V382">
        <v>0</v>
      </c>
      <c r="W382">
        <v>14</v>
      </c>
      <c r="AD382" s="77" t="s">
        <v>1365</v>
      </c>
      <c r="AE382" t="s">
        <v>1385</v>
      </c>
      <c r="AF382" s="78" t="str">
        <f>HYPERLINK("https://twitter.com/_la_tombola_/status/1819251622704218499")</f>
        <v>https://twitter.com/_la_tombola_/status/1819251622704218499</v>
      </c>
      <c r="AG382" s="76">
        <v>45506.249548611115</v>
      </c>
      <c r="AH382" s="80">
        <v>45506</v>
      </c>
      <c r="AI382" s="77" t="s">
        <v>1412</v>
      </c>
      <c r="AW382" s="78" t="str">
        <f>HYPERLINK("https://pbs.twimg.com/profile_images/1782904715967078400/BENjXW57_normal.jpg")</f>
        <v>https://pbs.twimg.com/profile_images/1782904715967078400/BENjXW57_normal.jpg</v>
      </c>
      <c r="AX382" s="77" t="s">
        <v>1896</v>
      </c>
      <c r="AY382" s="77" t="s">
        <v>1896</v>
      </c>
      <c r="BA382" s="77" t="s">
        <v>2494</v>
      </c>
      <c r="BB382" s="77" t="s">
        <v>2494</v>
      </c>
      <c r="BC382" s="77" t="s">
        <v>2494</v>
      </c>
      <c r="BD382" s="77" t="s">
        <v>1896</v>
      </c>
      <c r="BE382" s="77" t="s">
        <v>2542</v>
      </c>
      <c r="BK382" s="112" t="str">
        <f>REPLACE(INDEX(GroupVertices[Group], MATCH("~"&amp;Edges[[#This Row],[Vertex 1]],GroupVertices[Vertex],0)),1,1,"")</f>
        <v>144</v>
      </c>
      <c r="BL382" s="112" t="str">
        <f>REPLACE(INDEX(GroupVertices[Group], MATCH("~"&amp;Edges[[#This Row],[Vertex 2]],GroupVertices[Vertex],0)),1,1,"")</f>
        <v>144</v>
      </c>
    </row>
    <row r="383" spans="1:64" x14ac:dyDescent="0.25">
      <c r="A383" s="61" t="s">
        <v>266</v>
      </c>
      <c r="B383" s="61" t="s">
        <v>548</v>
      </c>
      <c r="C383" s="62"/>
      <c r="D383" s="63"/>
      <c r="E383" s="64"/>
      <c r="F383" s="65"/>
      <c r="G383" s="62"/>
      <c r="H383" s="66"/>
      <c r="I383" s="67"/>
      <c r="J383" s="67"/>
      <c r="K383" s="31"/>
      <c r="L383" s="75">
        <v>383</v>
      </c>
      <c r="M383"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83" s="69"/>
      <c r="O383" t="s">
        <v>701</v>
      </c>
      <c r="P383" s="76">
        <v>45506.797002314815</v>
      </c>
      <c r="Q383" t="s">
        <v>764</v>
      </c>
      <c r="R383" t="b">
        <v>0</v>
      </c>
      <c r="S383">
        <v>0</v>
      </c>
      <c r="T383">
        <v>0</v>
      </c>
      <c r="U383">
        <v>0</v>
      </c>
      <c r="V383">
        <v>0</v>
      </c>
      <c r="W383">
        <v>14</v>
      </c>
      <c r="AA383" t="s">
        <v>548</v>
      </c>
      <c r="AD383" s="77" t="s">
        <v>1367</v>
      </c>
      <c r="AE383" t="s">
        <v>1385</v>
      </c>
      <c r="AF383" s="78" t="str">
        <f>HYPERLINK("https://twitter.com/admisionescolar/status/1819450011165642979")</f>
        <v>https://twitter.com/admisionescolar/status/1819450011165642979</v>
      </c>
      <c r="AG383" s="76">
        <v>45506.797002314815</v>
      </c>
      <c r="AH383" s="80">
        <v>45506</v>
      </c>
      <c r="AI383" s="77" t="s">
        <v>1446</v>
      </c>
      <c r="AW383" s="78" t="str">
        <f>HYPERLINK("https://pbs.twimg.com/profile_images/1814702908295798784/D2-qs3dC_normal.jpg")</f>
        <v>https://pbs.twimg.com/profile_images/1814702908295798784/D2-qs3dC_normal.jpg</v>
      </c>
      <c r="AX383" s="77" t="s">
        <v>1930</v>
      </c>
      <c r="AY383" s="77" t="s">
        <v>2281</v>
      </c>
      <c r="AZ383" s="77" t="s">
        <v>2398</v>
      </c>
      <c r="BA383" s="77" t="s">
        <v>2498</v>
      </c>
      <c r="BB383" s="77" t="s">
        <v>2494</v>
      </c>
      <c r="BC383" s="77" t="s">
        <v>2494</v>
      </c>
      <c r="BD383" s="77" t="s">
        <v>2498</v>
      </c>
      <c r="BE383" s="77" t="s">
        <v>2553</v>
      </c>
      <c r="BK383" s="112" t="str">
        <f>REPLACE(INDEX(GroupVertices[Group], MATCH("~"&amp;Edges[[#This Row],[Vertex 1]],GroupVertices[Vertex],0)),1,1,"")</f>
        <v>5</v>
      </c>
      <c r="BL383" s="112" t="str">
        <f>REPLACE(INDEX(GroupVertices[Group], MATCH("~"&amp;Edges[[#This Row],[Vertex 2]],GroupVertices[Vertex],0)),1,1,"")</f>
        <v>5</v>
      </c>
    </row>
    <row r="384" spans="1:64" x14ac:dyDescent="0.25">
      <c r="A384" s="61" t="s">
        <v>344</v>
      </c>
      <c r="B384" s="61" t="s">
        <v>497</v>
      </c>
      <c r="C384" s="62"/>
      <c r="D384" s="63"/>
      <c r="E384" s="64"/>
      <c r="F384" s="65"/>
      <c r="G384" s="62"/>
      <c r="H384" s="66"/>
      <c r="I384" s="67"/>
      <c r="J384" s="67"/>
      <c r="K384" s="31"/>
      <c r="L384" s="75">
        <v>384</v>
      </c>
      <c r="M384"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84" s="69"/>
      <c r="O384" t="s">
        <v>704</v>
      </c>
      <c r="P384" s="76">
        <v>45506.303587962961</v>
      </c>
      <c r="Q384" t="s">
        <v>903</v>
      </c>
      <c r="R384" t="b">
        <v>0</v>
      </c>
      <c r="S384">
        <v>0</v>
      </c>
      <c r="T384">
        <v>0</v>
      </c>
      <c r="U384">
        <v>0</v>
      </c>
      <c r="V384">
        <v>0</v>
      </c>
      <c r="W384">
        <v>14</v>
      </c>
      <c r="X384" s="77" t="s">
        <v>1111</v>
      </c>
      <c r="AD384" s="77" t="s">
        <v>1365</v>
      </c>
      <c r="AE384" t="s">
        <v>1385</v>
      </c>
      <c r="AF384" s="78" t="str">
        <f>HYPERLINK("https://twitter.com/caritonasis/status/1819271206660366392")</f>
        <v>https://twitter.com/caritonasis/status/1819271206660366392</v>
      </c>
      <c r="AG384" s="76">
        <v>45506.303587962961</v>
      </c>
      <c r="AH384" s="80">
        <v>45506</v>
      </c>
      <c r="AI384" s="77" t="s">
        <v>1583</v>
      </c>
      <c r="AW384" s="78" t="str">
        <f>HYPERLINK("https://pbs.twimg.com/profile_images/1925646112007868416/re2UE6cM_normal.jpg")</f>
        <v>https://pbs.twimg.com/profile_images/1925646112007868416/re2UE6cM_normal.jpg</v>
      </c>
      <c r="AX384" s="77" t="s">
        <v>2069</v>
      </c>
      <c r="AY384" s="77" t="s">
        <v>2069</v>
      </c>
      <c r="BA384" s="77" t="s">
        <v>2494</v>
      </c>
      <c r="BB384" s="77" t="s">
        <v>2245</v>
      </c>
      <c r="BC384" s="77" t="s">
        <v>2494</v>
      </c>
      <c r="BD384" s="77" t="s">
        <v>2245</v>
      </c>
      <c r="BE384">
        <v>118254056</v>
      </c>
      <c r="BK384" s="112" t="str">
        <f>REPLACE(INDEX(GroupVertices[Group], MATCH("~"&amp;Edges[[#This Row],[Vertex 1]],GroupVertices[Vertex],0)),1,1,"")</f>
        <v>1</v>
      </c>
      <c r="BL384" s="112" t="str">
        <f>REPLACE(INDEX(GroupVertices[Group], MATCH("~"&amp;Edges[[#This Row],[Vertex 2]],GroupVertices[Vertex],0)),1,1,"")</f>
        <v>1</v>
      </c>
    </row>
    <row r="385" spans="1:64" x14ac:dyDescent="0.25">
      <c r="A385" s="61" t="s">
        <v>235</v>
      </c>
      <c r="B385" s="61" t="s">
        <v>515</v>
      </c>
      <c r="C385" s="62"/>
      <c r="D385" s="63"/>
      <c r="E385" s="64"/>
      <c r="F385" s="65"/>
      <c r="G385" s="62"/>
      <c r="H385" s="66"/>
      <c r="I385" s="67"/>
      <c r="J385" s="67"/>
      <c r="K385" s="31"/>
      <c r="L385" s="75">
        <v>385</v>
      </c>
      <c r="M385"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85" s="69"/>
      <c r="O385" t="s">
        <v>701</v>
      </c>
      <c r="P385" s="76">
        <v>45505.638124999998</v>
      </c>
      <c r="Q385" t="s">
        <v>718</v>
      </c>
      <c r="R385" t="b">
        <v>0</v>
      </c>
      <c r="S385">
        <v>0</v>
      </c>
      <c r="T385">
        <v>0</v>
      </c>
      <c r="U385">
        <v>0</v>
      </c>
      <c r="V385">
        <v>0</v>
      </c>
      <c r="W385">
        <v>13</v>
      </c>
      <c r="AA385" t="s">
        <v>1211</v>
      </c>
      <c r="AD385" s="77" t="s">
        <v>1367</v>
      </c>
      <c r="AE385" t="s">
        <v>1385</v>
      </c>
      <c r="AF385" s="78" t="str">
        <f>HYPERLINK("https://twitter.com/sapelach/status/1819030051112841478")</f>
        <v>https://twitter.com/sapelach/status/1819030051112841478</v>
      </c>
      <c r="AG385" s="76">
        <v>45505.638124999998</v>
      </c>
      <c r="AH385" s="80">
        <v>45505</v>
      </c>
      <c r="AI385" s="77" t="s">
        <v>1400</v>
      </c>
      <c r="AW385" s="78" t="str">
        <f>HYPERLINK("https://pbs.twimg.com/profile_images/1202614708639014912/jIZ-xkQC_normal.jpg")</f>
        <v>https://pbs.twimg.com/profile_images/1202614708639014912/jIZ-xkQC_normal.jpg</v>
      </c>
      <c r="AX385" s="77" t="s">
        <v>1884</v>
      </c>
      <c r="AY385" s="77" t="s">
        <v>2260</v>
      </c>
      <c r="AZ385" s="77" t="s">
        <v>2374</v>
      </c>
      <c r="BA385" s="77" t="s">
        <v>2260</v>
      </c>
      <c r="BB385" s="77" t="s">
        <v>2494</v>
      </c>
      <c r="BC385" s="77" t="s">
        <v>2494</v>
      </c>
      <c r="BD385" s="77" t="s">
        <v>2260</v>
      </c>
      <c r="BE385">
        <v>214549002</v>
      </c>
      <c r="BK385" s="112" t="str">
        <f>REPLACE(INDEX(GroupVertices[Group], MATCH("~"&amp;Edges[[#This Row],[Vertex 1]],GroupVertices[Vertex],0)),1,1,"")</f>
        <v>6</v>
      </c>
      <c r="BL385" s="112" t="str">
        <f>REPLACE(INDEX(GroupVertices[Group], MATCH("~"&amp;Edges[[#This Row],[Vertex 2]],GroupVertices[Vertex],0)),1,1,"")</f>
        <v>6</v>
      </c>
    </row>
    <row r="386" spans="1:64" x14ac:dyDescent="0.25">
      <c r="A386" s="61" t="s">
        <v>235</v>
      </c>
      <c r="B386" s="61" t="s">
        <v>516</v>
      </c>
      <c r="C386" s="62"/>
      <c r="D386" s="63"/>
      <c r="E386" s="64"/>
      <c r="F386" s="65"/>
      <c r="G386" s="62"/>
      <c r="H386" s="66"/>
      <c r="I386" s="67"/>
      <c r="J386" s="67"/>
      <c r="K386" s="31"/>
      <c r="L386" s="75">
        <v>386</v>
      </c>
      <c r="M386"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86" s="69"/>
      <c r="O386" t="s">
        <v>703</v>
      </c>
      <c r="P386" s="76">
        <v>45505.638124999998</v>
      </c>
      <c r="Q386" t="s">
        <v>718</v>
      </c>
      <c r="R386" t="b">
        <v>0</v>
      </c>
      <c r="S386">
        <v>0</v>
      </c>
      <c r="T386">
        <v>0</v>
      </c>
      <c r="U386">
        <v>0</v>
      </c>
      <c r="V386">
        <v>0</v>
      </c>
      <c r="W386">
        <v>13</v>
      </c>
      <c r="AA386" t="s">
        <v>1211</v>
      </c>
      <c r="AD386" s="77" t="s">
        <v>1367</v>
      </c>
      <c r="AE386" t="s">
        <v>1385</v>
      </c>
      <c r="AF386" s="78" t="str">
        <f>HYPERLINK("https://twitter.com/sapelach/status/1819030051112841478")</f>
        <v>https://twitter.com/sapelach/status/1819030051112841478</v>
      </c>
      <c r="AG386" s="76">
        <v>45505.638124999998</v>
      </c>
      <c r="AH386" s="80">
        <v>45505</v>
      </c>
      <c r="AI386" s="77" t="s">
        <v>1400</v>
      </c>
      <c r="AW386" s="78" t="str">
        <f>HYPERLINK("https://pbs.twimg.com/profile_images/1202614708639014912/jIZ-xkQC_normal.jpg")</f>
        <v>https://pbs.twimg.com/profile_images/1202614708639014912/jIZ-xkQC_normal.jpg</v>
      </c>
      <c r="AX386" s="77" t="s">
        <v>1884</v>
      </c>
      <c r="AY386" s="77" t="s">
        <v>2260</v>
      </c>
      <c r="AZ386" s="77" t="s">
        <v>2374</v>
      </c>
      <c r="BA386" s="77" t="s">
        <v>2260</v>
      </c>
      <c r="BB386" s="77" t="s">
        <v>2494</v>
      </c>
      <c r="BC386" s="77" t="s">
        <v>2494</v>
      </c>
      <c r="BD386" s="77" t="s">
        <v>2260</v>
      </c>
      <c r="BE386">
        <v>214549002</v>
      </c>
      <c r="BK386" s="112" t="str">
        <f>REPLACE(INDEX(GroupVertices[Group], MATCH("~"&amp;Edges[[#This Row],[Vertex 1]],GroupVertices[Vertex],0)),1,1,"")</f>
        <v>6</v>
      </c>
      <c r="BL386" s="112" t="str">
        <f>REPLACE(INDEX(GroupVertices[Group], MATCH("~"&amp;Edges[[#This Row],[Vertex 2]],GroupVertices[Vertex],0)),1,1,"")</f>
        <v>6</v>
      </c>
    </row>
    <row r="387" spans="1:64" x14ac:dyDescent="0.25">
      <c r="A387" s="61" t="s">
        <v>318</v>
      </c>
      <c r="B387" s="61" t="s">
        <v>593</v>
      </c>
      <c r="C387" s="62"/>
      <c r="D387" s="63"/>
      <c r="E387" s="64"/>
      <c r="F387" s="65"/>
      <c r="G387" s="62"/>
      <c r="H387" s="66"/>
      <c r="I387" s="67"/>
      <c r="J387" s="67"/>
      <c r="K387" s="31"/>
      <c r="L387" s="75">
        <v>387</v>
      </c>
      <c r="M387"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87" s="69"/>
      <c r="O387" t="s">
        <v>701</v>
      </c>
      <c r="P387" s="76">
        <v>45505.220810185187</v>
      </c>
      <c r="Q387" t="s">
        <v>869</v>
      </c>
      <c r="R387" t="b">
        <v>0</v>
      </c>
      <c r="S387">
        <v>0</v>
      </c>
      <c r="T387">
        <v>0</v>
      </c>
      <c r="U387">
        <v>0</v>
      </c>
      <c r="V387">
        <v>0</v>
      </c>
      <c r="W387">
        <v>13</v>
      </c>
      <c r="AA387" t="s">
        <v>593</v>
      </c>
      <c r="AD387" s="77" t="s">
        <v>1366</v>
      </c>
      <c r="AE387" t="s">
        <v>1385</v>
      </c>
      <c r="AF387" s="78" t="str">
        <f>HYPERLINK("https://twitter.com/danyger7/status/1818878819811356701")</f>
        <v>https://twitter.com/danyger7/status/1818878819811356701</v>
      </c>
      <c r="AG387" s="76">
        <v>45505.220810185187</v>
      </c>
      <c r="AH387" s="80">
        <v>45505</v>
      </c>
      <c r="AI387" s="77" t="s">
        <v>1550</v>
      </c>
      <c r="AW387" s="78" t="str">
        <f>HYPERLINK("https://pbs.twimg.com/profile_images/1395827650715738115/q-GwnGO0_normal.jpg")</f>
        <v>https://pbs.twimg.com/profile_images/1395827650715738115/q-GwnGO0_normal.jpg</v>
      </c>
      <c r="AX387" s="77" t="s">
        <v>2035</v>
      </c>
      <c r="AY387" s="77" t="s">
        <v>2306</v>
      </c>
      <c r="AZ387" s="77" t="s">
        <v>2426</v>
      </c>
      <c r="BA387" s="77" t="s">
        <v>2306</v>
      </c>
      <c r="BB387" s="77" t="s">
        <v>2494</v>
      </c>
      <c r="BC387" s="77" t="s">
        <v>2494</v>
      </c>
      <c r="BD387" s="77" t="s">
        <v>2306</v>
      </c>
      <c r="BE387">
        <v>4441446563</v>
      </c>
      <c r="BK387" s="112" t="str">
        <f>REPLACE(INDEX(GroupVertices[Group], MATCH("~"&amp;Edges[[#This Row],[Vertex 1]],GroupVertices[Vertex],0)),1,1,"")</f>
        <v>18</v>
      </c>
      <c r="BL387" s="112" t="str">
        <f>REPLACE(INDEX(GroupVertices[Group], MATCH("~"&amp;Edges[[#This Row],[Vertex 2]],GroupVertices[Vertex],0)),1,1,"")</f>
        <v>18</v>
      </c>
    </row>
    <row r="388" spans="1:64" x14ac:dyDescent="0.25">
      <c r="A388" s="61" t="s">
        <v>374</v>
      </c>
      <c r="B388" s="61" t="s">
        <v>631</v>
      </c>
      <c r="C388" s="62"/>
      <c r="D388" s="63"/>
      <c r="E388" s="64"/>
      <c r="F388" s="65"/>
      <c r="G388" s="62"/>
      <c r="H388" s="66"/>
      <c r="I388" s="67"/>
      <c r="J388" s="67"/>
      <c r="K388" s="31"/>
      <c r="L388" s="75">
        <v>388</v>
      </c>
      <c r="M388"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88" s="69"/>
      <c r="O388" t="s">
        <v>701</v>
      </c>
      <c r="P388" s="76">
        <v>45507.715810185182</v>
      </c>
      <c r="Q388" t="s">
        <v>938</v>
      </c>
      <c r="R388" t="b">
        <v>0</v>
      </c>
      <c r="S388">
        <v>0</v>
      </c>
      <c r="T388">
        <v>0</v>
      </c>
      <c r="U388">
        <v>0</v>
      </c>
      <c r="V388">
        <v>0</v>
      </c>
      <c r="W388">
        <v>13</v>
      </c>
      <c r="AA388" t="s">
        <v>631</v>
      </c>
      <c r="AD388" s="77" t="s">
        <v>1365</v>
      </c>
      <c r="AE388" t="s">
        <v>1385</v>
      </c>
      <c r="AF388" s="78" t="str">
        <f>HYPERLINK("https://twitter.com/mulachroberto/status/1819782979889037405")</f>
        <v>https://twitter.com/mulachroberto/status/1819782979889037405</v>
      </c>
      <c r="AG388" s="76">
        <v>45507.715810185182</v>
      </c>
      <c r="AH388" s="80">
        <v>45507</v>
      </c>
      <c r="AI388" s="77" t="s">
        <v>1618</v>
      </c>
      <c r="AW388" s="78" t="str">
        <f>HYPERLINK("https://pbs.twimg.com/profile_images/1466106216623529996/YzYqQbXo_normal.png")</f>
        <v>https://pbs.twimg.com/profile_images/1466106216623529996/YzYqQbXo_normal.png</v>
      </c>
      <c r="AX388" s="77" t="s">
        <v>2104</v>
      </c>
      <c r="AY388" s="77" t="s">
        <v>2325</v>
      </c>
      <c r="AZ388" s="77" t="s">
        <v>2444</v>
      </c>
      <c r="BA388" s="77" t="s">
        <v>2325</v>
      </c>
      <c r="BB388" s="77" t="s">
        <v>2494</v>
      </c>
      <c r="BC388" s="77" t="s">
        <v>2494</v>
      </c>
      <c r="BD388" s="77" t="s">
        <v>2325</v>
      </c>
      <c r="BE388" s="77" t="s">
        <v>2596</v>
      </c>
      <c r="BK388" s="112" t="str">
        <f>REPLACE(INDEX(GroupVertices[Group], MATCH("~"&amp;Edges[[#This Row],[Vertex 1]],GroupVertices[Vertex],0)),1,1,"")</f>
        <v>62</v>
      </c>
      <c r="BL388" s="112" t="str">
        <f>REPLACE(INDEX(GroupVertices[Group], MATCH("~"&amp;Edges[[#This Row],[Vertex 2]],GroupVertices[Vertex],0)),1,1,"")</f>
        <v>62</v>
      </c>
    </row>
    <row r="389" spans="1:64" x14ac:dyDescent="0.25">
      <c r="A389" s="61" t="s">
        <v>445</v>
      </c>
      <c r="B389" s="61" t="s">
        <v>555</v>
      </c>
      <c r="C389" s="62"/>
      <c r="D389" s="63"/>
      <c r="E389" s="64"/>
      <c r="F389" s="65"/>
      <c r="G389" s="62"/>
      <c r="H389" s="66"/>
      <c r="I389" s="67"/>
      <c r="J389" s="67"/>
      <c r="K389" s="31"/>
      <c r="L389" s="75">
        <v>389</v>
      </c>
      <c r="M389"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89" s="69"/>
      <c r="O389" t="s">
        <v>703</v>
      </c>
      <c r="P389" s="76">
        <v>45505.915625000001</v>
      </c>
      <c r="Q389" t="s">
        <v>1020</v>
      </c>
      <c r="R389" t="b">
        <v>0</v>
      </c>
      <c r="S389">
        <v>0</v>
      </c>
      <c r="T389">
        <v>0</v>
      </c>
      <c r="U389">
        <v>0</v>
      </c>
      <c r="V389">
        <v>0</v>
      </c>
      <c r="W389">
        <v>13</v>
      </c>
      <c r="AA389" t="s">
        <v>1222</v>
      </c>
      <c r="AD389" s="77" t="s">
        <v>1365</v>
      </c>
      <c r="AE389" t="s">
        <v>1385</v>
      </c>
      <c r="AF389" s="78" t="str">
        <f>HYPERLINK("https://twitter.com/frederickbulzar/status/1819130612701106396")</f>
        <v>https://twitter.com/frederickbulzar/status/1819130612701106396</v>
      </c>
      <c r="AG389" s="76">
        <v>45505.915625000001</v>
      </c>
      <c r="AH389" s="80">
        <v>45505</v>
      </c>
      <c r="AI389" s="77" t="s">
        <v>1698</v>
      </c>
      <c r="AW389" s="78" t="str">
        <f>HYPERLINK("https://pbs.twimg.com/profile_images/1624851060450795520/iHLGazs__normal.jpg")</f>
        <v>https://pbs.twimg.com/profile_images/1624851060450795520/iHLGazs__normal.jpg</v>
      </c>
      <c r="AX389" s="77" t="s">
        <v>2186</v>
      </c>
      <c r="AY389" s="77" t="s">
        <v>2284</v>
      </c>
      <c r="AZ389" s="77" t="s">
        <v>2403</v>
      </c>
      <c r="BA389" s="77" t="s">
        <v>2284</v>
      </c>
      <c r="BB389" s="77" t="s">
        <v>2494</v>
      </c>
      <c r="BC389" s="77" t="s">
        <v>2494</v>
      </c>
      <c r="BD389" s="77" t="s">
        <v>2284</v>
      </c>
      <c r="BE389">
        <v>84480432</v>
      </c>
      <c r="BK389" s="112" t="str">
        <f>REPLACE(INDEX(GroupVertices[Group], MATCH("~"&amp;Edges[[#This Row],[Vertex 1]],GroupVertices[Vertex],0)),1,1,"")</f>
        <v>9</v>
      </c>
      <c r="BL389" s="112" t="str">
        <f>REPLACE(INDEX(GroupVertices[Group], MATCH("~"&amp;Edges[[#This Row],[Vertex 2]],GroupVertices[Vertex],0)),1,1,"")</f>
        <v>9</v>
      </c>
    </row>
    <row r="390" spans="1:64" x14ac:dyDescent="0.25">
      <c r="A390" s="61" t="s">
        <v>445</v>
      </c>
      <c r="B390" s="61" t="s">
        <v>556</v>
      </c>
      <c r="C390" s="62"/>
      <c r="D390" s="63"/>
      <c r="E390" s="64"/>
      <c r="F390" s="65"/>
      <c r="G390" s="62"/>
      <c r="H390" s="66"/>
      <c r="I390" s="67"/>
      <c r="J390" s="67"/>
      <c r="K390" s="31"/>
      <c r="L390" s="75">
        <v>390</v>
      </c>
      <c r="M390"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90" s="69"/>
      <c r="O390" t="s">
        <v>701</v>
      </c>
      <c r="P390" s="76">
        <v>45505.915625000001</v>
      </c>
      <c r="Q390" t="s">
        <v>1020</v>
      </c>
      <c r="R390" t="b">
        <v>0</v>
      </c>
      <c r="S390">
        <v>0</v>
      </c>
      <c r="T390">
        <v>0</v>
      </c>
      <c r="U390">
        <v>0</v>
      </c>
      <c r="V390">
        <v>0</v>
      </c>
      <c r="W390">
        <v>13</v>
      </c>
      <c r="AA390" t="s">
        <v>1222</v>
      </c>
      <c r="AD390" s="77" t="s">
        <v>1365</v>
      </c>
      <c r="AE390" t="s">
        <v>1385</v>
      </c>
      <c r="AF390" s="78" t="str">
        <f>HYPERLINK("https://twitter.com/frederickbulzar/status/1819130612701106396")</f>
        <v>https://twitter.com/frederickbulzar/status/1819130612701106396</v>
      </c>
      <c r="AG390" s="76">
        <v>45505.915625000001</v>
      </c>
      <c r="AH390" s="80">
        <v>45505</v>
      </c>
      <c r="AI390" s="77" t="s">
        <v>1698</v>
      </c>
      <c r="AW390" s="78" t="str">
        <f>HYPERLINK("https://pbs.twimg.com/profile_images/1624851060450795520/iHLGazs__normal.jpg")</f>
        <v>https://pbs.twimg.com/profile_images/1624851060450795520/iHLGazs__normal.jpg</v>
      </c>
      <c r="AX390" s="77" t="s">
        <v>2186</v>
      </c>
      <c r="AY390" s="77" t="s">
        <v>2284</v>
      </c>
      <c r="AZ390" s="77" t="s">
        <v>2403</v>
      </c>
      <c r="BA390" s="77" t="s">
        <v>2284</v>
      </c>
      <c r="BB390" s="77" t="s">
        <v>2494</v>
      </c>
      <c r="BC390" s="77" t="s">
        <v>2494</v>
      </c>
      <c r="BD390" s="77" t="s">
        <v>2284</v>
      </c>
      <c r="BE390">
        <v>84480432</v>
      </c>
      <c r="BK390" s="112" t="str">
        <f>REPLACE(INDEX(GroupVertices[Group], MATCH("~"&amp;Edges[[#This Row],[Vertex 1]],GroupVertices[Vertex],0)),1,1,"")</f>
        <v>9</v>
      </c>
      <c r="BL390" s="112" t="str">
        <f>REPLACE(INDEX(GroupVertices[Group], MATCH("~"&amp;Edges[[#This Row],[Vertex 2]],GroupVertices[Vertex],0)),1,1,"")</f>
        <v>9</v>
      </c>
    </row>
    <row r="391" spans="1:64" x14ac:dyDescent="0.25">
      <c r="A391" s="61" t="s">
        <v>292</v>
      </c>
      <c r="B391" s="61" t="s">
        <v>292</v>
      </c>
      <c r="C391" s="62"/>
      <c r="D391" s="63"/>
      <c r="E391" s="64"/>
      <c r="F391" s="65"/>
      <c r="G391" s="62"/>
      <c r="H391" s="66"/>
      <c r="I391" s="67"/>
      <c r="J391" s="67"/>
      <c r="K391" s="31"/>
      <c r="L391" s="75">
        <v>391</v>
      </c>
      <c r="M391"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91" s="69"/>
      <c r="O391" t="s">
        <v>177</v>
      </c>
      <c r="P391" s="76">
        <v>45508.285578703704</v>
      </c>
      <c r="Q391" t="s">
        <v>833</v>
      </c>
      <c r="R391" t="b">
        <v>0</v>
      </c>
      <c r="S391">
        <v>0</v>
      </c>
      <c r="T391">
        <v>0</v>
      </c>
      <c r="U391">
        <v>0</v>
      </c>
      <c r="V391">
        <v>0</v>
      </c>
      <c r="W391">
        <v>12</v>
      </c>
      <c r="X391" s="77" t="s">
        <v>1099</v>
      </c>
      <c r="Y391" s="78" t="str">
        <f>HYPERLINK("https://vm.tiktok.com/ZGe7nn3CT/")</f>
        <v>https://vm.tiktok.com/ZGe7nn3CT/</v>
      </c>
      <c r="Z391" t="s">
        <v>1149</v>
      </c>
      <c r="AD391" s="77" t="s">
        <v>1365</v>
      </c>
      <c r="AE391" t="s">
        <v>1385</v>
      </c>
      <c r="AF391" s="78" t="str">
        <f>HYPERLINK("https://twitter.com/atologocito1/status/1819989453491851305")</f>
        <v>https://twitter.com/atologocito1/status/1819989453491851305</v>
      </c>
      <c r="AG391" s="76">
        <v>45508.285578703704</v>
      </c>
      <c r="AH391" s="80">
        <v>45508</v>
      </c>
      <c r="AI391" s="77" t="s">
        <v>1515</v>
      </c>
      <c r="AJ391" t="b">
        <v>0</v>
      </c>
      <c r="AW391" s="78" t="str">
        <f>HYPERLINK("https://pbs.twimg.com/profile_images/1497222336470298628/AOSxZ6NT_normal.jpg")</f>
        <v>https://pbs.twimg.com/profile_images/1497222336470298628/AOSxZ6NT_normal.jpg</v>
      </c>
      <c r="AX391" s="77" t="s">
        <v>1999</v>
      </c>
      <c r="AY391" s="77" t="s">
        <v>1999</v>
      </c>
      <c r="BA391" s="77" t="s">
        <v>2494</v>
      </c>
      <c r="BB391" s="77" t="s">
        <v>2494</v>
      </c>
      <c r="BC391" s="77" t="s">
        <v>2494</v>
      </c>
      <c r="BD391" s="77" t="s">
        <v>1999</v>
      </c>
      <c r="BE391" s="77" t="s">
        <v>2565</v>
      </c>
      <c r="BK391" s="112" t="str">
        <f>REPLACE(INDEX(GroupVertices[Group], MATCH("~"&amp;Edges[[#This Row],[Vertex 1]],GroupVertices[Vertex],0)),1,1,"")</f>
        <v>13</v>
      </c>
      <c r="BL391" s="112" t="str">
        <f>REPLACE(INDEX(GroupVertices[Group], MATCH("~"&amp;Edges[[#This Row],[Vertex 2]],GroupVertices[Vertex],0)),1,1,"")</f>
        <v>13</v>
      </c>
    </row>
    <row r="392" spans="1:64" x14ac:dyDescent="0.25">
      <c r="A392" s="61" t="s">
        <v>245</v>
      </c>
      <c r="B392" s="61" t="s">
        <v>245</v>
      </c>
      <c r="C392" s="62"/>
      <c r="D392" s="63"/>
      <c r="E392" s="64"/>
      <c r="F392" s="65"/>
      <c r="G392" s="62"/>
      <c r="H392" s="66"/>
      <c r="I392" s="67"/>
      <c r="J392" s="67"/>
      <c r="K392" s="31"/>
      <c r="L392" s="75">
        <v>392</v>
      </c>
      <c r="M392"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92" s="69"/>
      <c r="O392" t="s">
        <v>177</v>
      </c>
      <c r="P392" s="76">
        <v>45506.248935185184</v>
      </c>
      <c r="Q392" t="s">
        <v>731</v>
      </c>
      <c r="R392" t="b">
        <v>0</v>
      </c>
      <c r="S392">
        <v>0</v>
      </c>
      <c r="T392">
        <v>1</v>
      </c>
      <c r="U392">
        <v>0</v>
      </c>
      <c r="V392">
        <v>0</v>
      </c>
      <c r="W392">
        <v>11</v>
      </c>
      <c r="AD392" s="77" t="s">
        <v>1365</v>
      </c>
      <c r="AE392" t="s">
        <v>1385</v>
      </c>
      <c r="AF392" s="78" t="str">
        <f>HYPERLINK("https://twitter.com/_la_tombola_/status/1819251401823846585")</f>
        <v>https://twitter.com/_la_tombola_/status/1819251401823846585</v>
      </c>
      <c r="AG392" s="76">
        <v>45506.248935185184</v>
      </c>
      <c r="AH392" s="80">
        <v>45506</v>
      </c>
      <c r="AI392" s="77" t="s">
        <v>1413</v>
      </c>
      <c r="AW392" s="78" t="str">
        <f>HYPERLINK("https://pbs.twimg.com/profile_images/1782904715967078400/BENjXW57_normal.jpg")</f>
        <v>https://pbs.twimg.com/profile_images/1782904715967078400/BENjXW57_normal.jpg</v>
      </c>
      <c r="AX392" s="77" t="s">
        <v>1897</v>
      </c>
      <c r="AY392" s="77" t="s">
        <v>1897</v>
      </c>
      <c r="BA392" s="77" t="s">
        <v>2494</v>
      </c>
      <c r="BB392" s="77" t="s">
        <v>2494</v>
      </c>
      <c r="BC392" s="77" t="s">
        <v>2494</v>
      </c>
      <c r="BD392" s="77" t="s">
        <v>1897</v>
      </c>
      <c r="BE392" s="77" t="s">
        <v>2542</v>
      </c>
      <c r="BK392" s="112" t="str">
        <f>REPLACE(INDEX(GroupVertices[Group], MATCH("~"&amp;Edges[[#This Row],[Vertex 1]],GroupVertices[Vertex],0)),1,1,"")</f>
        <v>144</v>
      </c>
      <c r="BL392" s="112" t="str">
        <f>REPLACE(INDEX(GroupVertices[Group], MATCH("~"&amp;Edges[[#This Row],[Vertex 2]],GroupVertices[Vertex],0)),1,1,"")</f>
        <v>144</v>
      </c>
    </row>
    <row r="393" spans="1:64" x14ac:dyDescent="0.25">
      <c r="A393" s="61" t="s">
        <v>297</v>
      </c>
      <c r="B393" s="61" t="s">
        <v>575</v>
      </c>
      <c r="C393" s="62"/>
      <c r="D393" s="63"/>
      <c r="E393" s="64"/>
      <c r="F393" s="65"/>
      <c r="G393" s="62"/>
      <c r="H393" s="66"/>
      <c r="I393" s="67"/>
      <c r="J393" s="67"/>
      <c r="K393" s="31"/>
      <c r="L393" s="75">
        <v>393</v>
      </c>
      <c r="M393"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93" s="69"/>
      <c r="O393" t="s">
        <v>701</v>
      </c>
      <c r="P393" s="76">
        <v>45509.832812499997</v>
      </c>
      <c r="Q393" t="s">
        <v>847</v>
      </c>
      <c r="R393" t="b">
        <v>0</v>
      </c>
      <c r="S393">
        <v>0</v>
      </c>
      <c r="T393">
        <v>0</v>
      </c>
      <c r="U393">
        <v>0</v>
      </c>
      <c r="V393">
        <v>0</v>
      </c>
      <c r="W393">
        <v>11</v>
      </c>
      <c r="AA393" t="s">
        <v>575</v>
      </c>
      <c r="AD393" s="77" t="s">
        <v>1365</v>
      </c>
      <c r="AE393" t="s">
        <v>1385</v>
      </c>
      <c r="AF393" s="78" t="str">
        <f>HYPERLINK("https://twitter.com/moniato1/status/1820550152710459532")</f>
        <v>https://twitter.com/moniato1/status/1820550152710459532</v>
      </c>
      <c r="AG393" s="76">
        <v>45509.832812499997</v>
      </c>
      <c r="AH393" s="80">
        <v>45509</v>
      </c>
      <c r="AI393" s="77" t="s">
        <v>1528</v>
      </c>
      <c r="AW393" s="78" t="str">
        <f>HYPERLINK("https://pbs.twimg.com/profile_images/1658003213516144641/xgNotxEZ_normal.jpg")</f>
        <v>https://pbs.twimg.com/profile_images/1658003213516144641/xgNotxEZ_normal.jpg</v>
      </c>
      <c r="AX393" s="77" t="s">
        <v>2013</v>
      </c>
      <c r="AY393" s="77" t="s">
        <v>2299</v>
      </c>
      <c r="AZ393" s="77" t="s">
        <v>2418</v>
      </c>
      <c r="BA393" s="77" t="s">
        <v>2299</v>
      </c>
      <c r="BB393" s="77" t="s">
        <v>2494</v>
      </c>
      <c r="BC393" s="77" t="s">
        <v>2494</v>
      </c>
      <c r="BD393" s="77" t="s">
        <v>2299</v>
      </c>
      <c r="BE393" s="77" t="s">
        <v>2566</v>
      </c>
      <c r="BK393" s="112" t="str">
        <f>REPLACE(INDEX(GroupVertices[Group], MATCH("~"&amp;Edges[[#This Row],[Vertex 1]],GroupVertices[Vertex],0)),1,1,"")</f>
        <v>61</v>
      </c>
      <c r="BL393" s="112" t="str">
        <f>REPLACE(INDEX(GroupVertices[Group], MATCH("~"&amp;Edges[[#This Row],[Vertex 2]],GroupVertices[Vertex],0)),1,1,"")</f>
        <v>61</v>
      </c>
    </row>
    <row r="394" spans="1:64" x14ac:dyDescent="0.25">
      <c r="A394" s="61" t="s">
        <v>454</v>
      </c>
      <c r="B394" s="61" t="s">
        <v>506</v>
      </c>
      <c r="C394" s="62"/>
      <c r="D394" s="63"/>
      <c r="E394" s="64"/>
      <c r="F394" s="65"/>
      <c r="G394" s="62"/>
      <c r="H394" s="66"/>
      <c r="I394" s="67"/>
      <c r="J394" s="67"/>
      <c r="K394" s="31"/>
      <c r="L394" s="75">
        <v>394</v>
      </c>
      <c r="M394"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94" s="69"/>
      <c r="O394" t="s">
        <v>702</v>
      </c>
      <c r="P394" s="76">
        <v>45508.05741898148</v>
      </c>
      <c r="Q394" t="s">
        <v>1031</v>
      </c>
      <c r="R394" t="b">
        <v>0</v>
      </c>
      <c r="S394">
        <v>0</v>
      </c>
      <c r="T394">
        <v>0</v>
      </c>
      <c r="U394">
        <v>0</v>
      </c>
      <c r="V394">
        <v>1</v>
      </c>
      <c r="W394">
        <v>11</v>
      </c>
      <c r="Y394" s="78" t="str">
        <f>HYPERLINK("https://www.eluniversal.com.mx/opinion/ricardo-homs/la-tombola-judicial/")</f>
        <v>https://www.eluniversal.com.mx/opinion/ricardo-homs/la-tombola-judicial/</v>
      </c>
      <c r="Z394" t="s">
        <v>1136</v>
      </c>
      <c r="AA394" t="s">
        <v>506</v>
      </c>
      <c r="AD394" s="77" t="s">
        <v>1367</v>
      </c>
      <c r="AE394" t="s">
        <v>1385</v>
      </c>
      <c r="AF394" s="78" t="str">
        <f>HYPERLINK("https://twitter.com/mendozacpedro/status/1819906774503141574")</f>
        <v>https://twitter.com/mendozacpedro/status/1819906774503141574</v>
      </c>
      <c r="AG394" s="76">
        <v>45508.05741898148</v>
      </c>
      <c r="AH394" s="80">
        <v>45508</v>
      </c>
      <c r="AI394" s="77" t="s">
        <v>1709</v>
      </c>
      <c r="AJ394" t="b">
        <v>0</v>
      </c>
      <c r="AW394" s="78" t="str">
        <f>HYPERLINK("https://abs.twimg.com/sticky/default_profile_images/default_profile_normal.png")</f>
        <v>https://abs.twimg.com/sticky/default_profile_images/default_profile_normal.png</v>
      </c>
      <c r="AX394" s="77" t="s">
        <v>2197</v>
      </c>
      <c r="AY394" s="77" t="s">
        <v>2197</v>
      </c>
      <c r="BA394" s="77" t="s">
        <v>2494</v>
      </c>
      <c r="BB394" s="77" t="s">
        <v>2494</v>
      </c>
      <c r="BC394" s="77" t="s">
        <v>2494</v>
      </c>
      <c r="BD394" s="77" t="s">
        <v>2197</v>
      </c>
      <c r="BE394" s="77" t="s">
        <v>2627</v>
      </c>
      <c r="BK394" s="112" t="str">
        <f>REPLACE(INDEX(GroupVertices[Group], MATCH("~"&amp;Edges[[#This Row],[Vertex 1]],GroupVertices[Vertex],0)),1,1,"")</f>
        <v>4</v>
      </c>
      <c r="BL394" s="112" t="str">
        <f>REPLACE(INDEX(GroupVertices[Group], MATCH("~"&amp;Edges[[#This Row],[Vertex 2]],GroupVertices[Vertex],0)),1,1,"")</f>
        <v>4</v>
      </c>
    </row>
    <row r="395" spans="1:64" x14ac:dyDescent="0.25">
      <c r="A395" s="61" t="s">
        <v>223</v>
      </c>
      <c r="B395" s="61" t="s">
        <v>509</v>
      </c>
      <c r="C395" s="62"/>
      <c r="D395" s="63"/>
      <c r="E395" s="64"/>
      <c r="F395" s="65"/>
      <c r="G395" s="62"/>
      <c r="H395" s="66"/>
      <c r="I395" s="67"/>
      <c r="J395" s="67"/>
      <c r="K395" s="31"/>
      <c r="L395" s="75">
        <v>395</v>
      </c>
      <c r="M395"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95" s="69"/>
      <c r="O395" t="s">
        <v>701</v>
      </c>
      <c r="P395" s="76">
        <v>45507.524282407408</v>
      </c>
      <c r="Q395" t="s">
        <v>706</v>
      </c>
      <c r="R395" t="b">
        <v>0</v>
      </c>
      <c r="S395">
        <v>0</v>
      </c>
      <c r="T395">
        <v>0</v>
      </c>
      <c r="U395">
        <v>0</v>
      </c>
      <c r="V395">
        <v>0</v>
      </c>
      <c r="W395">
        <v>10</v>
      </c>
      <c r="AA395" t="s">
        <v>509</v>
      </c>
      <c r="AD395" s="77" t="s">
        <v>1365</v>
      </c>
      <c r="AE395" t="s">
        <v>1385</v>
      </c>
      <c r="AF395" s="78" t="str">
        <f>HYPERLINK("https://twitter.com/pablogarcia1223/status/1819713568649904347")</f>
        <v>https://twitter.com/pablogarcia1223/status/1819713568649904347</v>
      </c>
      <c r="AG395" s="76">
        <v>45507.524282407408</v>
      </c>
      <c r="AH395" s="80">
        <v>45507</v>
      </c>
      <c r="AI395" s="77" t="s">
        <v>1388</v>
      </c>
      <c r="AW395" s="78" t="str">
        <f>HYPERLINK("https://pbs.twimg.com/profile_images/1738619386326372352/I5S6838l_normal.jpg")</f>
        <v>https://pbs.twimg.com/profile_images/1738619386326372352/I5S6838l_normal.jpg</v>
      </c>
      <c r="AX395" s="77" t="s">
        <v>1872</v>
      </c>
      <c r="AY395" s="77" t="s">
        <v>2257</v>
      </c>
      <c r="AZ395" s="77" t="s">
        <v>2371</v>
      </c>
      <c r="BA395" s="77" t="s">
        <v>2257</v>
      </c>
      <c r="BB395" s="77" t="s">
        <v>2494</v>
      </c>
      <c r="BC395" s="77" t="s">
        <v>2494</v>
      </c>
      <c r="BD395" s="77" t="s">
        <v>2257</v>
      </c>
      <c r="BE395">
        <v>4798909823</v>
      </c>
      <c r="BK395" s="112" t="str">
        <f>REPLACE(INDEX(GroupVertices[Group], MATCH("~"&amp;Edges[[#This Row],[Vertex 1]],GroupVertices[Vertex],0)),1,1,"")</f>
        <v>60</v>
      </c>
      <c r="BL395" s="112" t="str">
        <f>REPLACE(INDEX(GroupVertices[Group], MATCH("~"&amp;Edges[[#This Row],[Vertex 2]],GroupVertices[Vertex],0)),1,1,"")</f>
        <v>60</v>
      </c>
    </row>
    <row r="396" spans="1:64" x14ac:dyDescent="0.25">
      <c r="A396" s="61" t="s">
        <v>282</v>
      </c>
      <c r="B396" s="61" t="s">
        <v>506</v>
      </c>
      <c r="C396" s="62"/>
      <c r="D396" s="63"/>
      <c r="E396" s="64"/>
      <c r="F396" s="65"/>
      <c r="G396" s="62"/>
      <c r="H396" s="66"/>
      <c r="I396" s="67"/>
      <c r="J396" s="67"/>
      <c r="K396" s="31"/>
      <c r="L396" s="75">
        <v>396</v>
      </c>
      <c r="M396"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96" s="69"/>
      <c r="O396" t="s">
        <v>702</v>
      </c>
      <c r="P396" s="76">
        <v>45507.602083333331</v>
      </c>
      <c r="Q396" t="s">
        <v>784</v>
      </c>
      <c r="R396" t="b">
        <v>0</v>
      </c>
      <c r="S396">
        <v>0</v>
      </c>
      <c r="T396">
        <v>0</v>
      </c>
      <c r="U396">
        <v>0</v>
      </c>
      <c r="V396">
        <v>0</v>
      </c>
      <c r="W396">
        <v>10</v>
      </c>
      <c r="Y396" s="78" t="str">
        <f>HYPERLINK("https://www.eluniversal.com.mx/opinion/ricardo-homs/la-tombola-judicial/")</f>
        <v>https://www.eluniversal.com.mx/opinion/ricardo-homs/la-tombola-judicial/</v>
      </c>
      <c r="Z396" t="s">
        <v>1136</v>
      </c>
      <c r="AA396" t="s">
        <v>506</v>
      </c>
      <c r="AD396" s="77" t="s">
        <v>1365</v>
      </c>
      <c r="AE396" t="s">
        <v>1385</v>
      </c>
      <c r="AF396" s="78" t="str">
        <f>HYPERLINK("https://twitter.com/myriligmez21/status/1819741764322009364")</f>
        <v>https://twitter.com/myriligmez21/status/1819741764322009364</v>
      </c>
      <c r="AG396" s="76">
        <v>45507.602083333331</v>
      </c>
      <c r="AH396" s="80">
        <v>45507</v>
      </c>
      <c r="AI396" s="77" t="s">
        <v>1466</v>
      </c>
      <c r="AJ396" t="b">
        <v>0</v>
      </c>
      <c r="AW396" s="78" t="str">
        <f>HYPERLINK("https://pbs.twimg.com/profile_images/1797595979908009984/MTvs9JZN_normal.jpg")</f>
        <v>https://pbs.twimg.com/profile_images/1797595979908009984/MTvs9JZN_normal.jpg</v>
      </c>
      <c r="AX396" s="77" t="s">
        <v>1950</v>
      </c>
      <c r="AY396" s="77" t="s">
        <v>1950</v>
      </c>
      <c r="BA396" s="77" t="s">
        <v>2494</v>
      </c>
      <c r="BB396" s="77" t="s">
        <v>2494</v>
      </c>
      <c r="BC396" s="77" t="s">
        <v>2494</v>
      </c>
      <c r="BD396" s="77" t="s">
        <v>1950</v>
      </c>
      <c r="BE396" s="77" t="s">
        <v>2561</v>
      </c>
      <c r="BK396" s="112" t="str">
        <f>REPLACE(INDEX(GroupVertices[Group], MATCH("~"&amp;Edges[[#This Row],[Vertex 1]],GroupVertices[Vertex],0)),1,1,"")</f>
        <v>4</v>
      </c>
      <c r="BL396" s="112" t="str">
        <f>REPLACE(INDEX(GroupVertices[Group], MATCH("~"&amp;Edges[[#This Row],[Vertex 2]],GroupVertices[Vertex],0)),1,1,"")</f>
        <v>4</v>
      </c>
    </row>
    <row r="397" spans="1:64" x14ac:dyDescent="0.25">
      <c r="A397" s="61" t="s">
        <v>292</v>
      </c>
      <c r="B397" s="61" t="s">
        <v>292</v>
      </c>
      <c r="C397" s="62"/>
      <c r="D397" s="63"/>
      <c r="E397" s="64"/>
      <c r="F397" s="65"/>
      <c r="G397" s="62"/>
      <c r="H397" s="66"/>
      <c r="I397" s="67"/>
      <c r="J397" s="67"/>
      <c r="K397" s="31"/>
      <c r="L397" s="75">
        <v>397</v>
      </c>
      <c r="M397"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97" s="69"/>
      <c r="O397" t="s">
        <v>177</v>
      </c>
      <c r="P397" s="76">
        <v>45508.285486111112</v>
      </c>
      <c r="Q397" t="s">
        <v>834</v>
      </c>
      <c r="R397" t="b">
        <v>0</v>
      </c>
      <c r="S397">
        <v>0</v>
      </c>
      <c r="T397">
        <v>0</v>
      </c>
      <c r="U397">
        <v>0</v>
      </c>
      <c r="V397">
        <v>0</v>
      </c>
      <c r="W397">
        <v>10</v>
      </c>
      <c r="X397" s="77" t="s">
        <v>1099</v>
      </c>
      <c r="Y397" s="78" t="str">
        <f>HYPERLINK("https://vm.tiktok.com/ZGe7nooPL/")</f>
        <v>https://vm.tiktok.com/ZGe7nooPL/</v>
      </c>
      <c r="Z397" t="s">
        <v>1149</v>
      </c>
      <c r="AD397" s="77" t="s">
        <v>1365</v>
      </c>
      <c r="AE397" t="s">
        <v>1385</v>
      </c>
      <c r="AF397" s="78" t="str">
        <f>HYPERLINK("https://twitter.com/atologocito1/status/1819989423439659304")</f>
        <v>https://twitter.com/atologocito1/status/1819989423439659304</v>
      </c>
      <c r="AG397" s="76">
        <v>45508.285486111112</v>
      </c>
      <c r="AH397" s="80">
        <v>45508</v>
      </c>
      <c r="AI397" s="77" t="s">
        <v>1516</v>
      </c>
      <c r="AJ397" t="b">
        <v>0</v>
      </c>
      <c r="AW397" s="78" t="str">
        <f>HYPERLINK("https://pbs.twimg.com/profile_images/1497222336470298628/AOSxZ6NT_normal.jpg")</f>
        <v>https://pbs.twimg.com/profile_images/1497222336470298628/AOSxZ6NT_normal.jpg</v>
      </c>
      <c r="AX397" s="77" t="s">
        <v>2000</v>
      </c>
      <c r="AY397" s="77" t="s">
        <v>2000</v>
      </c>
      <c r="BA397" s="77" t="s">
        <v>2494</v>
      </c>
      <c r="BB397" s="77" t="s">
        <v>2494</v>
      </c>
      <c r="BC397" s="77" t="s">
        <v>2494</v>
      </c>
      <c r="BD397" s="77" t="s">
        <v>2000</v>
      </c>
      <c r="BE397" s="77" t="s">
        <v>2565</v>
      </c>
      <c r="BK397" s="112" t="str">
        <f>REPLACE(INDEX(GroupVertices[Group], MATCH("~"&amp;Edges[[#This Row],[Vertex 1]],GroupVertices[Vertex],0)),1,1,"")</f>
        <v>13</v>
      </c>
      <c r="BL397" s="112" t="str">
        <f>REPLACE(INDEX(GroupVertices[Group], MATCH("~"&amp;Edges[[#This Row],[Vertex 2]],GroupVertices[Vertex],0)),1,1,"")</f>
        <v>13</v>
      </c>
    </row>
    <row r="398" spans="1:64" x14ac:dyDescent="0.25">
      <c r="A398" s="61" t="s">
        <v>335</v>
      </c>
      <c r="B398" s="61" t="s">
        <v>587</v>
      </c>
      <c r="C398" s="62"/>
      <c r="D398" s="63"/>
      <c r="E398" s="64"/>
      <c r="F398" s="65"/>
      <c r="G398" s="62"/>
      <c r="H398" s="66"/>
      <c r="I398" s="67"/>
      <c r="J398" s="67"/>
      <c r="K398" s="31"/>
      <c r="L398" s="75">
        <v>398</v>
      </c>
      <c r="M398"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98" s="69"/>
      <c r="O398" t="s">
        <v>702</v>
      </c>
      <c r="P398" s="76">
        <v>45507.63076388889</v>
      </c>
      <c r="Q398" t="s">
        <v>894</v>
      </c>
      <c r="R398" t="b">
        <v>0</v>
      </c>
      <c r="S398">
        <v>0</v>
      </c>
      <c r="T398">
        <v>0</v>
      </c>
      <c r="U398">
        <v>0</v>
      </c>
      <c r="V398">
        <v>0</v>
      </c>
      <c r="W398">
        <v>10</v>
      </c>
      <c r="Y398" s="78" t="str">
        <f>HYPERLINK("https://desdepuebla.com/2024/08/02/la-tombola-judicial/")</f>
        <v>https://desdepuebla.com/2024/08/02/la-tombola-judicial/</v>
      </c>
      <c r="Z398" t="s">
        <v>1166</v>
      </c>
      <c r="AA398" t="s">
        <v>587</v>
      </c>
      <c r="AD398" s="77" t="s">
        <v>1367</v>
      </c>
      <c r="AE398" t="s">
        <v>1385</v>
      </c>
      <c r="AF398" s="78" t="str">
        <f>HYPERLINK("https://twitter.com/robertodesachy/status/1819752158385885250")</f>
        <v>https://twitter.com/robertodesachy/status/1819752158385885250</v>
      </c>
      <c r="AG398" s="76">
        <v>45507.63076388889</v>
      </c>
      <c r="AH398" s="80">
        <v>45507</v>
      </c>
      <c r="AI398" s="77" t="s">
        <v>1574</v>
      </c>
      <c r="AJ398" t="b">
        <v>0</v>
      </c>
      <c r="AW398" s="78" t="str">
        <f>HYPERLINK("https://pbs.twimg.com/profile_images/438911154551668736/n6Nlzqp3_normal.jpeg")</f>
        <v>https://pbs.twimg.com/profile_images/438911154551668736/n6Nlzqp3_normal.jpeg</v>
      </c>
      <c r="AX398" s="77" t="s">
        <v>2060</v>
      </c>
      <c r="AY398" s="77" t="s">
        <v>2060</v>
      </c>
      <c r="BA398" s="77" t="s">
        <v>2494</v>
      </c>
      <c r="BB398" s="77" t="s">
        <v>2494</v>
      </c>
      <c r="BC398" s="77" t="s">
        <v>2494</v>
      </c>
      <c r="BD398" s="77" t="s">
        <v>2060</v>
      </c>
      <c r="BE398">
        <v>199757056</v>
      </c>
      <c r="BK398" s="112" t="str">
        <f>REPLACE(INDEX(GroupVertices[Group], MATCH("~"&amp;Edges[[#This Row],[Vertex 1]],GroupVertices[Vertex],0)),1,1,"")</f>
        <v>4</v>
      </c>
      <c r="BL398" s="112" t="str">
        <f>REPLACE(INDEX(GroupVertices[Group], MATCH("~"&amp;Edges[[#This Row],[Vertex 2]],GroupVertices[Vertex],0)),1,1,"")</f>
        <v>4</v>
      </c>
    </row>
    <row r="399" spans="1:64" x14ac:dyDescent="0.25">
      <c r="A399" s="61" t="s">
        <v>350</v>
      </c>
      <c r="B399" s="61" t="s">
        <v>619</v>
      </c>
      <c r="C399" s="62"/>
      <c r="D399" s="63"/>
      <c r="E399" s="64"/>
      <c r="F399" s="65"/>
      <c r="G399" s="62"/>
      <c r="H399" s="66"/>
      <c r="I399" s="67"/>
      <c r="J399" s="67"/>
      <c r="K399" s="31"/>
      <c r="L399" s="75">
        <v>399</v>
      </c>
      <c r="M399"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399" s="69"/>
      <c r="O399" t="s">
        <v>701</v>
      </c>
      <c r="P399" s="76">
        <v>45509.340254629627</v>
      </c>
      <c r="Q399" t="s">
        <v>910</v>
      </c>
      <c r="R399" t="b">
        <v>0</v>
      </c>
      <c r="S399">
        <v>0</v>
      </c>
      <c r="T399">
        <v>1</v>
      </c>
      <c r="U399">
        <v>0</v>
      </c>
      <c r="V399">
        <v>0</v>
      </c>
      <c r="W399">
        <v>10</v>
      </c>
      <c r="AA399" t="s">
        <v>619</v>
      </c>
      <c r="AD399" s="77" t="s">
        <v>1367</v>
      </c>
      <c r="AE399" t="s">
        <v>1385</v>
      </c>
      <c r="AF399" s="78" t="str">
        <f>HYPERLINK("https://twitter.com/13barras5/status/1820371658592387537")</f>
        <v>https://twitter.com/13barras5/status/1820371658592387537</v>
      </c>
      <c r="AG399" s="76">
        <v>45509.340254629627</v>
      </c>
      <c r="AH399" s="80">
        <v>45509</v>
      </c>
      <c r="AI399" s="77" t="s">
        <v>1590</v>
      </c>
      <c r="AW399" s="78" t="str">
        <f>HYPERLINK("https://pbs.twimg.com/profile_images/1487513852409483267/yDxf-PxN_normal.jpg")</f>
        <v>https://pbs.twimg.com/profile_images/1487513852409483267/yDxf-PxN_normal.jpg</v>
      </c>
      <c r="AX399" s="77" t="s">
        <v>2076</v>
      </c>
      <c r="AY399" s="77" t="s">
        <v>2318</v>
      </c>
      <c r="AZ399" s="77" t="s">
        <v>2437</v>
      </c>
      <c r="BA399" s="77" t="s">
        <v>2318</v>
      </c>
      <c r="BB399" s="77" t="s">
        <v>2494</v>
      </c>
      <c r="BC399" s="77" t="s">
        <v>2494</v>
      </c>
      <c r="BD399" s="77" t="s">
        <v>2318</v>
      </c>
      <c r="BE399" s="77" t="s">
        <v>2584</v>
      </c>
      <c r="BK399" s="112" t="str">
        <f>REPLACE(INDEX(GroupVertices[Group], MATCH("~"&amp;Edges[[#This Row],[Vertex 1]],GroupVertices[Vertex],0)),1,1,"")</f>
        <v>59</v>
      </c>
      <c r="BL399" s="112" t="str">
        <f>REPLACE(INDEX(GroupVertices[Group], MATCH("~"&amp;Edges[[#This Row],[Vertex 2]],GroupVertices[Vertex],0)),1,1,"")</f>
        <v>59</v>
      </c>
    </row>
    <row r="400" spans="1:64" x14ac:dyDescent="0.25">
      <c r="A400" s="61" t="s">
        <v>468</v>
      </c>
      <c r="B400" s="61" t="s">
        <v>686</v>
      </c>
      <c r="C400" s="62"/>
      <c r="D400" s="63"/>
      <c r="E400" s="64"/>
      <c r="F400" s="65"/>
      <c r="G400" s="62"/>
      <c r="H400" s="66"/>
      <c r="I400" s="67"/>
      <c r="J400" s="67"/>
      <c r="K400" s="31"/>
      <c r="L400" s="75">
        <v>400</v>
      </c>
      <c r="M400"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00" s="69"/>
      <c r="O400" t="s">
        <v>701</v>
      </c>
      <c r="P400" s="76">
        <v>45505.700335648151</v>
      </c>
      <c r="Q400" t="s">
        <v>1045</v>
      </c>
      <c r="R400" t="b">
        <v>0</v>
      </c>
      <c r="S400">
        <v>1</v>
      </c>
      <c r="T400">
        <v>1</v>
      </c>
      <c r="U400">
        <v>0</v>
      </c>
      <c r="V400">
        <v>0</v>
      </c>
      <c r="W400">
        <v>10</v>
      </c>
      <c r="X400" s="77" t="s">
        <v>1124</v>
      </c>
      <c r="AA400" t="s">
        <v>686</v>
      </c>
      <c r="AB400" t="s">
        <v>1350</v>
      </c>
      <c r="AC400" t="s">
        <v>1364</v>
      </c>
      <c r="AD400" s="77" t="s">
        <v>1367</v>
      </c>
      <c r="AE400" t="s">
        <v>1385</v>
      </c>
      <c r="AF400" s="78" t="str">
        <f>HYPERLINK("https://twitter.com/camacho_sand/status/1819052595518079132")</f>
        <v>https://twitter.com/camacho_sand/status/1819052595518079132</v>
      </c>
      <c r="AG400" s="76">
        <v>45505.700335648151</v>
      </c>
      <c r="AH400" s="80">
        <v>45505</v>
      </c>
      <c r="AI400" s="77" t="s">
        <v>1723</v>
      </c>
      <c r="AJ400" t="b">
        <v>0</v>
      </c>
      <c r="AR400" t="s">
        <v>1863</v>
      </c>
      <c r="AW400" s="78" t="str">
        <f>HYPERLINK("https://pbs.twimg.com/media/GT6RzDJXkAcFkkq.jpg")</f>
        <v>https://pbs.twimg.com/media/GT6RzDJXkAcFkkq.jpg</v>
      </c>
      <c r="AX400" s="77" t="s">
        <v>2211</v>
      </c>
      <c r="AY400" s="77" t="s">
        <v>2358</v>
      </c>
      <c r="AZ400" s="77" t="s">
        <v>2482</v>
      </c>
      <c r="BA400" s="77" t="s">
        <v>2358</v>
      </c>
      <c r="BB400" s="77" t="s">
        <v>2494</v>
      </c>
      <c r="BC400" s="77" t="s">
        <v>2494</v>
      </c>
      <c r="BD400" s="77" t="s">
        <v>2358</v>
      </c>
      <c r="BE400">
        <v>2790280217</v>
      </c>
      <c r="BK400" s="112" t="str">
        <f>REPLACE(INDEX(GroupVertices[Group], MATCH("~"&amp;Edges[[#This Row],[Vertex 1]],GroupVertices[Vertex],0)),1,1,"")</f>
        <v>58</v>
      </c>
      <c r="BL400" s="112" t="str">
        <f>REPLACE(INDEX(GroupVertices[Group], MATCH("~"&amp;Edges[[#This Row],[Vertex 2]],GroupVertices[Vertex],0)),1,1,"")</f>
        <v>58</v>
      </c>
    </row>
    <row r="401" spans="1:64" x14ac:dyDescent="0.25">
      <c r="A401" s="61" t="s">
        <v>282</v>
      </c>
      <c r="B401" s="61" t="s">
        <v>506</v>
      </c>
      <c r="C401" s="62"/>
      <c r="D401" s="63"/>
      <c r="E401" s="64"/>
      <c r="F401" s="65"/>
      <c r="G401" s="62"/>
      <c r="H401" s="66"/>
      <c r="I401" s="67"/>
      <c r="J401" s="67"/>
      <c r="K401" s="31"/>
      <c r="L401" s="75">
        <v>401</v>
      </c>
      <c r="M401"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01" s="69"/>
      <c r="O401" t="s">
        <v>702</v>
      </c>
      <c r="P401" s="76">
        <v>45507.659004629626</v>
      </c>
      <c r="Q401" t="s">
        <v>785</v>
      </c>
      <c r="R401" t="b">
        <v>0</v>
      </c>
      <c r="S401">
        <v>0</v>
      </c>
      <c r="T401">
        <v>0</v>
      </c>
      <c r="U401">
        <v>0</v>
      </c>
      <c r="V401">
        <v>0</v>
      </c>
      <c r="W401">
        <v>9</v>
      </c>
      <c r="Y401" s="78" t="str">
        <f>HYPERLINK("https://www.eluniversal.com.mx/opinion/ricardo-homs/la-tombola-judicial/")</f>
        <v>https://www.eluniversal.com.mx/opinion/ricardo-homs/la-tombola-judicial/</v>
      </c>
      <c r="Z401" t="s">
        <v>1136</v>
      </c>
      <c r="AA401" t="s">
        <v>506</v>
      </c>
      <c r="AD401" s="77" t="s">
        <v>1365</v>
      </c>
      <c r="AE401" t="s">
        <v>1385</v>
      </c>
      <c r="AF401" s="78" t="str">
        <f>HYPERLINK("https://twitter.com/myriligmez21/status/1819762391808193002")</f>
        <v>https://twitter.com/myriligmez21/status/1819762391808193002</v>
      </c>
      <c r="AG401" s="76">
        <v>45507.659004629626</v>
      </c>
      <c r="AH401" s="80">
        <v>45507</v>
      </c>
      <c r="AI401" s="77" t="s">
        <v>1467</v>
      </c>
      <c r="AJ401" t="b">
        <v>0</v>
      </c>
      <c r="AW401" s="78" t="str">
        <f>HYPERLINK("https://pbs.twimg.com/profile_images/1797595979908009984/MTvs9JZN_normal.jpg")</f>
        <v>https://pbs.twimg.com/profile_images/1797595979908009984/MTvs9JZN_normal.jpg</v>
      </c>
      <c r="AX401" s="77" t="s">
        <v>1951</v>
      </c>
      <c r="AY401" s="77" t="s">
        <v>1951</v>
      </c>
      <c r="BA401" s="77" t="s">
        <v>2494</v>
      </c>
      <c r="BB401" s="77" t="s">
        <v>2494</v>
      </c>
      <c r="BC401" s="77" t="s">
        <v>2494</v>
      </c>
      <c r="BD401" s="77" t="s">
        <v>1951</v>
      </c>
      <c r="BE401" s="77" t="s">
        <v>2561</v>
      </c>
      <c r="BK401" s="112" t="str">
        <f>REPLACE(INDEX(GroupVertices[Group], MATCH("~"&amp;Edges[[#This Row],[Vertex 1]],GroupVertices[Vertex],0)),1,1,"")</f>
        <v>4</v>
      </c>
      <c r="BL401" s="112" t="str">
        <f>REPLACE(INDEX(GroupVertices[Group], MATCH("~"&amp;Edges[[#This Row],[Vertex 2]],GroupVertices[Vertex],0)),1,1,"")</f>
        <v>4</v>
      </c>
    </row>
    <row r="402" spans="1:64" x14ac:dyDescent="0.25">
      <c r="A402" s="61" t="s">
        <v>292</v>
      </c>
      <c r="B402" s="61" t="s">
        <v>292</v>
      </c>
      <c r="C402" s="62"/>
      <c r="D402" s="63"/>
      <c r="E402" s="64"/>
      <c r="F402" s="65"/>
      <c r="G402" s="62"/>
      <c r="H402" s="66"/>
      <c r="I402" s="67"/>
      <c r="J402" s="67"/>
      <c r="K402" s="31"/>
      <c r="L402" s="75">
        <v>402</v>
      </c>
      <c r="M402"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02" s="69"/>
      <c r="O402" t="s">
        <v>177</v>
      </c>
      <c r="P402" s="76">
        <v>45506.762881944444</v>
      </c>
      <c r="Q402" t="s">
        <v>819</v>
      </c>
      <c r="R402" t="b">
        <v>0</v>
      </c>
      <c r="S402">
        <v>0</v>
      </c>
      <c r="T402">
        <v>0</v>
      </c>
      <c r="U402">
        <v>0</v>
      </c>
      <c r="V402">
        <v>0</v>
      </c>
      <c r="W402">
        <v>9</v>
      </c>
      <c r="X402" s="77" t="s">
        <v>1099</v>
      </c>
      <c r="Y402" s="78" t="str">
        <f>HYPERLINK("https://vm.tiktok.com/ZGe7QqCvq/")</f>
        <v>https://vm.tiktok.com/ZGe7QqCvq/</v>
      </c>
      <c r="Z402" t="s">
        <v>1149</v>
      </c>
      <c r="AD402" s="77" t="s">
        <v>1365</v>
      </c>
      <c r="AE402" t="s">
        <v>1385</v>
      </c>
      <c r="AF402" s="78" t="str">
        <f>HYPERLINK("https://twitter.com/atologocito1/status/1819437650060755261")</f>
        <v>https://twitter.com/atologocito1/status/1819437650060755261</v>
      </c>
      <c r="AG402" s="76">
        <v>45506.762881944444</v>
      </c>
      <c r="AH402" s="80">
        <v>45506</v>
      </c>
      <c r="AI402" s="77" t="s">
        <v>1501</v>
      </c>
      <c r="AJ402" t="b">
        <v>0</v>
      </c>
      <c r="AW402" s="78" t="str">
        <f>HYPERLINK("https://pbs.twimg.com/profile_images/1497222336470298628/AOSxZ6NT_normal.jpg")</f>
        <v>https://pbs.twimg.com/profile_images/1497222336470298628/AOSxZ6NT_normal.jpg</v>
      </c>
      <c r="AX402" s="77" t="s">
        <v>1985</v>
      </c>
      <c r="AY402" s="77" t="s">
        <v>1985</v>
      </c>
      <c r="BA402" s="77" t="s">
        <v>2494</v>
      </c>
      <c r="BB402" s="77" t="s">
        <v>2494</v>
      </c>
      <c r="BC402" s="77" t="s">
        <v>2494</v>
      </c>
      <c r="BD402" s="77" t="s">
        <v>1985</v>
      </c>
      <c r="BE402" s="77" t="s">
        <v>2565</v>
      </c>
      <c r="BK402" s="112" t="str">
        <f>REPLACE(INDEX(GroupVertices[Group], MATCH("~"&amp;Edges[[#This Row],[Vertex 1]],GroupVertices[Vertex],0)),1,1,"")</f>
        <v>13</v>
      </c>
      <c r="BL402" s="112" t="str">
        <f>REPLACE(INDEX(GroupVertices[Group], MATCH("~"&amp;Edges[[#This Row],[Vertex 2]],GroupVertices[Vertex],0)),1,1,"")</f>
        <v>13</v>
      </c>
    </row>
    <row r="403" spans="1:64" x14ac:dyDescent="0.25">
      <c r="A403" s="61" t="s">
        <v>292</v>
      </c>
      <c r="B403" s="61" t="s">
        <v>501</v>
      </c>
      <c r="C403" s="62"/>
      <c r="D403" s="63"/>
      <c r="E403" s="64"/>
      <c r="F403" s="65"/>
      <c r="G403" s="62"/>
      <c r="H403" s="66"/>
      <c r="I403" s="67"/>
      <c r="J403" s="67"/>
      <c r="K403" s="31"/>
      <c r="L403" s="75">
        <v>403</v>
      </c>
      <c r="M403"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03" s="69"/>
      <c r="O403" t="s">
        <v>704</v>
      </c>
      <c r="P403" s="76">
        <v>45505.695034722223</v>
      </c>
      <c r="Q403" t="s">
        <v>828</v>
      </c>
      <c r="R403" t="b">
        <v>0</v>
      </c>
      <c r="S403">
        <v>0</v>
      </c>
      <c r="T403">
        <v>0</v>
      </c>
      <c r="U403">
        <v>0</v>
      </c>
      <c r="V403">
        <v>0</v>
      </c>
      <c r="W403">
        <v>9</v>
      </c>
      <c r="Y403" s="78" t="str">
        <f>HYPERLINK("https://x.com/AntonioMaestre/status/1818941295223541976?t=SZ6ZceiF16fsQeniOud5tw&amp;s=09")</f>
        <v>https://x.com/AntonioMaestre/status/1818941295223541976?t=SZ6ZceiF16fsQeniOud5tw&amp;s=09</v>
      </c>
      <c r="Z403" t="s">
        <v>1151</v>
      </c>
      <c r="AD403" s="77" t="s">
        <v>1365</v>
      </c>
      <c r="AE403" t="s">
        <v>1385</v>
      </c>
      <c r="AF403" s="78" t="str">
        <f>HYPERLINK("https://twitter.com/atologocito1/status/1819050671850594658")</f>
        <v>https://twitter.com/atologocito1/status/1819050671850594658</v>
      </c>
      <c r="AG403" s="76">
        <v>45505.695034722223</v>
      </c>
      <c r="AH403" s="80">
        <v>45505</v>
      </c>
      <c r="AI403" s="77" t="s">
        <v>1510</v>
      </c>
      <c r="AJ403" t="b">
        <v>0</v>
      </c>
      <c r="AK403" t="s">
        <v>1767</v>
      </c>
      <c r="AL403" t="s">
        <v>1769</v>
      </c>
      <c r="AM403" t="s">
        <v>1770</v>
      </c>
      <c r="AN403" t="s">
        <v>1771</v>
      </c>
      <c r="AO403" t="s">
        <v>1773</v>
      </c>
      <c r="AP403" t="s">
        <v>1775</v>
      </c>
      <c r="AQ403" t="s">
        <v>1777</v>
      </c>
      <c r="AW403" s="78" t="str">
        <f>HYPERLINK("https://pbs.twimg.com/profile_images/1497222336470298628/AOSxZ6NT_normal.jpg")</f>
        <v>https://pbs.twimg.com/profile_images/1497222336470298628/AOSxZ6NT_normal.jpg</v>
      </c>
      <c r="AX403" s="77" t="s">
        <v>1994</v>
      </c>
      <c r="AY403" s="77" t="s">
        <v>1994</v>
      </c>
      <c r="BA403" s="77" t="s">
        <v>2494</v>
      </c>
      <c r="BB403" s="77" t="s">
        <v>2249</v>
      </c>
      <c r="BC403" s="77" t="s">
        <v>2494</v>
      </c>
      <c r="BD403" s="77" t="s">
        <v>2249</v>
      </c>
      <c r="BE403" s="77" t="s">
        <v>2565</v>
      </c>
      <c r="BK403" s="112" t="str">
        <f>REPLACE(INDEX(GroupVertices[Group], MATCH("~"&amp;Edges[[#This Row],[Vertex 1]],GroupVertices[Vertex],0)),1,1,"")</f>
        <v>13</v>
      </c>
      <c r="BL403" s="112" t="str">
        <f>REPLACE(INDEX(GroupVertices[Group], MATCH("~"&amp;Edges[[#This Row],[Vertex 2]],GroupVertices[Vertex],0)),1,1,"")</f>
        <v>13</v>
      </c>
    </row>
    <row r="404" spans="1:64" x14ac:dyDescent="0.25">
      <c r="A404" s="61" t="s">
        <v>292</v>
      </c>
      <c r="B404" s="61" t="s">
        <v>292</v>
      </c>
      <c r="C404" s="62"/>
      <c r="D404" s="63"/>
      <c r="E404" s="64"/>
      <c r="F404" s="65"/>
      <c r="G404" s="62"/>
      <c r="H404" s="66"/>
      <c r="I404" s="67"/>
      <c r="J404" s="67"/>
      <c r="K404" s="31"/>
      <c r="L404" s="75">
        <v>404</v>
      </c>
      <c r="M404"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04" s="69"/>
      <c r="O404" t="s">
        <v>177</v>
      </c>
      <c r="P404" s="76">
        <v>45506.759525462963</v>
      </c>
      <c r="Q404" t="s">
        <v>829</v>
      </c>
      <c r="R404" t="b">
        <v>0</v>
      </c>
      <c r="S404">
        <v>0</v>
      </c>
      <c r="T404">
        <v>0</v>
      </c>
      <c r="U404">
        <v>0</v>
      </c>
      <c r="V404">
        <v>0</v>
      </c>
      <c r="W404">
        <v>9</v>
      </c>
      <c r="X404" s="77" t="s">
        <v>1099</v>
      </c>
      <c r="Y404" s="78" t="str">
        <f>HYPERLINK("https://vm.tiktok.com/ZGe7Qc8FY/")</f>
        <v>https://vm.tiktok.com/ZGe7Qc8FY/</v>
      </c>
      <c r="Z404" t="s">
        <v>1149</v>
      </c>
      <c r="AD404" s="77" t="s">
        <v>1365</v>
      </c>
      <c r="AE404" t="s">
        <v>1385</v>
      </c>
      <c r="AF404" s="78" t="str">
        <f>HYPERLINK("https://twitter.com/atologocito1/status/1819436429761548556")</f>
        <v>https://twitter.com/atologocito1/status/1819436429761548556</v>
      </c>
      <c r="AG404" s="76">
        <v>45506.759525462963</v>
      </c>
      <c r="AH404" s="80">
        <v>45506</v>
      </c>
      <c r="AI404" s="77" t="s">
        <v>1511</v>
      </c>
      <c r="AJ404" t="b">
        <v>0</v>
      </c>
      <c r="AW404" s="78" t="str">
        <f>HYPERLINK("https://pbs.twimg.com/profile_images/1497222336470298628/AOSxZ6NT_normal.jpg")</f>
        <v>https://pbs.twimg.com/profile_images/1497222336470298628/AOSxZ6NT_normal.jpg</v>
      </c>
      <c r="AX404" s="77" t="s">
        <v>1995</v>
      </c>
      <c r="AY404" s="77" t="s">
        <v>1995</v>
      </c>
      <c r="BA404" s="77" t="s">
        <v>2494</v>
      </c>
      <c r="BB404" s="77" t="s">
        <v>2494</v>
      </c>
      <c r="BC404" s="77" t="s">
        <v>2494</v>
      </c>
      <c r="BD404" s="77" t="s">
        <v>1995</v>
      </c>
      <c r="BE404" s="77" t="s">
        <v>2565</v>
      </c>
      <c r="BK404" s="112" t="str">
        <f>REPLACE(INDEX(GroupVertices[Group], MATCH("~"&amp;Edges[[#This Row],[Vertex 1]],GroupVertices[Vertex],0)),1,1,"")</f>
        <v>13</v>
      </c>
      <c r="BL404" s="112" t="str">
        <f>REPLACE(INDEX(GroupVertices[Group], MATCH("~"&amp;Edges[[#This Row],[Vertex 2]],GroupVertices[Vertex],0)),1,1,"")</f>
        <v>13</v>
      </c>
    </row>
    <row r="405" spans="1:64" x14ac:dyDescent="0.25">
      <c r="A405" s="61" t="s">
        <v>292</v>
      </c>
      <c r="B405" s="61" t="s">
        <v>292</v>
      </c>
      <c r="C405" s="62"/>
      <c r="D405" s="63"/>
      <c r="E405" s="64"/>
      <c r="F405" s="65"/>
      <c r="G405" s="62"/>
      <c r="H405" s="66"/>
      <c r="I405" s="67"/>
      <c r="J405" s="67"/>
      <c r="K405" s="31"/>
      <c r="L405" s="75">
        <v>405</v>
      </c>
      <c r="M405"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05" s="69"/>
      <c r="O405" t="s">
        <v>177</v>
      </c>
      <c r="P405" s="76">
        <v>45506.756168981483</v>
      </c>
      <c r="Q405" t="s">
        <v>832</v>
      </c>
      <c r="R405" t="b">
        <v>0</v>
      </c>
      <c r="S405">
        <v>0</v>
      </c>
      <c r="T405">
        <v>0</v>
      </c>
      <c r="U405">
        <v>0</v>
      </c>
      <c r="V405">
        <v>0</v>
      </c>
      <c r="W405">
        <v>9</v>
      </c>
      <c r="X405" s="77" t="s">
        <v>1099</v>
      </c>
      <c r="Y405" s="78" t="str">
        <f>HYPERLINK("https://vm.tiktok.com/ZGe7QcuSK/")</f>
        <v>https://vm.tiktok.com/ZGe7QcuSK/</v>
      </c>
      <c r="Z405" t="s">
        <v>1149</v>
      </c>
      <c r="AD405" s="77" t="s">
        <v>1365</v>
      </c>
      <c r="AE405" t="s">
        <v>1385</v>
      </c>
      <c r="AF405" s="78" t="str">
        <f>HYPERLINK("https://twitter.com/atologocito1/status/1819435216831750598")</f>
        <v>https://twitter.com/atologocito1/status/1819435216831750598</v>
      </c>
      <c r="AG405" s="76">
        <v>45506.756168981483</v>
      </c>
      <c r="AH405" s="80">
        <v>45506</v>
      </c>
      <c r="AI405" s="77" t="s">
        <v>1514</v>
      </c>
      <c r="AJ405" t="b">
        <v>0</v>
      </c>
      <c r="AW405" s="78" t="str">
        <f>HYPERLINK("https://pbs.twimg.com/profile_images/1497222336470298628/AOSxZ6NT_normal.jpg")</f>
        <v>https://pbs.twimg.com/profile_images/1497222336470298628/AOSxZ6NT_normal.jpg</v>
      </c>
      <c r="AX405" s="77" t="s">
        <v>1998</v>
      </c>
      <c r="AY405" s="77" t="s">
        <v>1998</v>
      </c>
      <c r="BA405" s="77" t="s">
        <v>2494</v>
      </c>
      <c r="BB405" s="77" t="s">
        <v>2494</v>
      </c>
      <c r="BC405" s="77" t="s">
        <v>2494</v>
      </c>
      <c r="BD405" s="77" t="s">
        <v>1998</v>
      </c>
      <c r="BE405" s="77" t="s">
        <v>2565</v>
      </c>
      <c r="BK405" s="112" t="str">
        <f>REPLACE(INDEX(GroupVertices[Group], MATCH("~"&amp;Edges[[#This Row],[Vertex 1]],GroupVertices[Vertex],0)),1,1,"")</f>
        <v>13</v>
      </c>
      <c r="BL405" s="112" t="str">
        <f>REPLACE(INDEX(GroupVertices[Group], MATCH("~"&amp;Edges[[#This Row],[Vertex 2]],GroupVertices[Vertex],0)),1,1,"")</f>
        <v>13</v>
      </c>
    </row>
    <row r="406" spans="1:64" x14ac:dyDescent="0.25">
      <c r="A406" s="61" t="s">
        <v>357</v>
      </c>
      <c r="B406" s="61" t="s">
        <v>622</v>
      </c>
      <c r="C406" s="62"/>
      <c r="D406" s="63"/>
      <c r="E406" s="64"/>
      <c r="F406" s="65"/>
      <c r="G406" s="62"/>
      <c r="H406" s="66"/>
      <c r="I406" s="67"/>
      <c r="J406" s="67"/>
      <c r="K406" s="31"/>
      <c r="L406" s="75">
        <v>406</v>
      </c>
      <c r="M406"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06" s="69"/>
      <c r="O406" t="s">
        <v>701</v>
      </c>
      <c r="P406" s="76">
        <v>45506.609930555554</v>
      </c>
      <c r="Q406" t="s">
        <v>917</v>
      </c>
      <c r="R406" t="b">
        <v>0</v>
      </c>
      <c r="S406">
        <v>0</v>
      </c>
      <c r="T406">
        <v>0</v>
      </c>
      <c r="U406">
        <v>0</v>
      </c>
      <c r="V406">
        <v>0</v>
      </c>
      <c r="W406">
        <v>9</v>
      </c>
      <c r="AA406" t="s">
        <v>622</v>
      </c>
      <c r="AD406" s="77" t="s">
        <v>1365</v>
      </c>
      <c r="AE406" t="s">
        <v>1385</v>
      </c>
      <c r="AF406" s="78" t="str">
        <f>HYPERLINK("https://twitter.com/jm815699/status/1819382221574492653")</f>
        <v>https://twitter.com/jm815699/status/1819382221574492653</v>
      </c>
      <c r="AG406" s="76">
        <v>45506.609930555554</v>
      </c>
      <c r="AH406" s="80">
        <v>45506</v>
      </c>
      <c r="AI406" s="77" t="s">
        <v>1597</v>
      </c>
      <c r="AW406" s="78" t="str">
        <f>HYPERLINK("https://pbs.twimg.com/profile_images/1840590689727340544/yn8E7wJd_normal.jpg")</f>
        <v>https://pbs.twimg.com/profile_images/1840590689727340544/yn8E7wJd_normal.jpg</v>
      </c>
      <c r="AX406" s="77" t="s">
        <v>2083</v>
      </c>
      <c r="AY406" s="77" t="s">
        <v>2320</v>
      </c>
      <c r="AZ406" s="77" t="s">
        <v>2439</v>
      </c>
      <c r="BA406" s="77" t="s">
        <v>2320</v>
      </c>
      <c r="BB406" s="77" t="s">
        <v>2494</v>
      </c>
      <c r="BC406" s="77" t="s">
        <v>2494</v>
      </c>
      <c r="BD406" s="77" t="s">
        <v>2320</v>
      </c>
      <c r="BE406" s="77" t="s">
        <v>2590</v>
      </c>
      <c r="BK406" s="112" t="str">
        <f>REPLACE(INDEX(GroupVertices[Group], MATCH("~"&amp;Edges[[#This Row],[Vertex 1]],GroupVertices[Vertex],0)),1,1,"")</f>
        <v>57</v>
      </c>
      <c r="BL406" s="112" t="str">
        <f>REPLACE(INDEX(GroupVertices[Group], MATCH("~"&amp;Edges[[#This Row],[Vertex 2]],GroupVertices[Vertex],0)),1,1,"")</f>
        <v>57</v>
      </c>
    </row>
    <row r="407" spans="1:64" x14ac:dyDescent="0.25">
      <c r="A407" s="61" t="s">
        <v>451</v>
      </c>
      <c r="B407" s="61" t="s">
        <v>679</v>
      </c>
      <c r="C407" s="62"/>
      <c r="D407" s="63"/>
      <c r="E407" s="64"/>
      <c r="F407" s="65"/>
      <c r="G407" s="62"/>
      <c r="H407" s="66"/>
      <c r="I407" s="67"/>
      <c r="J407" s="67"/>
      <c r="K407" s="31"/>
      <c r="L407" s="75">
        <v>407</v>
      </c>
      <c r="M407"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07" s="69"/>
      <c r="O407" t="s">
        <v>703</v>
      </c>
      <c r="P407" s="76">
        <v>45505.640208333331</v>
      </c>
      <c r="Q407" t="s">
        <v>1028</v>
      </c>
      <c r="R407" t="b">
        <v>0</v>
      </c>
      <c r="S407">
        <v>0</v>
      </c>
      <c r="T407">
        <v>0</v>
      </c>
      <c r="U407">
        <v>0</v>
      </c>
      <c r="V407">
        <v>0</v>
      </c>
      <c r="W407">
        <v>9</v>
      </c>
      <c r="AA407" t="s">
        <v>1258</v>
      </c>
      <c r="AB407" t="s">
        <v>1345</v>
      </c>
      <c r="AC407" t="s">
        <v>1359</v>
      </c>
      <c r="AD407" s="77" t="s">
        <v>1365</v>
      </c>
      <c r="AE407" t="s">
        <v>1385</v>
      </c>
      <c r="AF407" s="78" t="str">
        <f>HYPERLINK("https://twitter.com/roberto53590325/status/1819030806620520480")</f>
        <v>https://twitter.com/roberto53590325/status/1819030806620520480</v>
      </c>
      <c r="AG407" s="76">
        <v>45505.640208333331</v>
      </c>
      <c r="AH407" s="80">
        <v>45505</v>
      </c>
      <c r="AI407" s="77" t="s">
        <v>1706</v>
      </c>
      <c r="AJ407" t="b">
        <v>0</v>
      </c>
      <c r="AR407" t="s">
        <v>1858</v>
      </c>
      <c r="AW407" s="78" t="str">
        <f>HYPERLINK("https://pbs.twimg.com/media/GT5-4R5WIAEjylw.png")</f>
        <v>https://pbs.twimg.com/media/GT5-4R5WIAEjylw.png</v>
      </c>
      <c r="AX407" s="77" t="s">
        <v>2194</v>
      </c>
      <c r="AY407" s="77" t="s">
        <v>2352</v>
      </c>
      <c r="AZ407" s="77" t="s">
        <v>2475</v>
      </c>
      <c r="BA407" s="77" t="s">
        <v>2352</v>
      </c>
      <c r="BB407" s="77" t="s">
        <v>2494</v>
      </c>
      <c r="BC407" s="77" t="s">
        <v>2494</v>
      </c>
      <c r="BD407" s="77" t="s">
        <v>2352</v>
      </c>
      <c r="BE407" s="77" t="s">
        <v>2625</v>
      </c>
      <c r="BK407" s="112" t="str">
        <f>REPLACE(INDEX(GroupVertices[Group], MATCH("~"&amp;Edges[[#This Row],[Vertex 1]],GroupVertices[Vertex],0)),1,1,"")</f>
        <v>34</v>
      </c>
      <c r="BL407" s="112" t="str">
        <f>REPLACE(INDEX(GroupVertices[Group], MATCH("~"&amp;Edges[[#This Row],[Vertex 2]],GroupVertices[Vertex],0)),1,1,"")</f>
        <v>34</v>
      </c>
    </row>
    <row r="408" spans="1:64" x14ac:dyDescent="0.25">
      <c r="A408" s="61" t="s">
        <v>451</v>
      </c>
      <c r="B408" s="61" t="s">
        <v>680</v>
      </c>
      <c r="C408" s="62"/>
      <c r="D408" s="63"/>
      <c r="E408" s="64"/>
      <c r="F408" s="65"/>
      <c r="G408" s="62"/>
      <c r="H408" s="66"/>
      <c r="I408" s="67"/>
      <c r="J408" s="67"/>
      <c r="K408" s="31"/>
      <c r="L408" s="75">
        <v>408</v>
      </c>
      <c r="M408"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08" s="69"/>
      <c r="O408" t="s">
        <v>701</v>
      </c>
      <c r="P408" s="76">
        <v>45505.640208333331</v>
      </c>
      <c r="Q408" t="s">
        <v>1028</v>
      </c>
      <c r="R408" t="b">
        <v>0</v>
      </c>
      <c r="S408">
        <v>0</v>
      </c>
      <c r="T408">
        <v>0</v>
      </c>
      <c r="U408">
        <v>0</v>
      </c>
      <c r="V408">
        <v>0</v>
      </c>
      <c r="W408">
        <v>9</v>
      </c>
      <c r="AA408" t="s">
        <v>1258</v>
      </c>
      <c r="AB408" t="s">
        <v>1345</v>
      </c>
      <c r="AC408" t="s">
        <v>1359</v>
      </c>
      <c r="AD408" s="77" t="s">
        <v>1365</v>
      </c>
      <c r="AE408" t="s">
        <v>1385</v>
      </c>
      <c r="AF408" s="78" t="str">
        <f>HYPERLINK("https://twitter.com/roberto53590325/status/1819030806620520480")</f>
        <v>https://twitter.com/roberto53590325/status/1819030806620520480</v>
      </c>
      <c r="AG408" s="76">
        <v>45505.640208333331</v>
      </c>
      <c r="AH408" s="80">
        <v>45505</v>
      </c>
      <c r="AI408" s="77" t="s">
        <v>1706</v>
      </c>
      <c r="AJ408" t="b">
        <v>0</v>
      </c>
      <c r="AR408" t="s">
        <v>1858</v>
      </c>
      <c r="AW408" s="78" t="str">
        <f>HYPERLINK("https://pbs.twimg.com/media/GT5-4R5WIAEjylw.png")</f>
        <v>https://pbs.twimg.com/media/GT5-4R5WIAEjylw.png</v>
      </c>
      <c r="AX408" s="77" t="s">
        <v>2194</v>
      </c>
      <c r="AY408" s="77" t="s">
        <v>2352</v>
      </c>
      <c r="AZ408" s="77" t="s">
        <v>2475</v>
      </c>
      <c r="BA408" s="77" t="s">
        <v>2352</v>
      </c>
      <c r="BB408" s="77" t="s">
        <v>2494</v>
      </c>
      <c r="BC408" s="77" t="s">
        <v>2494</v>
      </c>
      <c r="BD408" s="77" t="s">
        <v>2352</v>
      </c>
      <c r="BE408" s="77" t="s">
        <v>2625</v>
      </c>
      <c r="BK408" s="112" t="str">
        <f>REPLACE(INDEX(GroupVertices[Group], MATCH("~"&amp;Edges[[#This Row],[Vertex 1]],GroupVertices[Vertex],0)),1,1,"")</f>
        <v>34</v>
      </c>
      <c r="BL408" s="112" t="str">
        <f>REPLACE(INDEX(GroupVertices[Group], MATCH("~"&amp;Edges[[#This Row],[Vertex 2]],GroupVertices[Vertex],0)),1,1,"")</f>
        <v>34</v>
      </c>
    </row>
    <row r="409" spans="1:64" x14ac:dyDescent="0.25">
      <c r="A409" s="61" t="s">
        <v>496</v>
      </c>
      <c r="B409" s="61" t="s">
        <v>696</v>
      </c>
      <c r="C409" s="62"/>
      <c r="D409" s="63"/>
      <c r="E409" s="64"/>
      <c r="F409" s="65"/>
      <c r="G409" s="62"/>
      <c r="H409" s="66"/>
      <c r="I409" s="67"/>
      <c r="J409" s="67"/>
      <c r="K409" s="31"/>
      <c r="L409" s="75">
        <v>409</v>
      </c>
      <c r="M409"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09" s="69"/>
      <c r="O409" t="s">
        <v>703</v>
      </c>
      <c r="P409" s="76">
        <v>45505.485127314816</v>
      </c>
      <c r="Q409" t="s">
        <v>1077</v>
      </c>
      <c r="R409" t="b">
        <v>0</v>
      </c>
      <c r="S409">
        <v>0</v>
      </c>
      <c r="T409">
        <v>1</v>
      </c>
      <c r="U409">
        <v>1</v>
      </c>
      <c r="V409">
        <v>0</v>
      </c>
      <c r="W409">
        <v>9</v>
      </c>
      <c r="AA409" t="s">
        <v>1264</v>
      </c>
      <c r="AD409" s="77" t="s">
        <v>1365</v>
      </c>
      <c r="AE409" t="s">
        <v>1385</v>
      </c>
      <c r="AF409" s="78" t="str">
        <f>HYPERLINK("https://twitter.com/florecicadabril/status/1818974607245811920")</f>
        <v>https://twitter.com/florecicadabril/status/1818974607245811920</v>
      </c>
      <c r="AG409" s="76">
        <v>45505.485127314816</v>
      </c>
      <c r="AH409" s="80">
        <v>45505</v>
      </c>
      <c r="AI409" s="77" t="s">
        <v>1754</v>
      </c>
      <c r="AW409" s="78" t="str">
        <f>HYPERLINK("https://pbs.twimg.com/profile_images/1904996390553403393/oVNqQFL__normal.jpg")</f>
        <v>https://pbs.twimg.com/profile_images/1904996390553403393/oVNqQFL__normal.jpg</v>
      </c>
      <c r="AX409" s="77" t="s">
        <v>2243</v>
      </c>
      <c r="AY409" s="77" t="s">
        <v>2365</v>
      </c>
      <c r="AZ409" s="77" t="s">
        <v>2490</v>
      </c>
      <c r="BA409" s="77" t="s">
        <v>2529</v>
      </c>
      <c r="BB409" s="77" t="s">
        <v>2494</v>
      </c>
      <c r="BC409" s="77" t="s">
        <v>2494</v>
      </c>
      <c r="BD409" s="77" t="s">
        <v>2529</v>
      </c>
      <c r="BE409">
        <v>286215534</v>
      </c>
      <c r="BK409" s="112" t="str">
        <f>REPLACE(INDEX(GroupVertices[Group], MATCH("~"&amp;Edges[[#This Row],[Vertex 1]],GroupVertices[Vertex],0)),1,1,"")</f>
        <v>20</v>
      </c>
      <c r="BL409" s="112" t="str">
        <f>REPLACE(INDEX(GroupVertices[Group], MATCH("~"&amp;Edges[[#This Row],[Vertex 2]],GroupVertices[Vertex],0)),1,1,"")</f>
        <v>20</v>
      </c>
    </row>
    <row r="410" spans="1:64" x14ac:dyDescent="0.25">
      <c r="A410" s="61" t="s">
        <v>496</v>
      </c>
      <c r="B410" s="61" t="s">
        <v>697</v>
      </c>
      <c r="C410" s="62"/>
      <c r="D410" s="63"/>
      <c r="E410" s="64"/>
      <c r="F410" s="65"/>
      <c r="G410" s="62"/>
      <c r="H410" s="66"/>
      <c r="I410" s="67"/>
      <c r="J410" s="67"/>
      <c r="K410" s="31"/>
      <c r="L410" s="75">
        <v>410</v>
      </c>
      <c r="M410"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10" s="69"/>
      <c r="O410" t="s">
        <v>703</v>
      </c>
      <c r="P410" s="76">
        <v>45505.485127314816</v>
      </c>
      <c r="Q410" t="s">
        <v>1077</v>
      </c>
      <c r="R410" t="b">
        <v>0</v>
      </c>
      <c r="S410">
        <v>0</v>
      </c>
      <c r="T410">
        <v>1</v>
      </c>
      <c r="U410">
        <v>1</v>
      </c>
      <c r="V410">
        <v>0</v>
      </c>
      <c r="W410">
        <v>9</v>
      </c>
      <c r="AA410" t="s">
        <v>1264</v>
      </c>
      <c r="AD410" s="77" t="s">
        <v>1365</v>
      </c>
      <c r="AE410" t="s">
        <v>1385</v>
      </c>
      <c r="AF410" s="78" t="str">
        <f>HYPERLINK("https://twitter.com/florecicadabril/status/1818974607245811920")</f>
        <v>https://twitter.com/florecicadabril/status/1818974607245811920</v>
      </c>
      <c r="AG410" s="76">
        <v>45505.485127314816</v>
      </c>
      <c r="AH410" s="80">
        <v>45505</v>
      </c>
      <c r="AI410" s="77" t="s">
        <v>1754</v>
      </c>
      <c r="AW410" s="78" t="str">
        <f>HYPERLINK("https://pbs.twimg.com/profile_images/1904996390553403393/oVNqQFL__normal.jpg")</f>
        <v>https://pbs.twimg.com/profile_images/1904996390553403393/oVNqQFL__normal.jpg</v>
      </c>
      <c r="AX410" s="77" t="s">
        <v>2243</v>
      </c>
      <c r="AY410" s="77" t="s">
        <v>2365</v>
      </c>
      <c r="AZ410" s="77" t="s">
        <v>2490</v>
      </c>
      <c r="BA410" s="77" t="s">
        <v>2529</v>
      </c>
      <c r="BB410" s="77" t="s">
        <v>2494</v>
      </c>
      <c r="BC410" s="77" t="s">
        <v>2494</v>
      </c>
      <c r="BD410" s="77" t="s">
        <v>2529</v>
      </c>
      <c r="BE410">
        <v>286215534</v>
      </c>
      <c r="BK410" s="112" t="str">
        <f>REPLACE(INDEX(GroupVertices[Group], MATCH("~"&amp;Edges[[#This Row],[Vertex 1]],GroupVertices[Vertex],0)),1,1,"")</f>
        <v>20</v>
      </c>
      <c r="BL410" s="112" t="str">
        <f>REPLACE(INDEX(GroupVertices[Group], MATCH("~"&amp;Edges[[#This Row],[Vertex 2]],GroupVertices[Vertex],0)),1,1,"")</f>
        <v>20</v>
      </c>
    </row>
    <row r="411" spans="1:64" x14ac:dyDescent="0.25">
      <c r="A411" s="61" t="s">
        <v>496</v>
      </c>
      <c r="B411" s="61" t="s">
        <v>698</v>
      </c>
      <c r="C411" s="62"/>
      <c r="D411" s="63"/>
      <c r="E411" s="64"/>
      <c r="F411" s="65"/>
      <c r="G411" s="62"/>
      <c r="H411" s="66"/>
      <c r="I411" s="67"/>
      <c r="J411" s="67"/>
      <c r="K411" s="31"/>
      <c r="L411" s="75">
        <v>411</v>
      </c>
      <c r="M411"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11" s="69"/>
      <c r="O411" t="s">
        <v>701</v>
      </c>
      <c r="P411" s="76">
        <v>45505.485127314816</v>
      </c>
      <c r="Q411" t="s">
        <v>1077</v>
      </c>
      <c r="R411" t="b">
        <v>0</v>
      </c>
      <c r="S411">
        <v>0</v>
      </c>
      <c r="T411">
        <v>1</v>
      </c>
      <c r="U411">
        <v>1</v>
      </c>
      <c r="V411">
        <v>0</v>
      </c>
      <c r="W411">
        <v>9</v>
      </c>
      <c r="AA411" t="s">
        <v>1264</v>
      </c>
      <c r="AD411" s="77" t="s">
        <v>1365</v>
      </c>
      <c r="AE411" t="s">
        <v>1385</v>
      </c>
      <c r="AF411" s="78" t="str">
        <f>HYPERLINK("https://twitter.com/florecicadabril/status/1818974607245811920")</f>
        <v>https://twitter.com/florecicadabril/status/1818974607245811920</v>
      </c>
      <c r="AG411" s="76">
        <v>45505.485127314816</v>
      </c>
      <c r="AH411" s="80">
        <v>45505</v>
      </c>
      <c r="AI411" s="77" t="s">
        <v>1754</v>
      </c>
      <c r="AW411" s="78" t="str">
        <f>HYPERLINK("https://pbs.twimg.com/profile_images/1904996390553403393/oVNqQFL__normal.jpg")</f>
        <v>https://pbs.twimg.com/profile_images/1904996390553403393/oVNqQFL__normal.jpg</v>
      </c>
      <c r="AX411" s="77" t="s">
        <v>2243</v>
      </c>
      <c r="AY411" s="77" t="s">
        <v>2365</v>
      </c>
      <c r="AZ411" s="77" t="s">
        <v>2490</v>
      </c>
      <c r="BA411" s="77" t="s">
        <v>2529</v>
      </c>
      <c r="BB411" s="77" t="s">
        <v>2494</v>
      </c>
      <c r="BC411" s="77" t="s">
        <v>2494</v>
      </c>
      <c r="BD411" s="77" t="s">
        <v>2529</v>
      </c>
      <c r="BE411">
        <v>286215534</v>
      </c>
      <c r="BK411" s="112" t="str">
        <f>REPLACE(INDEX(GroupVertices[Group], MATCH("~"&amp;Edges[[#This Row],[Vertex 1]],GroupVertices[Vertex],0)),1,1,"")</f>
        <v>20</v>
      </c>
      <c r="BL411" s="112" t="str">
        <f>REPLACE(INDEX(GroupVertices[Group], MATCH("~"&amp;Edges[[#This Row],[Vertex 2]],GroupVertices[Vertex],0)),1,1,"")</f>
        <v>20</v>
      </c>
    </row>
    <row r="412" spans="1:64" x14ac:dyDescent="0.25">
      <c r="A412" s="61" t="s">
        <v>292</v>
      </c>
      <c r="B412" s="61" t="s">
        <v>292</v>
      </c>
      <c r="C412" s="62"/>
      <c r="D412" s="63"/>
      <c r="E412" s="64"/>
      <c r="F412" s="65"/>
      <c r="G412" s="62"/>
      <c r="H412" s="66"/>
      <c r="I412" s="67"/>
      <c r="J412" s="67"/>
      <c r="K412" s="31"/>
      <c r="L412" s="75">
        <v>412</v>
      </c>
      <c r="M412"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12" s="69"/>
      <c r="O412" t="s">
        <v>177</v>
      </c>
      <c r="P412" s="76">
        <v>45506.768993055557</v>
      </c>
      <c r="Q412" t="s">
        <v>810</v>
      </c>
      <c r="R412" t="b">
        <v>0</v>
      </c>
      <c r="S412">
        <v>0</v>
      </c>
      <c r="T412">
        <v>0</v>
      </c>
      <c r="U412">
        <v>0</v>
      </c>
      <c r="V412">
        <v>0</v>
      </c>
      <c r="W412">
        <v>8</v>
      </c>
      <c r="X412" s="77" t="s">
        <v>1099</v>
      </c>
      <c r="Y412" s="78" t="str">
        <f>HYPERLINK("https://vm.tiktok.com/ZGe7QvofE/")</f>
        <v>https://vm.tiktok.com/ZGe7QvofE/</v>
      </c>
      <c r="Z412" t="s">
        <v>1149</v>
      </c>
      <c r="AD412" s="77" t="s">
        <v>1365</v>
      </c>
      <c r="AE412" t="s">
        <v>1385</v>
      </c>
      <c r="AF412" s="78" t="str">
        <f>HYPERLINK("https://twitter.com/atologocito1/status/1819439863264862229")</f>
        <v>https://twitter.com/atologocito1/status/1819439863264862229</v>
      </c>
      <c r="AG412" s="76">
        <v>45506.768993055557</v>
      </c>
      <c r="AH412" s="80">
        <v>45506</v>
      </c>
      <c r="AI412" s="77" t="s">
        <v>1492</v>
      </c>
      <c r="AJ412" t="b">
        <v>0</v>
      </c>
      <c r="AW412" s="78" t="str">
        <f>HYPERLINK("https://pbs.twimg.com/profile_images/1497222336470298628/AOSxZ6NT_normal.jpg")</f>
        <v>https://pbs.twimg.com/profile_images/1497222336470298628/AOSxZ6NT_normal.jpg</v>
      </c>
      <c r="AX412" s="77" t="s">
        <v>1976</v>
      </c>
      <c r="AY412" s="77" t="s">
        <v>1976</v>
      </c>
      <c r="BA412" s="77" t="s">
        <v>2494</v>
      </c>
      <c r="BB412" s="77" t="s">
        <v>2494</v>
      </c>
      <c r="BC412" s="77" t="s">
        <v>2494</v>
      </c>
      <c r="BD412" s="77" t="s">
        <v>1976</v>
      </c>
      <c r="BE412" s="77" t="s">
        <v>2565</v>
      </c>
      <c r="BK412" s="112" t="str">
        <f>REPLACE(INDEX(GroupVertices[Group], MATCH("~"&amp;Edges[[#This Row],[Vertex 1]],GroupVertices[Vertex],0)),1,1,"")</f>
        <v>13</v>
      </c>
      <c r="BL412" s="112" t="str">
        <f>REPLACE(INDEX(GroupVertices[Group], MATCH("~"&amp;Edges[[#This Row],[Vertex 2]],GroupVertices[Vertex],0)),1,1,"")</f>
        <v>13</v>
      </c>
    </row>
    <row r="413" spans="1:64" x14ac:dyDescent="0.25">
      <c r="A413" s="61" t="s">
        <v>321</v>
      </c>
      <c r="B413" s="61" t="s">
        <v>593</v>
      </c>
      <c r="C413" s="62"/>
      <c r="D413" s="63"/>
      <c r="E413" s="64"/>
      <c r="F413" s="65"/>
      <c r="G413" s="62"/>
      <c r="H413" s="66"/>
      <c r="I413" s="67"/>
      <c r="J413" s="67"/>
      <c r="K413" s="31"/>
      <c r="L413" s="75">
        <v>413</v>
      </c>
      <c r="M413"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13" s="69"/>
      <c r="O413" t="s">
        <v>701</v>
      </c>
      <c r="P413" s="76">
        <v>45507.753159722219</v>
      </c>
      <c r="Q413" t="s">
        <v>872</v>
      </c>
      <c r="R413" t="b">
        <v>0</v>
      </c>
      <c r="S413">
        <v>0</v>
      </c>
      <c r="T413">
        <v>0</v>
      </c>
      <c r="U413">
        <v>0</v>
      </c>
      <c r="V413">
        <v>0</v>
      </c>
      <c r="W413">
        <v>8</v>
      </c>
      <c r="AA413" t="s">
        <v>593</v>
      </c>
      <c r="AD413" s="77" t="s">
        <v>1365</v>
      </c>
      <c r="AE413" t="s">
        <v>1385</v>
      </c>
      <c r="AF413" s="78" t="str">
        <f>HYPERLINK("https://twitter.com/sanchezjant/status/1819796513234587889")</f>
        <v>https://twitter.com/sanchezjant/status/1819796513234587889</v>
      </c>
      <c r="AG413" s="76">
        <v>45507.753159722219</v>
      </c>
      <c r="AH413" s="80">
        <v>45507</v>
      </c>
      <c r="AI413" s="77" t="s">
        <v>1553</v>
      </c>
      <c r="AW413" s="78" t="str">
        <f>HYPERLINK("https://pbs.twimg.com/profile_images/948197060158910464/QpymRBUB_normal.jpg")</f>
        <v>https://pbs.twimg.com/profile_images/948197060158910464/QpymRBUB_normal.jpg</v>
      </c>
      <c r="AX413" s="77" t="s">
        <v>2038</v>
      </c>
      <c r="AY413" s="77" t="s">
        <v>2308</v>
      </c>
      <c r="AZ413" s="77" t="s">
        <v>2426</v>
      </c>
      <c r="BA413" s="77" t="s">
        <v>2308</v>
      </c>
      <c r="BB413" s="77" t="s">
        <v>2494</v>
      </c>
      <c r="BC413" s="77" t="s">
        <v>2494</v>
      </c>
      <c r="BD413" s="77" t="s">
        <v>2308</v>
      </c>
      <c r="BE413">
        <v>1149744894</v>
      </c>
      <c r="BK413" s="112" t="str">
        <f>REPLACE(INDEX(GroupVertices[Group], MATCH("~"&amp;Edges[[#This Row],[Vertex 1]],GroupVertices[Vertex],0)),1,1,"")</f>
        <v>18</v>
      </c>
      <c r="BL413" s="112" t="str">
        <f>REPLACE(INDEX(GroupVertices[Group], MATCH("~"&amp;Edges[[#This Row],[Vertex 2]],GroupVertices[Vertex],0)),1,1,"")</f>
        <v>18</v>
      </c>
    </row>
    <row r="414" spans="1:64" x14ac:dyDescent="0.25">
      <c r="A414" s="61" t="s">
        <v>338</v>
      </c>
      <c r="B414" s="61" t="s">
        <v>613</v>
      </c>
      <c r="C414" s="62"/>
      <c r="D414" s="63"/>
      <c r="E414" s="64"/>
      <c r="F414" s="65"/>
      <c r="G414" s="62"/>
      <c r="H414" s="66"/>
      <c r="I414" s="67"/>
      <c r="J414" s="67"/>
      <c r="K414" s="31"/>
      <c r="L414" s="75">
        <v>414</v>
      </c>
      <c r="M414"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14" s="69"/>
      <c r="O414" t="s">
        <v>701</v>
      </c>
      <c r="P414" s="76">
        <v>45506.602337962962</v>
      </c>
      <c r="Q414" t="s">
        <v>897</v>
      </c>
      <c r="R414" t="b">
        <v>0</v>
      </c>
      <c r="S414">
        <v>0</v>
      </c>
      <c r="T414">
        <v>0</v>
      </c>
      <c r="U414">
        <v>0</v>
      </c>
      <c r="V414">
        <v>0</v>
      </c>
      <c r="W414">
        <v>8</v>
      </c>
      <c r="AA414" t="s">
        <v>613</v>
      </c>
      <c r="AD414" s="77" t="s">
        <v>1366</v>
      </c>
      <c r="AE414" t="s">
        <v>1385</v>
      </c>
      <c r="AF414" s="78" t="str">
        <f>HYPERLINK("https://twitter.com/jlestu4/status/1819379468844093895")</f>
        <v>https://twitter.com/jlestu4/status/1819379468844093895</v>
      </c>
      <c r="AG414" s="76">
        <v>45506.602337962962</v>
      </c>
      <c r="AH414" s="80">
        <v>45506</v>
      </c>
      <c r="AI414" s="77" t="s">
        <v>1577</v>
      </c>
      <c r="AW414" s="78" t="str">
        <f>HYPERLINK("https://pbs.twimg.com/profile_images/1505327679050027009/fAusx0_3_normal.jpg")</f>
        <v>https://pbs.twimg.com/profile_images/1505327679050027009/fAusx0_3_normal.jpg</v>
      </c>
      <c r="AX414" s="77" t="s">
        <v>2063</v>
      </c>
      <c r="AY414" s="77" t="s">
        <v>2313</v>
      </c>
      <c r="AZ414" s="77" t="s">
        <v>2432</v>
      </c>
      <c r="BA414" s="77" t="s">
        <v>2313</v>
      </c>
      <c r="BB414" s="77" t="s">
        <v>2494</v>
      </c>
      <c r="BC414" s="77" t="s">
        <v>2494</v>
      </c>
      <c r="BD414" s="77" t="s">
        <v>2313</v>
      </c>
      <c r="BE414">
        <v>633346092</v>
      </c>
      <c r="BK414" s="112" t="str">
        <f>REPLACE(INDEX(GroupVertices[Group], MATCH("~"&amp;Edges[[#This Row],[Vertex 1]],GroupVertices[Vertex],0)),1,1,"")</f>
        <v>56</v>
      </c>
      <c r="BL414" s="112" t="str">
        <f>REPLACE(INDEX(GroupVertices[Group], MATCH("~"&amp;Edges[[#This Row],[Vertex 2]],GroupVertices[Vertex],0)),1,1,"")</f>
        <v>56</v>
      </c>
    </row>
    <row r="415" spans="1:64" x14ac:dyDescent="0.25">
      <c r="A415" s="61" t="s">
        <v>387</v>
      </c>
      <c r="B415" s="61" t="s">
        <v>644</v>
      </c>
      <c r="C415" s="62"/>
      <c r="D415" s="63"/>
      <c r="E415" s="64"/>
      <c r="F415" s="65"/>
      <c r="G415" s="62"/>
      <c r="H415" s="66"/>
      <c r="I415" s="67"/>
      <c r="J415" s="67"/>
      <c r="K415" s="31"/>
      <c r="L415" s="75">
        <v>415</v>
      </c>
      <c r="M415"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15" s="69"/>
      <c r="O415" t="s">
        <v>703</v>
      </c>
      <c r="P415" s="76">
        <v>45505.836076388892</v>
      </c>
      <c r="Q415" t="s">
        <v>951</v>
      </c>
      <c r="R415" t="b">
        <v>0</v>
      </c>
      <c r="S415">
        <v>0</v>
      </c>
      <c r="T415">
        <v>0</v>
      </c>
      <c r="U415">
        <v>0</v>
      </c>
      <c r="V415">
        <v>0</v>
      </c>
      <c r="W415">
        <v>8</v>
      </c>
      <c r="AA415" t="s">
        <v>1246</v>
      </c>
      <c r="AB415" t="s">
        <v>1322</v>
      </c>
      <c r="AC415" t="s">
        <v>1362</v>
      </c>
      <c r="AD415" s="77" t="s">
        <v>1365</v>
      </c>
      <c r="AE415" t="s">
        <v>1385</v>
      </c>
      <c r="AF415" s="78" t="str">
        <f>HYPERLINK("https://twitter.com/meta_morfica/status/1819101784352411996")</f>
        <v>https://twitter.com/meta_morfica/status/1819101784352411996</v>
      </c>
      <c r="AG415" s="76">
        <v>45505.836076388892</v>
      </c>
      <c r="AH415" s="80">
        <v>45505</v>
      </c>
      <c r="AI415" s="77" t="s">
        <v>1631</v>
      </c>
      <c r="AJ415" t="b">
        <v>0</v>
      </c>
      <c r="AR415" t="s">
        <v>1835</v>
      </c>
      <c r="AW415" s="78" t="str">
        <f>HYPERLINK("https://pbs.twimg.com/tweet_video_thumb/GT6_bM5WEAA3iie.jpg")</f>
        <v>https://pbs.twimg.com/tweet_video_thumb/GT6_bM5WEAA3iie.jpg</v>
      </c>
      <c r="AX415" s="77" t="s">
        <v>2117</v>
      </c>
      <c r="AY415" s="77" t="s">
        <v>2332</v>
      </c>
      <c r="AZ415" s="77" t="s">
        <v>2451</v>
      </c>
      <c r="BA415" s="77" t="s">
        <v>2332</v>
      </c>
      <c r="BB415" s="77" t="s">
        <v>2494</v>
      </c>
      <c r="BC415" s="77" t="s">
        <v>2494</v>
      </c>
      <c r="BD415" s="77" t="s">
        <v>2332</v>
      </c>
      <c r="BE415" s="77" t="s">
        <v>2602</v>
      </c>
      <c r="BK415" s="112" t="str">
        <f>REPLACE(INDEX(GroupVertices[Group], MATCH("~"&amp;Edges[[#This Row],[Vertex 1]],GroupVertices[Vertex],0)),1,1,"")</f>
        <v>19</v>
      </c>
      <c r="BL415" s="112" t="str">
        <f>REPLACE(INDEX(GroupVertices[Group], MATCH("~"&amp;Edges[[#This Row],[Vertex 2]],GroupVertices[Vertex],0)),1,1,"")</f>
        <v>19</v>
      </c>
    </row>
    <row r="416" spans="1:64" x14ac:dyDescent="0.25">
      <c r="A416" s="61" t="s">
        <v>387</v>
      </c>
      <c r="B416" s="61" t="s">
        <v>645</v>
      </c>
      <c r="C416" s="62"/>
      <c r="D416" s="63"/>
      <c r="E416" s="64"/>
      <c r="F416" s="65"/>
      <c r="G416" s="62"/>
      <c r="H416" s="66"/>
      <c r="I416" s="67"/>
      <c r="J416" s="67"/>
      <c r="K416" s="31"/>
      <c r="L416" s="75">
        <v>416</v>
      </c>
      <c r="M416"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16" s="69"/>
      <c r="O416" t="s">
        <v>701</v>
      </c>
      <c r="P416" s="76">
        <v>45505.836076388892</v>
      </c>
      <c r="Q416" t="s">
        <v>951</v>
      </c>
      <c r="R416" t="b">
        <v>0</v>
      </c>
      <c r="S416">
        <v>0</v>
      </c>
      <c r="T416">
        <v>0</v>
      </c>
      <c r="U416">
        <v>0</v>
      </c>
      <c r="V416">
        <v>0</v>
      </c>
      <c r="W416">
        <v>8</v>
      </c>
      <c r="AA416" t="s">
        <v>1246</v>
      </c>
      <c r="AB416" t="s">
        <v>1322</v>
      </c>
      <c r="AC416" t="s">
        <v>1362</v>
      </c>
      <c r="AD416" s="77" t="s">
        <v>1365</v>
      </c>
      <c r="AE416" t="s">
        <v>1385</v>
      </c>
      <c r="AF416" s="78" t="str">
        <f>HYPERLINK("https://twitter.com/meta_morfica/status/1819101784352411996")</f>
        <v>https://twitter.com/meta_morfica/status/1819101784352411996</v>
      </c>
      <c r="AG416" s="76">
        <v>45505.836076388892</v>
      </c>
      <c r="AH416" s="80">
        <v>45505</v>
      </c>
      <c r="AI416" s="77" t="s">
        <v>1631</v>
      </c>
      <c r="AJ416" t="b">
        <v>0</v>
      </c>
      <c r="AR416" t="s">
        <v>1835</v>
      </c>
      <c r="AW416" s="78" t="str">
        <f>HYPERLINK("https://pbs.twimg.com/tweet_video_thumb/GT6_bM5WEAA3iie.jpg")</f>
        <v>https://pbs.twimg.com/tweet_video_thumb/GT6_bM5WEAA3iie.jpg</v>
      </c>
      <c r="AX416" s="77" t="s">
        <v>2117</v>
      </c>
      <c r="AY416" s="77" t="s">
        <v>2332</v>
      </c>
      <c r="AZ416" s="77" t="s">
        <v>2451</v>
      </c>
      <c r="BA416" s="77" t="s">
        <v>2332</v>
      </c>
      <c r="BB416" s="77" t="s">
        <v>2494</v>
      </c>
      <c r="BC416" s="77" t="s">
        <v>2494</v>
      </c>
      <c r="BD416" s="77" t="s">
        <v>2332</v>
      </c>
      <c r="BE416" s="77" t="s">
        <v>2602</v>
      </c>
      <c r="BK416" s="112" t="str">
        <f>REPLACE(INDEX(GroupVertices[Group], MATCH("~"&amp;Edges[[#This Row],[Vertex 1]],GroupVertices[Vertex],0)),1,1,"")</f>
        <v>19</v>
      </c>
      <c r="BL416" s="112" t="str">
        <f>REPLACE(INDEX(GroupVertices[Group], MATCH("~"&amp;Edges[[#This Row],[Vertex 2]],GroupVertices[Vertex],0)),1,1,"")</f>
        <v>19</v>
      </c>
    </row>
    <row r="417" spans="1:64" x14ac:dyDescent="0.25">
      <c r="A417" s="61" t="s">
        <v>443</v>
      </c>
      <c r="B417" s="61" t="s">
        <v>443</v>
      </c>
      <c r="C417" s="62"/>
      <c r="D417" s="63"/>
      <c r="E417" s="64"/>
      <c r="F417" s="65"/>
      <c r="G417" s="62"/>
      <c r="H417" s="66"/>
      <c r="I417" s="67"/>
      <c r="J417" s="67"/>
      <c r="K417" s="31"/>
      <c r="L417" s="75">
        <v>417</v>
      </c>
      <c r="M417"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17" s="69"/>
      <c r="O417" t="s">
        <v>177</v>
      </c>
      <c r="P417" s="76">
        <v>45506.920393518521</v>
      </c>
      <c r="Q417" t="s">
        <v>1018</v>
      </c>
      <c r="R417" t="b">
        <v>1</v>
      </c>
      <c r="S417">
        <v>453</v>
      </c>
      <c r="T417">
        <v>8288</v>
      </c>
      <c r="U417">
        <v>87</v>
      </c>
      <c r="V417">
        <v>117</v>
      </c>
      <c r="W417">
        <v>8</v>
      </c>
      <c r="AD417" s="77" t="s">
        <v>1365</v>
      </c>
      <c r="AE417" t="s">
        <v>1385</v>
      </c>
      <c r="AF417" s="78" t="str">
        <f>HYPERLINK("https://twitter.com/restrepovelez0/status/1819494730247663753")</f>
        <v>https://twitter.com/restrepovelez0/status/1819494730247663753</v>
      </c>
      <c r="AG417" s="76">
        <v>45506.920393518521</v>
      </c>
      <c r="AH417" s="80">
        <v>45506</v>
      </c>
      <c r="AI417" s="77" t="s">
        <v>1696</v>
      </c>
      <c r="AW417" s="78" t="str">
        <f>HYPERLINK("https://pbs.twimg.com/profile_images/1728187078628757504/vLXttC8E_normal.jpg")</f>
        <v>https://pbs.twimg.com/profile_images/1728187078628757504/vLXttC8E_normal.jpg</v>
      </c>
      <c r="AX417" s="77" t="s">
        <v>2184</v>
      </c>
      <c r="AY417" s="77" t="s">
        <v>2184</v>
      </c>
      <c r="BA417" s="77" t="s">
        <v>2494</v>
      </c>
      <c r="BB417" s="77" t="s">
        <v>2494</v>
      </c>
      <c r="BC417" s="77" t="s">
        <v>2494</v>
      </c>
      <c r="BD417" s="77" t="s">
        <v>2184</v>
      </c>
      <c r="BE417">
        <v>1226459472</v>
      </c>
      <c r="BK417" s="112" t="str">
        <f>REPLACE(INDEX(GroupVertices[Group], MATCH("~"&amp;Edges[[#This Row],[Vertex 1]],GroupVertices[Vertex],0)),1,1,"")</f>
        <v>112</v>
      </c>
      <c r="BL417" s="112" t="str">
        <f>REPLACE(INDEX(GroupVertices[Group], MATCH("~"&amp;Edges[[#This Row],[Vertex 2]],GroupVertices[Vertex],0)),1,1,"")</f>
        <v>112</v>
      </c>
    </row>
    <row r="418" spans="1:64" x14ac:dyDescent="0.25">
      <c r="A418" s="61" t="s">
        <v>456</v>
      </c>
      <c r="B418" s="61" t="s">
        <v>506</v>
      </c>
      <c r="C418" s="62"/>
      <c r="D418" s="63"/>
      <c r="E418" s="64"/>
      <c r="F418" s="65"/>
      <c r="G418" s="62"/>
      <c r="H418" s="66"/>
      <c r="I418" s="67"/>
      <c r="J418" s="67"/>
      <c r="K418" s="31"/>
      <c r="L418" s="75">
        <v>418</v>
      </c>
      <c r="M418"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18" s="69"/>
      <c r="O418" t="s">
        <v>702</v>
      </c>
      <c r="P418" s="76">
        <v>45507.52380787037</v>
      </c>
      <c r="Q418" t="s">
        <v>1033</v>
      </c>
      <c r="R418" t="b">
        <v>0</v>
      </c>
      <c r="S418">
        <v>0</v>
      </c>
      <c r="T418">
        <v>0</v>
      </c>
      <c r="U418">
        <v>0</v>
      </c>
      <c r="V418">
        <v>0</v>
      </c>
      <c r="W418">
        <v>8</v>
      </c>
      <c r="Y418" s="78" t="str">
        <f>HYPERLINK("https://www.eluniversal.com.mx/opinion/ricardo-homs/la-tombola-judicial/")</f>
        <v>https://www.eluniversal.com.mx/opinion/ricardo-homs/la-tombola-judicial/</v>
      </c>
      <c r="Z418" t="s">
        <v>1136</v>
      </c>
      <c r="AA418" t="s">
        <v>1234</v>
      </c>
      <c r="AD418" s="77" t="s">
        <v>1366</v>
      </c>
      <c r="AE418" t="s">
        <v>1385</v>
      </c>
      <c r="AF418" s="78" t="str">
        <f>HYPERLINK("https://twitter.com/humanistasonora/status/1819713398205980672")</f>
        <v>https://twitter.com/humanistasonora/status/1819713398205980672</v>
      </c>
      <c r="AG418" s="76">
        <v>45507.52380787037</v>
      </c>
      <c r="AH418" s="80">
        <v>45507</v>
      </c>
      <c r="AI418" s="77" t="s">
        <v>1711</v>
      </c>
      <c r="AJ418" t="b">
        <v>0</v>
      </c>
      <c r="AW418" s="78" t="str">
        <f>HYPERLINK("https://pbs.twimg.com/profile_images/551059089032486912/weCYPqGu_normal.jpeg")</f>
        <v>https://pbs.twimg.com/profile_images/551059089032486912/weCYPqGu_normal.jpeg</v>
      </c>
      <c r="AX418" s="77" t="s">
        <v>2199</v>
      </c>
      <c r="AY418" s="77" t="s">
        <v>2199</v>
      </c>
      <c r="BA418" s="77" t="s">
        <v>2494</v>
      </c>
      <c r="BB418" s="77" t="s">
        <v>2494</v>
      </c>
      <c r="BC418" s="77" t="s">
        <v>2494</v>
      </c>
      <c r="BD418" s="77" t="s">
        <v>2199</v>
      </c>
      <c r="BE418">
        <v>2956347853</v>
      </c>
      <c r="BK418" s="112" t="str">
        <f>REPLACE(INDEX(GroupVertices[Group], MATCH("~"&amp;Edges[[#This Row],[Vertex 1]],GroupVertices[Vertex],0)),1,1,"")</f>
        <v>4</v>
      </c>
      <c r="BL418" s="112" t="str">
        <f>REPLACE(INDEX(GroupVertices[Group], MATCH("~"&amp;Edges[[#This Row],[Vertex 2]],GroupVertices[Vertex],0)),1,1,"")</f>
        <v>4</v>
      </c>
    </row>
    <row r="419" spans="1:64" x14ac:dyDescent="0.25">
      <c r="A419" s="61" t="s">
        <v>456</v>
      </c>
      <c r="B419" s="61" t="s">
        <v>587</v>
      </c>
      <c r="C419" s="62"/>
      <c r="D419" s="63"/>
      <c r="E419" s="64"/>
      <c r="F419" s="65"/>
      <c r="G419" s="62"/>
      <c r="H419" s="66"/>
      <c r="I419" s="67"/>
      <c r="J419" s="67"/>
      <c r="K419" s="31"/>
      <c r="L419" s="75">
        <v>419</v>
      </c>
      <c r="M419"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19" s="69"/>
      <c r="O419" t="s">
        <v>702</v>
      </c>
      <c r="P419" s="76">
        <v>45507.52380787037</v>
      </c>
      <c r="Q419" t="s">
        <v>1033</v>
      </c>
      <c r="R419" t="b">
        <v>0</v>
      </c>
      <c r="S419">
        <v>0</v>
      </c>
      <c r="T419">
        <v>0</v>
      </c>
      <c r="U419">
        <v>0</v>
      </c>
      <c r="V419">
        <v>0</v>
      </c>
      <c r="W419">
        <v>8</v>
      </c>
      <c r="Y419" s="78" t="str">
        <f>HYPERLINK("https://www.eluniversal.com.mx/opinion/ricardo-homs/la-tombola-judicial/")</f>
        <v>https://www.eluniversal.com.mx/opinion/ricardo-homs/la-tombola-judicial/</v>
      </c>
      <c r="Z419" t="s">
        <v>1136</v>
      </c>
      <c r="AA419" t="s">
        <v>1234</v>
      </c>
      <c r="AD419" s="77" t="s">
        <v>1366</v>
      </c>
      <c r="AE419" t="s">
        <v>1385</v>
      </c>
      <c r="AF419" s="78" t="str">
        <f>HYPERLINK("https://twitter.com/humanistasonora/status/1819713398205980672")</f>
        <v>https://twitter.com/humanistasonora/status/1819713398205980672</v>
      </c>
      <c r="AG419" s="76">
        <v>45507.52380787037</v>
      </c>
      <c r="AH419" s="80">
        <v>45507</v>
      </c>
      <c r="AI419" s="77" t="s">
        <v>1711</v>
      </c>
      <c r="AJ419" t="b">
        <v>0</v>
      </c>
      <c r="AW419" s="78" t="str">
        <f>HYPERLINK("https://pbs.twimg.com/profile_images/551059089032486912/weCYPqGu_normal.jpeg")</f>
        <v>https://pbs.twimg.com/profile_images/551059089032486912/weCYPqGu_normal.jpeg</v>
      </c>
      <c r="AX419" s="77" t="s">
        <v>2199</v>
      </c>
      <c r="AY419" s="77" t="s">
        <v>2199</v>
      </c>
      <c r="BA419" s="77" t="s">
        <v>2494</v>
      </c>
      <c r="BB419" s="77" t="s">
        <v>2494</v>
      </c>
      <c r="BC419" s="77" t="s">
        <v>2494</v>
      </c>
      <c r="BD419" s="77" t="s">
        <v>2199</v>
      </c>
      <c r="BE419">
        <v>2956347853</v>
      </c>
      <c r="BK419" s="112" t="str">
        <f>REPLACE(INDEX(GroupVertices[Group], MATCH("~"&amp;Edges[[#This Row],[Vertex 1]],GroupVertices[Vertex],0)),1,1,"")</f>
        <v>4</v>
      </c>
      <c r="BL419" s="112" t="str">
        <f>REPLACE(INDEX(GroupVertices[Group], MATCH("~"&amp;Edges[[#This Row],[Vertex 2]],GroupVertices[Vertex],0)),1,1,"")</f>
        <v>4</v>
      </c>
    </row>
    <row r="420" spans="1:64" x14ac:dyDescent="0.25">
      <c r="A420" s="61" t="s">
        <v>464</v>
      </c>
      <c r="B420" s="61" t="s">
        <v>682</v>
      </c>
      <c r="C420" s="62"/>
      <c r="D420" s="63"/>
      <c r="E420" s="64"/>
      <c r="F420" s="65"/>
      <c r="G420" s="62"/>
      <c r="H420" s="66"/>
      <c r="I420" s="67"/>
      <c r="J420" s="67"/>
      <c r="K420" s="31"/>
      <c r="L420" s="75">
        <v>420</v>
      </c>
      <c r="M420"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20" s="69"/>
      <c r="O420" t="s">
        <v>701</v>
      </c>
      <c r="P420" s="76">
        <v>45510.654236111113</v>
      </c>
      <c r="Q420" t="s">
        <v>1041</v>
      </c>
      <c r="R420" t="b">
        <v>0</v>
      </c>
      <c r="S420">
        <v>0</v>
      </c>
      <c r="T420">
        <v>0</v>
      </c>
      <c r="U420">
        <v>0</v>
      </c>
      <c r="V420">
        <v>0</v>
      </c>
      <c r="W420">
        <v>8</v>
      </c>
      <c r="AA420" t="s">
        <v>682</v>
      </c>
      <c r="AD420" s="77" t="s">
        <v>1365</v>
      </c>
      <c r="AE420" t="s">
        <v>1385</v>
      </c>
      <c r="AF420" s="78" t="str">
        <f>HYPERLINK("https://twitter.com/armorold/status/1820847828748718524")</f>
        <v>https://twitter.com/armorold/status/1820847828748718524</v>
      </c>
      <c r="AG420" s="76">
        <v>45510.654236111113</v>
      </c>
      <c r="AH420" s="80">
        <v>45510</v>
      </c>
      <c r="AI420" s="77" t="s">
        <v>1719</v>
      </c>
      <c r="AW420" s="78" t="str">
        <f>HYPERLINK("https://pbs.twimg.com/profile_images/1620498549858504704/8PNjE6iA_normal.jpg")</f>
        <v>https://pbs.twimg.com/profile_images/1620498549858504704/8PNjE6iA_normal.jpg</v>
      </c>
      <c r="AX420" s="77" t="s">
        <v>2207</v>
      </c>
      <c r="AY420" s="77" t="s">
        <v>2354</v>
      </c>
      <c r="AZ420" s="77" t="s">
        <v>2478</v>
      </c>
      <c r="BA420" s="77" t="s">
        <v>2354</v>
      </c>
      <c r="BB420" s="77" t="s">
        <v>2494</v>
      </c>
      <c r="BC420" s="77" t="s">
        <v>2494</v>
      </c>
      <c r="BD420" s="77" t="s">
        <v>2354</v>
      </c>
      <c r="BE420" s="77" t="s">
        <v>2630</v>
      </c>
      <c r="BK420" s="112" t="str">
        <f>REPLACE(INDEX(GroupVertices[Group], MATCH("~"&amp;Edges[[#This Row],[Vertex 1]],GroupVertices[Vertex],0)),1,1,"")</f>
        <v>55</v>
      </c>
      <c r="BL420" s="112" t="str">
        <f>REPLACE(INDEX(GroupVertices[Group], MATCH("~"&amp;Edges[[#This Row],[Vertex 2]],GroupVertices[Vertex],0)),1,1,"")</f>
        <v>55</v>
      </c>
    </row>
    <row r="421" spans="1:64" x14ac:dyDescent="0.25">
      <c r="A421" s="61" t="s">
        <v>470</v>
      </c>
      <c r="B421" s="61" t="s">
        <v>470</v>
      </c>
      <c r="C421" s="62"/>
      <c r="D421" s="63"/>
      <c r="E421" s="64"/>
      <c r="F421" s="65"/>
      <c r="G421" s="62"/>
      <c r="H421" s="66"/>
      <c r="I421" s="67"/>
      <c r="J421" s="67"/>
      <c r="K421" s="31"/>
      <c r="L421" s="75">
        <v>421</v>
      </c>
      <c r="M421"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21" s="69"/>
      <c r="O421" t="s">
        <v>701</v>
      </c>
      <c r="P421" s="76">
        <v>45510.763449074075</v>
      </c>
      <c r="Q421" t="s">
        <v>1048</v>
      </c>
      <c r="R421" t="b">
        <v>0</v>
      </c>
      <c r="S421">
        <v>0</v>
      </c>
      <c r="T421">
        <v>0</v>
      </c>
      <c r="U421">
        <v>1</v>
      </c>
      <c r="V421">
        <v>0</v>
      </c>
      <c r="W421">
        <v>8</v>
      </c>
      <c r="AA421" t="s">
        <v>1262</v>
      </c>
      <c r="AD421" s="77" t="s">
        <v>1367</v>
      </c>
      <c r="AE421" t="s">
        <v>1385</v>
      </c>
      <c r="AF421" s="78" t="str">
        <f>HYPERLINK("https://twitter.com/andresalvar5/status/1820887406448668849")</f>
        <v>https://twitter.com/andresalvar5/status/1820887406448668849</v>
      </c>
      <c r="AG421" s="76">
        <v>45510.763449074075</v>
      </c>
      <c r="AH421" s="80">
        <v>45510</v>
      </c>
      <c r="AI421" s="77" t="s">
        <v>1726</v>
      </c>
      <c r="AW421" s="78" t="str">
        <f>HYPERLINK("https://pbs.twimg.com/profile_images/1462170198744743945/8uJueYkH_normal.jpg")</f>
        <v>https://pbs.twimg.com/profile_images/1462170198744743945/8uJueYkH_normal.jpg</v>
      </c>
      <c r="AX421" s="77" t="s">
        <v>2214</v>
      </c>
      <c r="AY421" s="77" t="s">
        <v>2361</v>
      </c>
      <c r="AZ421" s="77" t="s">
        <v>2485</v>
      </c>
      <c r="BA421" s="77" t="s">
        <v>2527</v>
      </c>
      <c r="BB421" s="77" t="s">
        <v>2494</v>
      </c>
      <c r="BC421" s="77" t="s">
        <v>2494</v>
      </c>
      <c r="BD421" s="77" t="s">
        <v>2527</v>
      </c>
      <c r="BE421" s="77" t="s">
        <v>2485</v>
      </c>
      <c r="BK421" s="112" t="str">
        <f>REPLACE(INDEX(GroupVertices[Group], MATCH("~"&amp;Edges[[#This Row],[Vertex 1]],GroupVertices[Vertex],0)),1,1,"")</f>
        <v>87</v>
      </c>
      <c r="BL421" s="112" t="str">
        <f>REPLACE(INDEX(GroupVertices[Group], MATCH("~"&amp;Edges[[#This Row],[Vertex 2]],GroupVertices[Vertex],0)),1,1,"")</f>
        <v>87</v>
      </c>
    </row>
    <row r="422" spans="1:64" x14ac:dyDescent="0.25">
      <c r="A422" s="61" t="s">
        <v>488</v>
      </c>
      <c r="B422" s="61" t="s">
        <v>489</v>
      </c>
      <c r="C422" s="62"/>
      <c r="D422" s="63"/>
      <c r="E422" s="64"/>
      <c r="F422" s="65"/>
      <c r="G422" s="62"/>
      <c r="H422" s="66"/>
      <c r="I422" s="67"/>
      <c r="J422" s="67"/>
      <c r="K422" s="31"/>
      <c r="L422" s="75">
        <v>422</v>
      </c>
      <c r="M422"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22" s="69"/>
      <c r="O422" t="s">
        <v>704</v>
      </c>
      <c r="P422" s="76">
        <v>45505.386157407411</v>
      </c>
      <c r="Q422" t="s">
        <v>1069</v>
      </c>
      <c r="R422" t="b">
        <v>0</v>
      </c>
      <c r="S422">
        <v>0</v>
      </c>
      <c r="T422">
        <v>0</v>
      </c>
      <c r="U422">
        <v>0</v>
      </c>
      <c r="V422">
        <v>0</v>
      </c>
      <c r="W422">
        <v>8</v>
      </c>
      <c r="AD422" s="77" t="s">
        <v>1365</v>
      </c>
      <c r="AE422" t="s">
        <v>1385</v>
      </c>
      <c r="AF422" s="78" t="str">
        <f>HYPERLINK("https://twitter.com/javispecialone1/status/1818938741177582044")</f>
        <v>https://twitter.com/javispecialone1/status/1818938741177582044</v>
      </c>
      <c r="AG422" s="76">
        <v>45505.386157407411</v>
      </c>
      <c r="AH422" s="80">
        <v>45505</v>
      </c>
      <c r="AI422" s="77" t="s">
        <v>1746</v>
      </c>
      <c r="AW422" s="78" t="str">
        <f>HYPERLINK("https://pbs.twimg.com/profile_images/1794083155386716160/eiUlb9Jk_normal.jpg")</f>
        <v>https://pbs.twimg.com/profile_images/1794083155386716160/eiUlb9Jk_normal.jpg</v>
      </c>
      <c r="AX422" s="77" t="s">
        <v>2235</v>
      </c>
      <c r="AY422" s="77" t="s">
        <v>2235</v>
      </c>
      <c r="BA422" s="77" t="s">
        <v>2494</v>
      </c>
      <c r="BB422" s="77" t="s">
        <v>2236</v>
      </c>
      <c r="BC422" s="77" t="s">
        <v>2494</v>
      </c>
      <c r="BD422" s="77" t="s">
        <v>2236</v>
      </c>
      <c r="BE422" s="77" t="s">
        <v>2637</v>
      </c>
      <c r="BK422" s="112" t="str">
        <f>REPLACE(INDEX(GroupVertices[Group], MATCH("~"&amp;Edges[[#This Row],[Vertex 1]],GroupVertices[Vertex],0)),1,1,"")</f>
        <v>33</v>
      </c>
      <c r="BL422" s="112" t="str">
        <f>REPLACE(INDEX(GroupVertices[Group], MATCH("~"&amp;Edges[[#This Row],[Vertex 2]],GroupVertices[Vertex],0)),1,1,"")</f>
        <v>33</v>
      </c>
    </row>
    <row r="423" spans="1:64" x14ac:dyDescent="0.25">
      <c r="A423" s="61" t="s">
        <v>495</v>
      </c>
      <c r="B423" s="61" t="s">
        <v>695</v>
      </c>
      <c r="C423" s="62"/>
      <c r="D423" s="63"/>
      <c r="E423" s="64"/>
      <c r="F423" s="65"/>
      <c r="G423" s="62"/>
      <c r="H423" s="66"/>
      <c r="I423" s="67"/>
      <c r="J423" s="67"/>
      <c r="K423" s="31"/>
      <c r="L423" s="75">
        <v>423</v>
      </c>
      <c r="M423"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23" s="69"/>
      <c r="O423" t="s">
        <v>701</v>
      </c>
      <c r="P423" s="76">
        <v>45507.993298611109</v>
      </c>
      <c r="Q423" t="s">
        <v>1076</v>
      </c>
      <c r="R423" t="b">
        <v>0</v>
      </c>
      <c r="S423">
        <v>0</v>
      </c>
      <c r="T423">
        <v>0</v>
      </c>
      <c r="U423">
        <v>0</v>
      </c>
      <c r="V423">
        <v>0</v>
      </c>
      <c r="W423">
        <v>8</v>
      </c>
      <c r="AA423" t="s">
        <v>695</v>
      </c>
      <c r="AB423" t="s">
        <v>1355</v>
      </c>
      <c r="AC423" t="s">
        <v>1362</v>
      </c>
      <c r="AD423" s="77" t="s">
        <v>1365</v>
      </c>
      <c r="AE423" t="s">
        <v>1385</v>
      </c>
      <c r="AF423" s="78" t="str">
        <f>HYPERLINK("https://twitter.com/juguitodeodeo/status/1819883535366242683")</f>
        <v>https://twitter.com/juguitodeodeo/status/1819883535366242683</v>
      </c>
      <c r="AG423" s="76">
        <v>45507.993298611109</v>
      </c>
      <c r="AH423" s="80">
        <v>45507</v>
      </c>
      <c r="AI423" s="77" t="s">
        <v>1753</v>
      </c>
      <c r="AJ423" t="b">
        <v>0</v>
      </c>
      <c r="AR423" t="s">
        <v>1868</v>
      </c>
      <c r="AW423" s="78" t="str">
        <f>HYPERLINK("https://pbs.twimg.com/tweet_video_thumb/GUGGbKCWUAAeSlK.jpg")</f>
        <v>https://pbs.twimg.com/tweet_video_thumb/GUGGbKCWUAAeSlK.jpg</v>
      </c>
      <c r="AX423" s="77" t="s">
        <v>2242</v>
      </c>
      <c r="AY423" s="77" t="s">
        <v>2364</v>
      </c>
      <c r="AZ423" s="77" t="s">
        <v>2489</v>
      </c>
      <c r="BA423" s="77" t="s">
        <v>2364</v>
      </c>
      <c r="BB423" s="77" t="s">
        <v>2494</v>
      </c>
      <c r="BC423" s="77" t="s">
        <v>2494</v>
      </c>
      <c r="BD423" s="77" t="s">
        <v>2364</v>
      </c>
      <c r="BE423">
        <v>765654752</v>
      </c>
      <c r="BK423" s="112" t="str">
        <f>REPLACE(INDEX(GroupVertices[Group], MATCH("~"&amp;Edges[[#This Row],[Vertex 1]],GroupVertices[Vertex],0)),1,1,"")</f>
        <v>54</v>
      </c>
      <c r="BL423" s="112" t="str">
        <f>REPLACE(INDEX(GroupVertices[Group], MATCH("~"&amp;Edges[[#This Row],[Vertex 2]],GroupVertices[Vertex],0)),1,1,"")</f>
        <v>54</v>
      </c>
    </row>
    <row r="424" spans="1:64" x14ac:dyDescent="0.25">
      <c r="A424" s="61" t="s">
        <v>228</v>
      </c>
      <c r="B424" s="61" t="s">
        <v>228</v>
      </c>
      <c r="C424" s="62"/>
      <c r="D424" s="63"/>
      <c r="E424" s="64"/>
      <c r="F424" s="65"/>
      <c r="G424" s="62"/>
      <c r="H424" s="66"/>
      <c r="I424" s="67"/>
      <c r="J424" s="67"/>
      <c r="K424" s="31"/>
      <c r="L424" s="75">
        <v>424</v>
      </c>
      <c r="M424"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24" s="69"/>
      <c r="O424" t="s">
        <v>177</v>
      </c>
      <c r="P424" s="76">
        <v>45510.463645833333</v>
      </c>
      <c r="Q424" t="s">
        <v>711</v>
      </c>
      <c r="R424" t="b">
        <v>0</v>
      </c>
      <c r="S424">
        <v>0</v>
      </c>
      <c r="T424">
        <v>0</v>
      </c>
      <c r="U424">
        <v>0</v>
      </c>
      <c r="V424">
        <v>0</v>
      </c>
      <c r="W424">
        <v>7</v>
      </c>
      <c r="AB424" t="s">
        <v>1265</v>
      </c>
      <c r="AC424" t="s">
        <v>1359</v>
      </c>
      <c r="AD424" s="77" t="s">
        <v>1367</v>
      </c>
      <c r="AE424" t="s">
        <v>1385</v>
      </c>
      <c r="AF424" s="78" t="str">
        <f>HYPERLINK("https://twitter.com/kioscodani/status/1820778761735782838")</f>
        <v>https://twitter.com/kioscodani/status/1820778761735782838</v>
      </c>
      <c r="AG424" s="76">
        <v>45510.463645833333</v>
      </c>
      <c r="AH424" s="80">
        <v>45510</v>
      </c>
      <c r="AI424" s="77" t="s">
        <v>1393</v>
      </c>
      <c r="AJ424" t="b">
        <v>0</v>
      </c>
      <c r="AR424" t="s">
        <v>1778</v>
      </c>
      <c r="AW424" s="78" t="str">
        <f>HYPERLINK("https://pbs.twimg.com/media/GUS0n0zWEAANino.jpg")</f>
        <v>https://pbs.twimg.com/media/GUS0n0zWEAANino.jpg</v>
      </c>
      <c r="AX424" s="77" t="s">
        <v>1877</v>
      </c>
      <c r="AY424" s="77" t="s">
        <v>1877</v>
      </c>
      <c r="BA424" s="77" t="s">
        <v>2494</v>
      </c>
      <c r="BB424" s="77" t="s">
        <v>2494</v>
      </c>
      <c r="BC424" s="77" t="s">
        <v>2494</v>
      </c>
      <c r="BD424" s="77" t="s">
        <v>1877</v>
      </c>
      <c r="BE424" s="77" t="s">
        <v>2533</v>
      </c>
      <c r="BK424" s="112" t="str">
        <f>REPLACE(INDEX(GroupVertices[Group], MATCH("~"&amp;Edges[[#This Row],[Vertex 1]],GroupVertices[Vertex],0)),1,1,"")</f>
        <v>115</v>
      </c>
      <c r="BL424" s="112" t="str">
        <f>REPLACE(INDEX(GroupVertices[Group], MATCH("~"&amp;Edges[[#This Row],[Vertex 2]],GroupVertices[Vertex],0)),1,1,"")</f>
        <v>115</v>
      </c>
    </row>
    <row r="425" spans="1:64" x14ac:dyDescent="0.25">
      <c r="A425" s="61" t="s">
        <v>272</v>
      </c>
      <c r="B425" s="61" t="s">
        <v>516</v>
      </c>
      <c r="C425" s="62"/>
      <c r="D425" s="63"/>
      <c r="E425" s="64"/>
      <c r="F425" s="65"/>
      <c r="G425" s="62"/>
      <c r="H425" s="66"/>
      <c r="I425" s="67"/>
      <c r="J425" s="67"/>
      <c r="K425" s="31"/>
      <c r="L425" s="75">
        <v>425</v>
      </c>
      <c r="M425"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25" s="69"/>
      <c r="O425" t="s">
        <v>703</v>
      </c>
      <c r="P425" s="76">
        <v>45506.339548611111</v>
      </c>
      <c r="Q425" t="s">
        <v>774</v>
      </c>
      <c r="R425" t="b">
        <v>0</v>
      </c>
      <c r="S425">
        <v>0</v>
      </c>
      <c r="T425">
        <v>0</v>
      </c>
      <c r="U425">
        <v>0</v>
      </c>
      <c r="V425">
        <v>0</v>
      </c>
      <c r="W425">
        <v>7</v>
      </c>
      <c r="AA425" t="s">
        <v>1217</v>
      </c>
      <c r="AD425" s="77" t="s">
        <v>1365</v>
      </c>
      <c r="AE425" t="s">
        <v>1385</v>
      </c>
      <c r="AF425" s="78" t="str">
        <f>HYPERLINK("https://twitter.com/romerorome7324/status/1819284238581002478")</f>
        <v>https://twitter.com/romerorome7324/status/1819284238581002478</v>
      </c>
      <c r="AG425" s="76">
        <v>45506.339548611111</v>
      </c>
      <c r="AH425" s="80">
        <v>45506</v>
      </c>
      <c r="AI425" s="77" t="s">
        <v>1456</v>
      </c>
      <c r="AW425" s="78" t="str">
        <f>HYPERLINK("https://pbs.twimg.com/profile_images/1809767233171628032/v3AxLzHS_normal.jpg")</f>
        <v>https://pbs.twimg.com/profile_images/1809767233171628032/v3AxLzHS_normal.jpg</v>
      </c>
      <c r="AX425" s="77" t="s">
        <v>1940</v>
      </c>
      <c r="AY425" s="77" t="s">
        <v>2276</v>
      </c>
      <c r="AZ425" s="77" t="s">
        <v>2390</v>
      </c>
      <c r="BA425" s="77" t="s">
        <v>2276</v>
      </c>
      <c r="BB425" s="77" t="s">
        <v>2494</v>
      </c>
      <c r="BC425" s="77" t="s">
        <v>2494</v>
      </c>
      <c r="BD425" s="77" t="s">
        <v>2276</v>
      </c>
      <c r="BE425" s="77" t="s">
        <v>2556</v>
      </c>
      <c r="BK425" s="112" t="str">
        <f>REPLACE(INDEX(GroupVertices[Group], MATCH("~"&amp;Edges[[#This Row],[Vertex 1]],GroupVertices[Vertex],0)),1,1,"")</f>
        <v>6</v>
      </c>
      <c r="BL425" s="112" t="str">
        <f>REPLACE(INDEX(GroupVertices[Group], MATCH("~"&amp;Edges[[#This Row],[Vertex 2]],GroupVertices[Vertex],0)),1,1,"")</f>
        <v>6</v>
      </c>
    </row>
    <row r="426" spans="1:64" x14ac:dyDescent="0.25">
      <c r="A426" s="61" t="s">
        <v>272</v>
      </c>
      <c r="B426" s="61" t="s">
        <v>539</v>
      </c>
      <c r="C426" s="62"/>
      <c r="D426" s="63"/>
      <c r="E426" s="64"/>
      <c r="F426" s="65"/>
      <c r="G426" s="62"/>
      <c r="H426" s="66"/>
      <c r="I426" s="67"/>
      <c r="J426" s="67"/>
      <c r="K426" s="31"/>
      <c r="L426" s="75">
        <v>426</v>
      </c>
      <c r="M426"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26" s="69"/>
      <c r="O426" t="s">
        <v>701</v>
      </c>
      <c r="P426" s="76">
        <v>45506.339548611111</v>
      </c>
      <c r="Q426" t="s">
        <v>774</v>
      </c>
      <c r="R426" t="b">
        <v>0</v>
      </c>
      <c r="S426">
        <v>0</v>
      </c>
      <c r="T426">
        <v>0</v>
      </c>
      <c r="U426">
        <v>0</v>
      </c>
      <c r="V426">
        <v>0</v>
      </c>
      <c r="W426">
        <v>7</v>
      </c>
      <c r="AA426" t="s">
        <v>1217</v>
      </c>
      <c r="AD426" s="77" t="s">
        <v>1365</v>
      </c>
      <c r="AE426" t="s">
        <v>1385</v>
      </c>
      <c r="AF426" s="78" t="str">
        <f>HYPERLINK("https://twitter.com/romerorome7324/status/1819284238581002478")</f>
        <v>https://twitter.com/romerorome7324/status/1819284238581002478</v>
      </c>
      <c r="AG426" s="76">
        <v>45506.339548611111</v>
      </c>
      <c r="AH426" s="80">
        <v>45506</v>
      </c>
      <c r="AI426" s="77" t="s">
        <v>1456</v>
      </c>
      <c r="AW426" s="78" t="str">
        <f>HYPERLINK("https://pbs.twimg.com/profile_images/1809767233171628032/v3AxLzHS_normal.jpg")</f>
        <v>https://pbs.twimg.com/profile_images/1809767233171628032/v3AxLzHS_normal.jpg</v>
      </c>
      <c r="AX426" s="77" t="s">
        <v>1940</v>
      </c>
      <c r="AY426" s="77" t="s">
        <v>2276</v>
      </c>
      <c r="AZ426" s="77" t="s">
        <v>2390</v>
      </c>
      <c r="BA426" s="77" t="s">
        <v>2276</v>
      </c>
      <c r="BB426" s="77" t="s">
        <v>2494</v>
      </c>
      <c r="BC426" s="77" t="s">
        <v>2494</v>
      </c>
      <c r="BD426" s="77" t="s">
        <v>2276</v>
      </c>
      <c r="BE426" s="77" t="s">
        <v>2556</v>
      </c>
      <c r="BK426" s="112" t="str">
        <f>REPLACE(INDEX(GroupVertices[Group], MATCH("~"&amp;Edges[[#This Row],[Vertex 1]],GroupVertices[Vertex],0)),1,1,"")</f>
        <v>6</v>
      </c>
      <c r="BL426" s="112" t="str">
        <f>REPLACE(INDEX(GroupVertices[Group], MATCH("~"&amp;Edges[[#This Row],[Vertex 2]],GroupVertices[Vertex],0)),1,1,"")</f>
        <v>6</v>
      </c>
    </row>
    <row r="427" spans="1:64" x14ac:dyDescent="0.25">
      <c r="A427" s="61" t="s">
        <v>286</v>
      </c>
      <c r="B427" s="61" t="s">
        <v>558</v>
      </c>
      <c r="C427" s="62"/>
      <c r="D427" s="63"/>
      <c r="E427" s="64"/>
      <c r="F427" s="65"/>
      <c r="G427" s="62"/>
      <c r="H427" s="66"/>
      <c r="I427" s="67"/>
      <c r="J427" s="67"/>
      <c r="K427" s="31"/>
      <c r="L427" s="75">
        <v>427</v>
      </c>
      <c r="M427"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27" s="69"/>
      <c r="O427" t="s">
        <v>701</v>
      </c>
      <c r="P427" s="76">
        <v>45510.892152777778</v>
      </c>
      <c r="Q427" t="s">
        <v>789</v>
      </c>
      <c r="R427" t="b">
        <v>0</v>
      </c>
      <c r="S427">
        <v>0</v>
      </c>
      <c r="T427">
        <v>1</v>
      </c>
      <c r="U427">
        <v>0</v>
      </c>
      <c r="V427">
        <v>0</v>
      </c>
      <c r="W427">
        <v>7</v>
      </c>
      <c r="AA427" t="s">
        <v>558</v>
      </c>
      <c r="AD427" s="77" t="s">
        <v>1367</v>
      </c>
      <c r="AE427" t="s">
        <v>1385</v>
      </c>
      <c r="AF427" s="78" t="str">
        <f>HYPERLINK("https://twitter.com/cojimanki1/status/1820934044483297427")</f>
        <v>https://twitter.com/cojimanki1/status/1820934044483297427</v>
      </c>
      <c r="AG427" s="76">
        <v>45510.892152777778</v>
      </c>
      <c r="AH427" s="80">
        <v>45510</v>
      </c>
      <c r="AI427" s="77" t="s">
        <v>1471</v>
      </c>
      <c r="AW427" s="78" t="str">
        <f>HYPERLINK("https://abs.twimg.com/sticky/default_profile_images/default_profile_normal.png")</f>
        <v>https://abs.twimg.com/sticky/default_profile_images/default_profile_normal.png</v>
      </c>
      <c r="AX427" s="77" t="s">
        <v>1955</v>
      </c>
      <c r="AY427" s="77" t="s">
        <v>2287</v>
      </c>
      <c r="AZ427" s="77" t="s">
        <v>2406</v>
      </c>
      <c r="BA427" s="77" t="s">
        <v>2287</v>
      </c>
      <c r="BB427" s="77" t="s">
        <v>2494</v>
      </c>
      <c r="BC427" s="77" t="s">
        <v>2494</v>
      </c>
      <c r="BD427" s="77" t="s">
        <v>2287</v>
      </c>
      <c r="BE427" s="77" t="s">
        <v>2562</v>
      </c>
      <c r="BK427" s="112" t="str">
        <f>REPLACE(INDEX(GroupVertices[Group], MATCH("~"&amp;Edges[[#This Row],[Vertex 1]],GroupVertices[Vertex],0)),1,1,"")</f>
        <v>53</v>
      </c>
      <c r="BL427" s="112" t="str">
        <f>REPLACE(INDEX(GroupVertices[Group], MATCH("~"&amp;Edges[[#This Row],[Vertex 2]],GroupVertices[Vertex],0)),1,1,"")</f>
        <v>53</v>
      </c>
    </row>
    <row r="428" spans="1:64" x14ac:dyDescent="0.25">
      <c r="A428" s="61" t="s">
        <v>292</v>
      </c>
      <c r="B428" s="61" t="s">
        <v>292</v>
      </c>
      <c r="C428" s="62"/>
      <c r="D428" s="63"/>
      <c r="E428" s="64"/>
      <c r="F428" s="65"/>
      <c r="G428" s="62"/>
      <c r="H428" s="66"/>
      <c r="I428" s="67"/>
      <c r="J428" s="67"/>
      <c r="K428" s="31"/>
      <c r="L428" s="75">
        <v>428</v>
      </c>
      <c r="M428"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28" s="69"/>
      <c r="O428" t="s">
        <v>177</v>
      </c>
      <c r="P428" s="76">
        <v>45506.79011574074</v>
      </c>
      <c r="Q428" t="s">
        <v>807</v>
      </c>
      <c r="R428" t="b">
        <v>0</v>
      </c>
      <c r="S428">
        <v>0</v>
      </c>
      <c r="T428">
        <v>0</v>
      </c>
      <c r="U428">
        <v>0</v>
      </c>
      <c r="V428">
        <v>0</v>
      </c>
      <c r="W428">
        <v>7</v>
      </c>
      <c r="X428" s="77" t="s">
        <v>1099</v>
      </c>
      <c r="Y428" s="78" t="str">
        <f>HYPERLINK("https://vm.tiktok.com/ZGe7C1uPy/")</f>
        <v>https://vm.tiktok.com/ZGe7C1uPy/</v>
      </c>
      <c r="Z428" t="s">
        <v>1149</v>
      </c>
      <c r="AD428" s="77" t="s">
        <v>1365</v>
      </c>
      <c r="AE428" t="s">
        <v>1385</v>
      </c>
      <c r="AF428" s="78" t="str">
        <f>HYPERLINK("https://twitter.com/atologocito1/status/1819447515596706101")</f>
        <v>https://twitter.com/atologocito1/status/1819447515596706101</v>
      </c>
      <c r="AG428" s="76">
        <v>45506.79011574074</v>
      </c>
      <c r="AH428" s="80">
        <v>45506</v>
      </c>
      <c r="AI428" s="77" t="s">
        <v>1489</v>
      </c>
      <c r="AJ428" t="b">
        <v>0</v>
      </c>
      <c r="AK428" t="s">
        <v>1767</v>
      </c>
      <c r="AL428" t="s">
        <v>1769</v>
      </c>
      <c r="AM428" t="s">
        <v>1770</v>
      </c>
      <c r="AN428" t="s">
        <v>1771</v>
      </c>
      <c r="AO428" t="s">
        <v>1773</v>
      </c>
      <c r="AP428" t="s">
        <v>1775</v>
      </c>
      <c r="AQ428" t="s">
        <v>1777</v>
      </c>
      <c r="AW428" s="78" t="str">
        <f>HYPERLINK("https://pbs.twimg.com/profile_images/1497222336470298628/AOSxZ6NT_normal.jpg")</f>
        <v>https://pbs.twimg.com/profile_images/1497222336470298628/AOSxZ6NT_normal.jpg</v>
      </c>
      <c r="AX428" s="77" t="s">
        <v>1973</v>
      </c>
      <c r="AY428" s="77" t="s">
        <v>1973</v>
      </c>
      <c r="BA428" s="77" t="s">
        <v>2494</v>
      </c>
      <c r="BB428" s="77" t="s">
        <v>2494</v>
      </c>
      <c r="BC428" s="77" t="s">
        <v>2494</v>
      </c>
      <c r="BD428" s="77" t="s">
        <v>1973</v>
      </c>
      <c r="BE428" s="77" t="s">
        <v>2565</v>
      </c>
      <c r="BK428" s="112" t="str">
        <f>REPLACE(INDEX(GroupVertices[Group], MATCH("~"&amp;Edges[[#This Row],[Vertex 1]],GroupVertices[Vertex],0)),1,1,"")</f>
        <v>13</v>
      </c>
      <c r="BL428" s="112" t="str">
        <f>REPLACE(INDEX(GroupVertices[Group], MATCH("~"&amp;Edges[[#This Row],[Vertex 2]],GroupVertices[Vertex],0)),1,1,"")</f>
        <v>13</v>
      </c>
    </row>
    <row r="429" spans="1:64" x14ac:dyDescent="0.25">
      <c r="A429" s="61" t="s">
        <v>401</v>
      </c>
      <c r="B429" s="61" t="s">
        <v>666</v>
      </c>
      <c r="C429" s="62"/>
      <c r="D429" s="63"/>
      <c r="E429" s="64"/>
      <c r="F429" s="65"/>
      <c r="G429" s="62"/>
      <c r="H429" s="66"/>
      <c r="I429" s="67"/>
      <c r="J429" s="67"/>
      <c r="K429" s="31"/>
      <c r="L429" s="75">
        <v>429</v>
      </c>
      <c r="M429"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29" s="69"/>
      <c r="O429" t="s">
        <v>703</v>
      </c>
      <c r="P429" s="76">
        <v>45508.727488425924</v>
      </c>
      <c r="Q429" t="s">
        <v>969</v>
      </c>
      <c r="R429" t="b">
        <v>0</v>
      </c>
      <c r="S429">
        <v>0</v>
      </c>
      <c r="T429">
        <v>1</v>
      </c>
      <c r="U429">
        <v>0</v>
      </c>
      <c r="V429">
        <v>0</v>
      </c>
      <c r="W429">
        <v>7</v>
      </c>
      <c r="AA429" t="s">
        <v>1251</v>
      </c>
      <c r="AD429" s="77" t="s">
        <v>1365</v>
      </c>
      <c r="AE429" t="s">
        <v>1385</v>
      </c>
      <c r="AF429" s="78" t="str">
        <f>HYPERLINK("https://twitter.com/pechunejo/status/1820149599723827595")</f>
        <v>https://twitter.com/pechunejo/status/1820149599723827595</v>
      </c>
      <c r="AG429" s="76">
        <v>45508.727488425924</v>
      </c>
      <c r="AH429" s="80">
        <v>45508</v>
      </c>
      <c r="AI429" s="77" t="s">
        <v>1649</v>
      </c>
      <c r="AW429" s="78" t="str">
        <f>HYPERLINK("https://pbs.twimg.com/profile_images/1302226405804175360/5DAPdbYq_normal.jpg")</f>
        <v>https://pbs.twimg.com/profile_images/1302226405804175360/5DAPdbYq_normal.jpg</v>
      </c>
      <c r="AX429" s="77" t="s">
        <v>2135</v>
      </c>
      <c r="AY429" s="77" t="s">
        <v>2342</v>
      </c>
      <c r="AZ429" s="77" t="s">
        <v>2460</v>
      </c>
      <c r="BA429" s="77" t="s">
        <v>2342</v>
      </c>
      <c r="BB429" s="77" t="s">
        <v>2494</v>
      </c>
      <c r="BC429" s="77" t="s">
        <v>2494</v>
      </c>
      <c r="BD429" s="77" t="s">
        <v>2342</v>
      </c>
      <c r="BE429" s="77" t="s">
        <v>2607</v>
      </c>
      <c r="BK429" s="112" t="str">
        <f>REPLACE(INDEX(GroupVertices[Group], MATCH("~"&amp;Edges[[#This Row],[Vertex 1]],GroupVertices[Vertex],0)),1,1,"")</f>
        <v>32</v>
      </c>
      <c r="BL429" s="112" t="str">
        <f>REPLACE(INDEX(GroupVertices[Group], MATCH("~"&amp;Edges[[#This Row],[Vertex 2]],GroupVertices[Vertex],0)),1,1,"")</f>
        <v>32</v>
      </c>
    </row>
    <row r="430" spans="1:64" x14ac:dyDescent="0.25">
      <c r="A430" s="61" t="s">
        <v>401</v>
      </c>
      <c r="B430" s="61" t="s">
        <v>667</v>
      </c>
      <c r="C430" s="62"/>
      <c r="D430" s="63"/>
      <c r="E430" s="64"/>
      <c r="F430" s="65"/>
      <c r="G430" s="62"/>
      <c r="H430" s="66"/>
      <c r="I430" s="67"/>
      <c r="J430" s="67"/>
      <c r="K430" s="31"/>
      <c r="L430" s="75">
        <v>430</v>
      </c>
      <c r="M430"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30" s="69"/>
      <c r="O430" t="s">
        <v>701</v>
      </c>
      <c r="P430" s="76">
        <v>45508.727488425924</v>
      </c>
      <c r="Q430" t="s">
        <v>969</v>
      </c>
      <c r="R430" t="b">
        <v>0</v>
      </c>
      <c r="S430">
        <v>0</v>
      </c>
      <c r="T430">
        <v>1</v>
      </c>
      <c r="U430">
        <v>0</v>
      </c>
      <c r="V430">
        <v>0</v>
      </c>
      <c r="W430">
        <v>7</v>
      </c>
      <c r="AA430" t="s">
        <v>1251</v>
      </c>
      <c r="AD430" s="77" t="s">
        <v>1365</v>
      </c>
      <c r="AE430" t="s">
        <v>1385</v>
      </c>
      <c r="AF430" s="78" t="str">
        <f>HYPERLINK("https://twitter.com/pechunejo/status/1820149599723827595")</f>
        <v>https://twitter.com/pechunejo/status/1820149599723827595</v>
      </c>
      <c r="AG430" s="76">
        <v>45508.727488425924</v>
      </c>
      <c r="AH430" s="80">
        <v>45508</v>
      </c>
      <c r="AI430" s="77" t="s">
        <v>1649</v>
      </c>
      <c r="AW430" s="78" t="str">
        <f>HYPERLINK("https://pbs.twimg.com/profile_images/1302226405804175360/5DAPdbYq_normal.jpg")</f>
        <v>https://pbs.twimg.com/profile_images/1302226405804175360/5DAPdbYq_normal.jpg</v>
      </c>
      <c r="AX430" s="77" t="s">
        <v>2135</v>
      </c>
      <c r="AY430" s="77" t="s">
        <v>2342</v>
      </c>
      <c r="AZ430" s="77" t="s">
        <v>2460</v>
      </c>
      <c r="BA430" s="77" t="s">
        <v>2342</v>
      </c>
      <c r="BB430" s="77" t="s">
        <v>2494</v>
      </c>
      <c r="BC430" s="77" t="s">
        <v>2494</v>
      </c>
      <c r="BD430" s="77" t="s">
        <v>2342</v>
      </c>
      <c r="BE430" s="77" t="s">
        <v>2607</v>
      </c>
      <c r="BK430" s="112" t="str">
        <f>REPLACE(INDEX(GroupVertices[Group], MATCH("~"&amp;Edges[[#This Row],[Vertex 1]],GroupVertices[Vertex],0)),1,1,"")</f>
        <v>32</v>
      </c>
      <c r="BL430" s="112" t="str">
        <f>REPLACE(INDEX(GroupVertices[Group], MATCH("~"&amp;Edges[[#This Row],[Vertex 2]],GroupVertices[Vertex],0)),1,1,"")</f>
        <v>32</v>
      </c>
    </row>
    <row r="431" spans="1:64" x14ac:dyDescent="0.25">
      <c r="A431" s="61" t="s">
        <v>457</v>
      </c>
      <c r="B431" s="61" t="s">
        <v>610</v>
      </c>
      <c r="C431" s="62"/>
      <c r="D431" s="63"/>
      <c r="E431" s="64"/>
      <c r="F431" s="65"/>
      <c r="G431" s="62"/>
      <c r="H431" s="66"/>
      <c r="I431" s="67"/>
      <c r="J431" s="67"/>
      <c r="K431" s="31"/>
      <c r="L431" s="75">
        <v>431</v>
      </c>
      <c r="M431"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31" s="69"/>
      <c r="O431" t="s">
        <v>701</v>
      </c>
      <c r="P431" s="76">
        <v>45505.769456018519</v>
      </c>
      <c r="Q431" t="s">
        <v>1034</v>
      </c>
      <c r="R431" t="b">
        <v>0</v>
      </c>
      <c r="S431">
        <v>0</v>
      </c>
      <c r="T431">
        <v>0</v>
      </c>
      <c r="U431">
        <v>0</v>
      </c>
      <c r="V431">
        <v>0</v>
      </c>
      <c r="W431">
        <v>7</v>
      </c>
      <c r="AA431" t="s">
        <v>610</v>
      </c>
      <c r="AD431" s="77" t="s">
        <v>1365</v>
      </c>
      <c r="AE431" t="s">
        <v>1385</v>
      </c>
      <c r="AF431" s="78" t="str">
        <f>HYPERLINK("https://twitter.com/gusano666/status/1819077643280740357")</f>
        <v>https://twitter.com/gusano666/status/1819077643280740357</v>
      </c>
      <c r="AG431" s="76">
        <v>45505.769456018519</v>
      </c>
      <c r="AH431" s="80">
        <v>45505</v>
      </c>
      <c r="AI431" s="77" t="s">
        <v>1712</v>
      </c>
      <c r="AW431" s="78" t="str">
        <f>HYPERLINK("https://pbs.twimg.com/profile_images/1370507502748598278/dvuNgZwd_normal.jpg")</f>
        <v>https://pbs.twimg.com/profile_images/1370507502748598278/dvuNgZwd_normal.jpg</v>
      </c>
      <c r="AX431" s="77" t="s">
        <v>2200</v>
      </c>
      <c r="AY431" s="77" t="s">
        <v>2311</v>
      </c>
      <c r="AZ431" s="77" t="s">
        <v>2430</v>
      </c>
      <c r="BA431" s="77" t="s">
        <v>2311</v>
      </c>
      <c r="BB431" s="77" t="s">
        <v>2494</v>
      </c>
      <c r="BC431" s="77" t="s">
        <v>2494</v>
      </c>
      <c r="BD431" s="77" t="s">
        <v>2311</v>
      </c>
      <c r="BE431">
        <v>404615050</v>
      </c>
      <c r="BK431" s="112" t="str">
        <f>REPLACE(INDEX(GroupVertices[Group], MATCH("~"&amp;Edges[[#This Row],[Vertex 1]],GroupVertices[Vertex],0)),1,1,"")</f>
        <v>31</v>
      </c>
      <c r="BL431" s="112" t="str">
        <f>REPLACE(INDEX(GroupVertices[Group], MATCH("~"&amp;Edges[[#This Row],[Vertex 2]],GroupVertices[Vertex],0)),1,1,"")</f>
        <v>31</v>
      </c>
    </row>
    <row r="432" spans="1:64" x14ac:dyDescent="0.25">
      <c r="A432" s="61" t="s">
        <v>469</v>
      </c>
      <c r="B432" s="61" t="s">
        <v>606</v>
      </c>
      <c r="C432" s="62"/>
      <c r="D432" s="63"/>
      <c r="E432" s="64"/>
      <c r="F432" s="65"/>
      <c r="G432" s="62"/>
      <c r="H432" s="66"/>
      <c r="I432" s="67"/>
      <c r="J432" s="67"/>
      <c r="K432" s="31"/>
      <c r="L432" s="75">
        <v>432</v>
      </c>
      <c r="M432"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32" s="69"/>
      <c r="O432" t="s">
        <v>703</v>
      </c>
      <c r="P432" s="76">
        <v>45505.357268518521</v>
      </c>
      <c r="Q432" t="s">
        <v>1046</v>
      </c>
      <c r="R432" t="b">
        <v>0</v>
      </c>
      <c r="S432">
        <v>0</v>
      </c>
      <c r="T432">
        <v>0</v>
      </c>
      <c r="U432">
        <v>0</v>
      </c>
      <c r="V432">
        <v>0</v>
      </c>
      <c r="W432">
        <v>7</v>
      </c>
      <c r="AA432" t="s">
        <v>1261</v>
      </c>
      <c r="AD432" s="77" t="s">
        <v>1366</v>
      </c>
      <c r="AE432" t="s">
        <v>1385</v>
      </c>
      <c r="AF432" s="78" t="str">
        <f>HYPERLINK("https://twitter.com/mlucilarg/status/1818928270269624768")</f>
        <v>https://twitter.com/mlucilarg/status/1818928270269624768</v>
      </c>
      <c r="AG432" s="76">
        <v>45505.357268518521</v>
      </c>
      <c r="AH432" s="80">
        <v>45505</v>
      </c>
      <c r="AI432" s="77" t="s">
        <v>1724</v>
      </c>
      <c r="AW432" s="78" t="str">
        <f>HYPERLINK("https://pbs.twimg.com/profile_images/1857497328690630656/L0Lq2BQD_normal.jpg")</f>
        <v>https://pbs.twimg.com/profile_images/1857497328690630656/L0Lq2BQD_normal.jpg</v>
      </c>
      <c r="AX432" s="77" t="s">
        <v>2212</v>
      </c>
      <c r="AY432" s="77" t="s">
        <v>2359</v>
      </c>
      <c r="AZ432" s="77" t="s">
        <v>2483</v>
      </c>
      <c r="BA432" s="77" t="s">
        <v>2359</v>
      </c>
      <c r="BB432" s="77" t="s">
        <v>2494</v>
      </c>
      <c r="BC432" s="77" t="s">
        <v>2494</v>
      </c>
      <c r="BD432" s="77" t="s">
        <v>2359</v>
      </c>
      <c r="BE432">
        <v>3101233043</v>
      </c>
      <c r="BK432" s="112" t="str">
        <f>REPLACE(INDEX(GroupVertices[Group], MATCH("~"&amp;Edges[[#This Row],[Vertex 1]],GroupVertices[Vertex],0)),1,1,"")</f>
        <v>2</v>
      </c>
      <c r="BL432" s="112" t="str">
        <f>REPLACE(INDEX(GroupVertices[Group], MATCH("~"&amp;Edges[[#This Row],[Vertex 2]],GroupVertices[Vertex],0)),1,1,"")</f>
        <v>2</v>
      </c>
    </row>
    <row r="433" spans="1:64" x14ac:dyDescent="0.25">
      <c r="A433" s="61" t="s">
        <v>469</v>
      </c>
      <c r="B433" s="61" t="s">
        <v>687</v>
      </c>
      <c r="C433" s="62"/>
      <c r="D433" s="63"/>
      <c r="E433" s="64"/>
      <c r="F433" s="65"/>
      <c r="G433" s="62"/>
      <c r="H433" s="66"/>
      <c r="I433" s="67"/>
      <c r="J433" s="67"/>
      <c r="K433" s="31"/>
      <c r="L433" s="75">
        <v>433</v>
      </c>
      <c r="M433"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33" s="69"/>
      <c r="O433" t="s">
        <v>701</v>
      </c>
      <c r="P433" s="76">
        <v>45505.357268518521</v>
      </c>
      <c r="Q433" t="s">
        <v>1046</v>
      </c>
      <c r="R433" t="b">
        <v>0</v>
      </c>
      <c r="S433">
        <v>0</v>
      </c>
      <c r="T433">
        <v>0</v>
      </c>
      <c r="U433">
        <v>0</v>
      </c>
      <c r="V433">
        <v>0</v>
      </c>
      <c r="W433">
        <v>7</v>
      </c>
      <c r="AA433" t="s">
        <v>1261</v>
      </c>
      <c r="AD433" s="77" t="s">
        <v>1366</v>
      </c>
      <c r="AE433" t="s">
        <v>1385</v>
      </c>
      <c r="AF433" s="78" t="str">
        <f>HYPERLINK("https://twitter.com/mlucilarg/status/1818928270269624768")</f>
        <v>https://twitter.com/mlucilarg/status/1818928270269624768</v>
      </c>
      <c r="AG433" s="76">
        <v>45505.357268518521</v>
      </c>
      <c r="AH433" s="80">
        <v>45505</v>
      </c>
      <c r="AI433" s="77" t="s">
        <v>1724</v>
      </c>
      <c r="AW433" s="78" t="str">
        <f>HYPERLINK("https://pbs.twimg.com/profile_images/1857497328690630656/L0Lq2BQD_normal.jpg")</f>
        <v>https://pbs.twimg.com/profile_images/1857497328690630656/L0Lq2BQD_normal.jpg</v>
      </c>
      <c r="AX433" s="77" t="s">
        <v>2212</v>
      </c>
      <c r="AY433" s="77" t="s">
        <v>2359</v>
      </c>
      <c r="AZ433" s="77" t="s">
        <v>2483</v>
      </c>
      <c r="BA433" s="77" t="s">
        <v>2359</v>
      </c>
      <c r="BB433" s="77" t="s">
        <v>2494</v>
      </c>
      <c r="BC433" s="77" t="s">
        <v>2494</v>
      </c>
      <c r="BD433" s="77" t="s">
        <v>2359</v>
      </c>
      <c r="BE433">
        <v>3101233043</v>
      </c>
      <c r="BK433" s="112" t="str">
        <f>REPLACE(INDEX(GroupVertices[Group], MATCH("~"&amp;Edges[[#This Row],[Vertex 1]],GroupVertices[Vertex],0)),1,1,"")</f>
        <v>2</v>
      </c>
      <c r="BL433" s="112" t="str">
        <f>REPLACE(INDEX(GroupVertices[Group], MATCH("~"&amp;Edges[[#This Row],[Vertex 2]],GroupVertices[Vertex],0)),1,1,"")</f>
        <v>2</v>
      </c>
    </row>
    <row r="434" spans="1:64" x14ac:dyDescent="0.25">
      <c r="A434" s="61" t="s">
        <v>292</v>
      </c>
      <c r="B434" s="61" t="s">
        <v>292</v>
      </c>
      <c r="C434" s="62"/>
      <c r="D434" s="63"/>
      <c r="E434" s="64"/>
      <c r="F434" s="65"/>
      <c r="G434" s="62"/>
      <c r="H434" s="66"/>
      <c r="I434" s="67"/>
      <c r="J434" s="67"/>
      <c r="K434" s="31"/>
      <c r="L434" s="75">
        <v>434</v>
      </c>
      <c r="M434"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34" s="69"/>
      <c r="O434" t="s">
        <v>177</v>
      </c>
      <c r="P434" s="76">
        <v>45506.769050925926</v>
      </c>
      <c r="Q434" t="s">
        <v>809</v>
      </c>
      <c r="R434" t="b">
        <v>0</v>
      </c>
      <c r="S434">
        <v>0</v>
      </c>
      <c r="T434">
        <v>0</v>
      </c>
      <c r="U434">
        <v>0</v>
      </c>
      <c r="V434">
        <v>0</v>
      </c>
      <c r="W434">
        <v>6</v>
      </c>
      <c r="X434" s="77" t="s">
        <v>1099</v>
      </c>
      <c r="Y434" s="78" t="str">
        <f>HYPERLINK("https://vm.tiktok.com/ZGe7QEAJP/")</f>
        <v>https://vm.tiktok.com/ZGe7QEAJP/</v>
      </c>
      <c r="Z434" t="s">
        <v>1149</v>
      </c>
      <c r="AD434" s="77" t="s">
        <v>1365</v>
      </c>
      <c r="AE434" t="s">
        <v>1385</v>
      </c>
      <c r="AF434" s="78" t="str">
        <f>HYPERLINK("https://twitter.com/atologocito1/status/1819439885414981735")</f>
        <v>https://twitter.com/atologocito1/status/1819439885414981735</v>
      </c>
      <c r="AG434" s="76">
        <v>45506.769050925926</v>
      </c>
      <c r="AH434" s="80">
        <v>45506</v>
      </c>
      <c r="AI434" s="77" t="s">
        <v>1491</v>
      </c>
      <c r="AJ434" t="b">
        <v>0</v>
      </c>
      <c r="AW434" s="78" t="str">
        <f t="shared" ref="AW434:AW441" si="2">HYPERLINK("https://pbs.twimg.com/profile_images/1497222336470298628/AOSxZ6NT_normal.jpg")</f>
        <v>https://pbs.twimg.com/profile_images/1497222336470298628/AOSxZ6NT_normal.jpg</v>
      </c>
      <c r="AX434" s="77" t="s">
        <v>1975</v>
      </c>
      <c r="AY434" s="77" t="s">
        <v>1975</v>
      </c>
      <c r="BA434" s="77" t="s">
        <v>2494</v>
      </c>
      <c r="BB434" s="77" t="s">
        <v>2494</v>
      </c>
      <c r="BC434" s="77" t="s">
        <v>2494</v>
      </c>
      <c r="BD434" s="77" t="s">
        <v>1975</v>
      </c>
      <c r="BE434" s="77" t="s">
        <v>2565</v>
      </c>
      <c r="BK434" s="112" t="str">
        <f>REPLACE(INDEX(GroupVertices[Group], MATCH("~"&amp;Edges[[#This Row],[Vertex 1]],GroupVertices[Vertex],0)),1,1,"")</f>
        <v>13</v>
      </c>
      <c r="BL434" s="112" t="str">
        <f>REPLACE(INDEX(GroupVertices[Group], MATCH("~"&amp;Edges[[#This Row],[Vertex 2]],GroupVertices[Vertex],0)),1,1,"")</f>
        <v>13</v>
      </c>
    </row>
    <row r="435" spans="1:64" x14ac:dyDescent="0.25">
      <c r="A435" s="61" t="s">
        <v>292</v>
      </c>
      <c r="B435" s="61" t="s">
        <v>292</v>
      </c>
      <c r="C435" s="62"/>
      <c r="D435" s="63"/>
      <c r="E435" s="64"/>
      <c r="F435" s="65"/>
      <c r="G435" s="62"/>
      <c r="H435" s="66"/>
      <c r="I435" s="67"/>
      <c r="J435" s="67"/>
      <c r="K435" s="31"/>
      <c r="L435" s="75">
        <v>435</v>
      </c>
      <c r="M435"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35" s="69"/>
      <c r="O435" t="s">
        <v>177</v>
      </c>
      <c r="P435" s="76">
        <v>45506.765844907408</v>
      </c>
      <c r="Q435" t="s">
        <v>815</v>
      </c>
      <c r="R435" t="b">
        <v>0</v>
      </c>
      <c r="S435">
        <v>0</v>
      </c>
      <c r="T435">
        <v>0</v>
      </c>
      <c r="U435">
        <v>0</v>
      </c>
      <c r="V435">
        <v>0</v>
      </c>
      <c r="W435">
        <v>6</v>
      </c>
      <c r="X435" s="77" t="s">
        <v>1099</v>
      </c>
      <c r="Y435" s="78" t="str">
        <f>HYPERLINK("https://vm.tiktok.com/ZGe7QK4S1/")</f>
        <v>https://vm.tiktok.com/ZGe7QK4S1/</v>
      </c>
      <c r="Z435" t="s">
        <v>1149</v>
      </c>
      <c r="AD435" s="77" t="s">
        <v>1365</v>
      </c>
      <c r="AE435" t="s">
        <v>1385</v>
      </c>
      <c r="AF435" s="78" t="str">
        <f>HYPERLINK("https://twitter.com/atologocito1/status/1819438723257467351")</f>
        <v>https://twitter.com/atologocito1/status/1819438723257467351</v>
      </c>
      <c r="AG435" s="76">
        <v>45506.765844907408</v>
      </c>
      <c r="AH435" s="80">
        <v>45506</v>
      </c>
      <c r="AI435" s="77" t="s">
        <v>1497</v>
      </c>
      <c r="AJ435" t="b">
        <v>0</v>
      </c>
      <c r="AW435" s="78" t="str">
        <f t="shared" si="2"/>
        <v>https://pbs.twimg.com/profile_images/1497222336470298628/AOSxZ6NT_normal.jpg</v>
      </c>
      <c r="AX435" s="77" t="s">
        <v>1981</v>
      </c>
      <c r="AY435" s="77" t="s">
        <v>1981</v>
      </c>
      <c r="BA435" s="77" t="s">
        <v>2494</v>
      </c>
      <c r="BB435" s="77" t="s">
        <v>2494</v>
      </c>
      <c r="BC435" s="77" t="s">
        <v>2494</v>
      </c>
      <c r="BD435" s="77" t="s">
        <v>1981</v>
      </c>
      <c r="BE435" s="77" t="s">
        <v>2565</v>
      </c>
      <c r="BK435" s="112" t="str">
        <f>REPLACE(INDEX(GroupVertices[Group], MATCH("~"&amp;Edges[[#This Row],[Vertex 1]],GroupVertices[Vertex],0)),1,1,"")</f>
        <v>13</v>
      </c>
      <c r="BL435" s="112" t="str">
        <f>REPLACE(INDEX(GroupVertices[Group], MATCH("~"&amp;Edges[[#This Row],[Vertex 2]],GroupVertices[Vertex],0)),1,1,"")</f>
        <v>13</v>
      </c>
    </row>
    <row r="436" spans="1:64" x14ac:dyDescent="0.25">
      <c r="A436" s="61" t="s">
        <v>292</v>
      </c>
      <c r="B436" s="61" t="s">
        <v>292</v>
      </c>
      <c r="C436" s="62"/>
      <c r="D436" s="63"/>
      <c r="E436" s="64"/>
      <c r="F436" s="65"/>
      <c r="G436" s="62"/>
      <c r="H436" s="66"/>
      <c r="I436" s="67"/>
      <c r="J436" s="67"/>
      <c r="K436" s="31"/>
      <c r="L436" s="75">
        <v>436</v>
      </c>
      <c r="M436"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36" s="69"/>
      <c r="O436" t="s">
        <v>177</v>
      </c>
      <c r="P436" s="76">
        <v>45506.765081018515</v>
      </c>
      <c r="Q436" t="s">
        <v>816</v>
      </c>
      <c r="R436" t="b">
        <v>0</v>
      </c>
      <c r="S436">
        <v>0</v>
      </c>
      <c r="T436">
        <v>0</v>
      </c>
      <c r="U436">
        <v>0</v>
      </c>
      <c r="V436">
        <v>0</v>
      </c>
      <c r="W436">
        <v>6</v>
      </c>
      <c r="X436" s="77" t="s">
        <v>1099</v>
      </c>
      <c r="Y436" s="78" t="str">
        <f>HYPERLINK("https://vm.tiktok.com/ZGe7Qtf9D/")</f>
        <v>https://vm.tiktok.com/ZGe7Qtf9D/</v>
      </c>
      <c r="Z436" t="s">
        <v>1149</v>
      </c>
      <c r="AD436" s="77" t="s">
        <v>1365</v>
      </c>
      <c r="AE436" t="s">
        <v>1385</v>
      </c>
      <c r="AF436" s="78" t="str">
        <f>HYPERLINK("https://twitter.com/atologocito1/status/1819438443862139156")</f>
        <v>https://twitter.com/atologocito1/status/1819438443862139156</v>
      </c>
      <c r="AG436" s="76">
        <v>45506.765081018515</v>
      </c>
      <c r="AH436" s="80">
        <v>45506</v>
      </c>
      <c r="AI436" s="77" t="s">
        <v>1498</v>
      </c>
      <c r="AJ436" t="b">
        <v>0</v>
      </c>
      <c r="AW436" s="78" t="str">
        <f t="shared" si="2"/>
        <v>https://pbs.twimg.com/profile_images/1497222336470298628/AOSxZ6NT_normal.jpg</v>
      </c>
      <c r="AX436" s="77" t="s">
        <v>1982</v>
      </c>
      <c r="AY436" s="77" t="s">
        <v>1982</v>
      </c>
      <c r="BA436" s="77" t="s">
        <v>2494</v>
      </c>
      <c r="BB436" s="77" t="s">
        <v>2494</v>
      </c>
      <c r="BC436" s="77" t="s">
        <v>2494</v>
      </c>
      <c r="BD436" s="77" t="s">
        <v>1982</v>
      </c>
      <c r="BE436" s="77" t="s">
        <v>2565</v>
      </c>
      <c r="BK436" s="112" t="str">
        <f>REPLACE(INDEX(GroupVertices[Group], MATCH("~"&amp;Edges[[#This Row],[Vertex 1]],GroupVertices[Vertex],0)),1,1,"")</f>
        <v>13</v>
      </c>
      <c r="BL436" s="112" t="str">
        <f>REPLACE(INDEX(GroupVertices[Group], MATCH("~"&amp;Edges[[#This Row],[Vertex 2]],GroupVertices[Vertex],0)),1,1,"")</f>
        <v>13</v>
      </c>
    </row>
    <row r="437" spans="1:64" x14ac:dyDescent="0.25">
      <c r="A437" s="61" t="s">
        <v>292</v>
      </c>
      <c r="B437" s="61" t="s">
        <v>292</v>
      </c>
      <c r="C437" s="62"/>
      <c r="D437" s="63"/>
      <c r="E437" s="64"/>
      <c r="F437" s="65"/>
      <c r="G437" s="62"/>
      <c r="H437" s="66"/>
      <c r="I437" s="67"/>
      <c r="J437" s="67"/>
      <c r="K437" s="31"/>
      <c r="L437" s="75">
        <v>437</v>
      </c>
      <c r="M437"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37" s="69"/>
      <c r="O437" t="s">
        <v>177</v>
      </c>
      <c r="P437" s="76">
        <v>45506.764907407407</v>
      </c>
      <c r="Q437" t="s">
        <v>817</v>
      </c>
      <c r="R437" t="b">
        <v>0</v>
      </c>
      <c r="S437">
        <v>0</v>
      </c>
      <c r="T437">
        <v>0</v>
      </c>
      <c r="U437">
        <v>0</v>
      </c>
      <c r="V437">
        <v>0</v>
      </c>
      <c r="W437">
        <v>6</v>
      </c>
      <c r="X437" s="77" t="s">
        <v>1100</v>
      </c>
      <c r="Y437" s="78" t="str">
        <f>HYPERLINK("https://vm.tiktok.com/ZGe7QcUHa/")</f>
        <v>https://vm.tiktok.com/ZGe7QcUHa/</v>
      </c>
      <c r="Z437" t="s">
        <v>1149</v>
      </c>
      <c r="AD437" s="77" t="s">
        <v>1365</v>
      </c>
      <c r="AE437" t="s">
        <v>1385</v>
      </c>
      <c r="AF437" s="78" t="str">
        <f>HYPERLINK("https://twitter.com/atologocito1/status/1819438383313359291")</f>
        <v>https://twitter.com/atologocito1/status/1819438383313359291</v>
      </c>
      <c r="AG437" s="76">
        <v>45506.764907407407</v>
      </c>
      <c r="AH437" s="80">
        <v>45506</v>
      </c>
      <c r="AI437" s="77" t="s">
        <v>1499</v>
      </c>
      <c r="AJ437" t="b">
        <v>0</v>
      </c>
      <c r="AK437" t="s">
        <v>1767</v>
      </c>
      <c r="AL437" t="s">
        <v>1769</v>
      </c>
      <c r="AM437" t="s">
        <v>1770</v>
      </c>
      <c r="AN437" t="s">
        <v>1771</v>
      </c>
      <c r="AO437" t="s">
        <v>1773</v>
      </c>
      <c r="AP437" t="s">
        <v>1775</v>
      </c>
      <c r="AQ437" t="s">
        <v>1777</v>
      </c>
      <c r="AW437" s="78" t="str">
        <f t="shared" si="2"/>
        <v>https://pbs.twimg.com/profile_images/1497222336470298628/AOSxZ6NT_normal.jpg</v>
      </c>
      <c r="AX437" s="77" t="s">
        <v>1983</v>
      </c>
      <c r="AY437" s="77" t="s">
        <v>1983</v>
      </c>
      <c r="BA437" s="77" t="s">
        <v>2494</v>
      </c>
      <c r="BB437" s="77" t="s">
        <v>2494</v>
      </c>
      <c r="BC437" s="77" t="s">
        <v>2494</v>
      </c>
      <c r="BD437" s="77" t="s">
        <v>1983</v>
      </c>
      <c r="BE437" s="77" t="s">
        <v>2565</v>
      </c>
      <c r="BK437" s="112" t="str">
        <f>REPLACE(INDEX(GroupVertices[Group], MATCH("~"&amp;Edges[[#This Row],[Vertex 1]],GroupVertices[Vertex],0)),1,1,"")</f>
        <v>13</v>
      </c>
      <c r="BL437" s="112" t="str">
        <f>REPLACE(INDEX(GroupVertices[Group], MATCH("~"&amp;Edges[[#This Row],[Vertex 2]],GroupVertices[Vertex],0)),1,1,"")</f>
        <v>13</v>
      </c>
    </row>
    <row r="438" spans="1:64" x14ac:dyDescent="0.25">
      <c r="A438" s="61" t="s">
        <v>292</v>
      </c>
      <c r="B438" s="61" t="s">
        <v>292</v>
      </c>
      <c r="C438" s="62"/>
      <c r="D438" s="63"/>
      <c r="E438" s="64"/>
      <c r="F438" s="65"/>
      <c r="G438" s="62"/>
      <c r="H438" s="66"/>
      <c r="I438" s="67"/>
      <c r="J438" s="67"/>
      <c r="K438" s="31"/>
      <c r="L438" s="75">
        <v>438</v>
      </c>
      <c r="M438"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38" s="69"/>
      <c r="O438" t="s">
        <v>177</v>
      </c>
      <c r="P438" s="76">
        <v>45506.764016203706</v>
      </c>
      <c r="Q438" t="s">
        <v>818</v>
      </c>
      <c r="R438" t="b">
        <v>0</v>
      </c>
      <c r="S438">
        <v>0</v>
      </c>
      <c r="T438">
        <v>0</v>
      </c>
      <c r="U438">
        <v>0</v>
      </c>
      <c r="V438">
        <v>0</v>
      </c>
      <c r="W438">
        <v>6</v>
      </c>
      <c r="Y438" s="78" t="str">
        <f>HYPERLINK("https://vm.tiktok.com/ZGe7Q75BP/")</f>
        <v>https://vm.tiktok.com/ZGe7Q75BP/</v>
      </c>
      <c r="Z438" t="s">
        <v>1149</v>
      </c>
      <c r="AD438" s="77" t="s">
        <v>1365</v>
      </c>
      <c r="AE438" t="s">
        <v>1385</v>
      </c>
      <c r="AF438" s="78" t="str">
        <f>HYPERLINK("https://twitter.com/atologocito1/status/1819438060070662146")</f>
        <v>https://twitter.com/atologocito1/status/1819438060070662146</v>
      </c>
      <c r="AG438" s="76">
        <v>45506.764016203706</v>
      </c>
      <c r="AH438" s="80">
        <v>45506</v>
      </c>
      <c r="AI438" s="77" t="s">
        <v>1500</v>
      </c>
      <c r="AJ438" t="b">
        <v>0</v>
      </c>
      <c r="AW438" s="78" t="str">
        <f t="shared" si="2"/>
        <v>https://pbs.twimg.com/profile_images/1497222336470298628/AOSxZ6NT_normal.jpg</v>
      </c>
      <c r="AX438" s="77" t="s">
        <v>1984</v>
      </c>
      <c r="AY438" s="77" t="s">
        <v>1984</v>
      </c>
      <c r="BA438" s="77" t="s">
        <v>2494</v>
      </c>
      <c r="BB438" s="77" t="s">
        <v>2494</v>
      </c>
      <c r="BC438" s="77" t="s">
        <v>2494</v>
      </c>
      <c r="BD438" s="77" t="s">
        <v>1984</v>
      </c>
      <c r="BE438" s="77" t="s">
        <v>2565</v>
      </c>
      <c r="BK438" s="112" t="str">
        <f>REPLACE(INDEX(GroupVertices[Group], MATCH("~"&amp;Edges[[#This Row],[Vertex 1]],GroupVertices[Vertex],0)),1,1,"")</f>
        <v>13</v>
      </c>
      <c r="BL438" s="112" t="str">
        <f>REPLACE(INDEX(GroupVertices[Group], MATCH("~"&amp;Edges[[#This Row],[Vertex 2]],GroupVertices[Vertex],0)),1,1,"")</f>
        <v>13</v>
      </c>
    </row>
    <row r="439" spans="1:64" x14ac:dyDescent="0.25">
      <c r="A439" s="61" t="s">
        <v>292</v>
      </c>
      <c r="B439" s="61" t="s">
        <v>292</v>
      </c>
      <c r="C439" s="62"/>
      <c r="D439" s="63"/>
      <c r="E439" s="64"/>
      <c r="F439" s="65"/>
      <c r="G439" s="62"/>
      <c r="H439" s="66"/>
      <c r="I439" s="67"/>
      <c r="J439" s="67"/>
      <c r="K439" s="31"/>
      <c r="L439" s="75">
        <v>439</v>
      </c>
      <c r="M439"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39" s="69"/>
      <c r="O439" t="s">
        <v>177</v>
      </c>
      <c r="P439" s="76">
        <v>45505.759444444448</v>
      </c>
      <c r="Q439" t="s">
        <v>826</v>
      </c>
      <c r="R439" t="b">
        <v>0</v>
      </c>
      <c r="S439">
        <v>0</v>
      </c>
      <c r="T439">
        <v>0</v>
      </c>
      <c r="U439">
        <v>0</v>
      </c>
      <c r="V439">
        <v>0</v>
      </c>
      <c r="W439">
        <v>6</v>
      </c>
      <c r="Y439" s="78" t="str">
        <f>HYPERLINK("https://youtube.com/shorts/0YKPc89e3o4?si=x4ky1m8HuqOoVaPu")</f>
        <v>https://youtube.com/shorts/0YKPc89e3o4?si=x4ky1m8HuqOoVaPu</v>
      </c>
      <c r="Z439" t="s">
        <v>1150</v>
      </c>
      <c r="AD439" s="77" t="s">
        <v>1365</v>
      </c>
      <c r="AE439" t="s">
        <v>1385</v>
      </c>
      <c r="AF439" s="78" t="str">
        <f>HYPERLINK("https://twitter.com/atologocito1/status/1819074013672427945")</f>
        <v>https://twitter.com/atologocito1/status/1819074013672427945</v>
      </c>
      <c r="AG439" s="76">
        <v>45505.759444444448</v>
      </c>
      <c r="AH439" s="80">
        <v>45505</v>
      </c>
      <c r="AI439" s="77" t="s">
        <v>1508</v>
      </c>
      <c r="AJ439" t="b">
        <v>0</v>
      </c>
      <c r="AW439" s="78" t="str">
        <f t="shared" si="2"/>
        <v>https://pbs.twimg.com/profile_images/1497222336470298628/AOSxZ6NT_normal.jpg</v>
      </c>
      <c r="AX439" s="77" t="s">
        <v>1992</v>
      </c>
      <c r="AY439" s="77" t="s">
        <v>1992</v>
      </c>
      <c r="BA439" s="77" t="s">
        <v>2494</v>
      </c>
      <c r="BB439" s="77" t="s">
        <v>2494</v>
      </c>
      <c r="BC439" s="77" t="s">
        <v>2494</v>
      </c>
      <c r="BD439" s="77" t="s">
        <v>1992</v>
      </c>
      <c r="BE439" s="77" t="s">
        <v>2565</v>
      </c>
      <c r="BK439" s="112" t="str">
        <f>REPLACE(INDEX(GroupVertices[Group], MATCH("~"&amp;Edges[[#This Row],[Vertex 1]],GroupVertices[Vertex],0)),1,1,"")</f>
        <v>13</v>
      </c>
      <c r="BL439" s="112" t="str">
        <f>REPLACE(INDEX(GroupVertices[Group], MATCH("~"&amp;Edges[[#This Row],[Vertex 2]],GroupVertices[Vertex],0)),1,1,"")</f>
        <v>13</v>
      </c>
    </row>
    <row r="440" spans="1:64" x14ac:dyDescent="0.25">
      <c r="A440" s="61" t="s">
        <v>292</v>
      </c>
      <c r="B440" s="61" t="s">
        <v>292</v>
      </c>
      <c r="C440" s="62"/>
      <c r="D440" s="63"/>
      <c r="E440" s="64"/>
      <c r="F440" s="65"/>
      <c r="G440" s="62"/>
      <c r="H440" s="66"/>
      <c r="I440" s="67"/>
      <c r="J440" s="67"/>
      <c r="K440" s="31"/>
      <c r="L440" s="75">
        <v>440</v>
      </c>
      <c r="M440"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40" s="69"/>
      <c r="O440" t="s">
        <v>177</v>
      </c>
      <c r="P440" s="76">
        <v>45505.753703703704</v>
      </c>
      <c r="Q440" t="s">
        <v>827</v>
      </c>
      <c r="R440" t="b">
        <v>0</v>
      </c>
      <c r="S440">
        <v>0</v>
      </c>
      <c r="T440">
        <v>0</v>
      </c>
      <c r="U440">
        <v>0</v>
      </c>
      <c r="V440">
        <v>0</v>
      </c>
      <c r="W440">
        <v>6</v>
      </c>
      <c r="Y440" s="78" t="str">
        <f>HYPERLINK("https://youtube.com/shorts/qwaZKJ45FUk?si=ctsY-TkzV_mw0kNK")</f>
        <v>https://youtube.com/shorts/qwaZKJ45FUk?si=ctsY-TkzV_mw0kNK</v>
      </c>
      <c r="Z440" t="s">
        <v>1150</v>
      </c>
      <c r="AD440" s="77" t="s">
        <v>1365</v>
      </c>
      <c r="AE440" t="s">
        <v>1385</v>
      </c>
      <c r="AF440" s="78" t="str">
        <f>HYPERLINK("https://twitter.com/atologocito1/status/1819071935856467990")</f>
        <v>https://twitter.com/atologocito1/status/1819071935856467990</v>
      </c>
      <c r="AG440" s="76">
        <v>45505.753703703704</v>
      </c>
      <c r="AH440" s="80">
        <v>45505</v>
      </c>
      <c r="AI440" s="77" t="s">
        <v>1509</v>
      </c>
      <c r="AJ440" t="b">
        <v>0</v>
      </c>
      <c r="AK440" t="s">
        <v>1767</v>
      </c>
      <c r="AL440" t="s">
        <v>1769</v>
      </c>
      <c r="AM440" t="s">
        <v>1770</v>
      </c>
      <c r="AN440" t="s">
        <v>1771</v>
      </c>
      <c r="AO440" t="s">
        <v>1773</v>
      </c>
      <c r="AP440" t="s">
        <v>1775</v>
      </c>
      <c r="AQ440" t="s">
        <v>1777</v>
      </c>
      <c r="AW440" s="78" t="str">
        <f t="shared" si="2"/>
        <v>https://pbs.twimg.com/profile_images/1497222336470298628/AOSxZ6NT_normal.jpg</v>
      </c>
      <c r="AX440" s="77" t="s">
        <v>1993</v>
      </c>
      <c r="AY440" s="77" t="s">
        <v>1993</v>
      </c>
      <c r="BA440" s="77" t="s">
        <v>2494</v>
      </c>
      <c r="BB440" s="77" t="s">
        <v>2494</v>
      </c>
      <c r="BC440" s="77" t="s">
        <v>2494</v>
      </c>
      <c r="BD440" s="77" t="s">
        <v>1993</v>
      </c>
      <c r="BE440" s="77" t="s">
        <v>2565</v>
      </c>
      <c r="BK440" s="112" t="str">
        <f>REPLACE(INDEX(GroupVertices[Group], MATCH("~"&amp;Edges[[#This Row],[Vertex 1]],GroupVertices[Vertex],0)),1,1,"")</f>
        <v>13</v>
      </c>
      <c r="BL440" s="112" t="str">
        <f>REPLACE(INDEX(GroupVertices[Group], MATCH("~"&amp;Edges[[#This Row],[Vertex 2]],GroupVertices[Vertex],0)),1,1,"")</f>
        <v>13</v>
      </c>
    </row>
    <row r="441" spans="1:64" x14ac:dyDescent="0.25">
      <c r="A441" s="61" t="s">
        <v>292</v>
      </c>
      <c r="B441" s="61" t="s">
        <v>292</v>
      </c>
      <c r="C441" s="62"/>
      <c r="D441" s="63"/>
      <c r="E441" s="64"/>
      <c r="F441" s="65"/>
      <c r="G441" s="62"/>
      <c r="H441" s="66"/>
      <c r="I441" s="67"/>
      <c r="J441" s="67"/>
      <c r="K441" s="31"/>
      <c r="L441" s="75">
        <v>441</v>
      </c>
      <c r="M441"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41" s="69"/>
      <c r="O441" t="s">
        <v>177</v>
      </c>
      <c r="P441" s="76">
        <v>45508.284699074073</v>
      </c>
      <c r="Q441" t="s">
        <v>835</v>
      </c>
      <c r="R441" t="b">
        <v>0</v>
      </c>
      <c r="S441">
        <v>0</v>
      </c>
      <c r="T441">
        <v>0</v>
      </c>
      <c r="U441">
        <v>0</v>
      </c>
      <c r="V441">
        <v>0</v>
      </c>
      <c r="W441">
        <v>6</v>
      </c>
      <c r="X441" s="77" t="s">
        <v>1099</v>
      </c>
      <c r="Y441" s="78" t="str">
        <f>HYPERLINK("https://vm.tiktok.com/ZGe7n3nhX/")</f>
        <v>https://vm.tiktok.com/ZGe7n3nhX/</v>
      </c>
      <c r="Z441" t="s">
        <v>1149</v>
      </c>
      <c r="AD441" s="77" t="s">
        <v>1365</v>
      </c>
      <c r="AE441" t="s">
        <v>1385</v>
      </c>
      <c r="AF441" s="78" t="str">
        <f>HYPERLINK("https://twitter.com/atologocito1/status/1819989137673384403")</f>
        <v>https://twitter.com/atologocito1/status/1819989137673384403</v>
      </c>
      <c r="AG441" s="76">
        <v>45508.284699074073</v>
      </c>
      <c r="AH441" s="80">
        <v>45508</v>
      </c>
      <c r="AI441" s="77" t="s">
        <v>1517</v>
      </c>
      <c r="AJ441" t="b">
        <v>0</v>
      </c>
      <c r="AW441" s="78" t="str">
        <f t="shared" si="2"/>
        <v>https://pbs.twimg.com/profile_images/1497222336470298628/AOSxZ6NT_normal.jpg</v>
      </c>
      <c r="AX441" s="77" t="s">
        <v>2001</v>
      </c>
      <c r="AY441" s="77" t="s">
        <v>2001</v>
      </c>
      <c r="BA441" s="77" t="s">
        <v>2494</v>
      </c>
      <c r="BB441" s="77" t="s">
        <v>2494</v>
      </c>
      <c r="BC441" s="77" t="s">
        <v>2494</v>
      </c>
      <c r="BD441" s="77" t="s">
        <v>2001</v>
      </c>
      <c r="BE441" s="77" t="s">
        <v>2565</v>
      </c>
      <c r="BK441" s="112" t="str">
        <f>REPLACE(INDEX(GroupVertices[Group], MATCH("~"&amp;Edges[[#This Row],[Vertex 1]],GroupVertices[Vertex],0)),1,1,"")</f>
        <v>13</v>
      </c>
      <c r="BL441" s="112" t="str">
        <f>REPLACE(INDEX(GroupVertices[Group], MATCH("~"&amp;Edges[[#This Row],[Vertex 2]],GroupVertices[Vertex],0)),1,1,"")</f>
        <v>13</v>
      </c>
    </row>
    <row r="442" spans="1:64" x14ac:dyDescent="0.25">
      <c r="A442" s="61" t="s">
        <v>426</v>
      </c>
      <c r="B442" s="61" t="s">
        <v>426</v>
      </c>
      <c r="C442" s="62"/>
      <c r="D442" s="63"/>
      <c r="E442" s="64"/>
      <c r="F442" s="65"/>
      <c r="G442" s="62"/>
      <c r="H442" s="66"/>
      <c r="I442" s="67"/>
      <c r="J442" s="67"/>
      <c r="K442" s="31"/>
      <c r="L442" s="75">
        <v>442</v>
      </c>
      <c r="M442"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42" s="69"/>
      <c r="O442" t="s">
        <v>177</v>
      </c>
      <c r="P442" s="76">
        <v>45507.602222222224</v>
      </c>
      <c r="Q442" t="s">
        <v>999</v>
      </c>
      <c r="R442" t="b">
        <v>0</v>
      </c>
      <c r="S442">
        <v>0</v>
      </c>
      <c r="T442">
        <v>0</v>
      </c>
      <c r="U442">
        <v>0</v>
      </c>
      <c r="V442">
        <v>0</v>
      </c>
      <c r="W442">
        <v>6</v>
      </c>
      <c r="AD442" s="77" t="s">
        <v>1367</v>
      </c>
      <c r="AE442" t="s">
        <v>1385</v>
      </c>
      <c r="AF442" s="78" t="str">
        <f>HYPERLINK("https://twitter.com/marcosguti66611/status/1819741814867341674")</f>
        <v>https://twitter.com/marcosguti66611/status/1819741814867341674</v>
      </c>
      <c r="AG442" s="76">
        <v>45507.602222222224</v>
      </c>
      <c r="AH442" s="80">
        <v>45507</v>
      </c>
      <c r="AI442" s="77" t="s">
        <v>1677</v>
      </c>
      <c r="AW442" s="78" t="str">
        <f>HYPERLINK("https://pbs.twimg.com/profile_images/1815121852924080128/-Fs80fUh_normal.jpg")</f>
        <v>https://pbs.twimg.com/profile_images/1815121852924080128/-Fs80fUh_normal.jpg</v>
      </c>
      <c r="AX442" s="77" t="s">
        <v>2165</v>
      </c>
      <c r="AY442" s="77" t="s">
        <v>2165</v>
      </c>
      <c r="BA442" s="77" t="s">
        <v>2494</v>
      </c>
      <c r="BB442" s="77" t="s">
        <v>2494</v>
      </c>
      <c r="BC442" s="77" t="s">
        <v>2494</v>
      </c>
      <c r="BD442" s="77" t="s">
        <v>2165</v>
      </c>
      <c r="BE442" s="77" t="s">
        <v>2614</v>
      </c>
      <c r="BK442" s="112" t="str">
        <f>REPLACE(INDEX(GroupVertices[Group], MATCH("~"&amp;Edges[[#This Row],[Vertex 1]],GroupVertices[Vertex],0)),1,1,"")</f>
        <v>114</v>
      </c>
      <c r="BL442" s="112" t="str">
        <f>REPLACE(INDEX(GroupVertices[Group], MATCH("~"&amp;Edges[[#This Row],[Vertex 2]],GroupVertices[Vertex],0)),1,1,"")</f>
        <v>114</v>
      </c>
    </row>
    <row r="443" spans="1:64" x14ac:dyDescent="0.25">
      <c r="A443" s="61" t="s">
        <v>499</v>
      </c>
      <c r="B443" s="61" t="s">
        <v>536</v>
      </c>
      <c r="C443" s="62"/>
      <c r="D443" s="63"/>
      <c r="E443" s="64"/>
      <c r="F443" s="65"/>
      <c r="G443" s="62"/>
      <c r="H443" s="66"/>
      <c r="I443" s="67"/>
      <c r="J443" s="67"/>
      <c r="K443" s="31"/>
      <c r="L443" s="75">
        <v>443</v>
      </c>
      <c r="M443"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43" s="69"/>
      <c r="O443" t="s">
        <v>701</v>
      </c>
      <c r="P443" s="76">
        <v>45506.5233912037</v>
      </c>
      <c r="Q443" t="s">
        <v>1081</v>
      </c>
      <c r="R443" t="b">
        <v>0</v>
      </c>
      <c r="S443">
        <v>0</v>
      </c>
      <c r="T443">
        <v>1</v>
      </c>
      <c r="U443">
        <v>0</v>
      </c>
      <c r="V443">
        <v>0</v>
      </c>
      <c r="W443">
        <v>6</v>
      </c>
      <c r="AA443" t="s">
        <v>536</v>
      </c>
      <c r="AD443" s="77" t="s">
        <v>1365</v>
      </c>
      <c r="AE443" t="s">
        <v>1385</v>
      </c>
      <c r="AF443" s="78" t="str">
        <f>HYPERLINK("https://twitter.com/fabiacade22/status/1819350859731358065")</f>
        <v>https://twitter.com/fabiacade22/status/1819350859731358065</v>
      </c>
      <c r="AG443" s="76">
        <v>45506.5233912037</v>
      </c>
      <c r="AH443" s="80">
        <v>45506</v>
      </c>
      <c r="AI443" s="77" t="s">
        <v>1757</v>
      </c>
      <c r="AW443" s="78" t="str">
        <f>HYPERLINK("https://pbs.twimg.com/profile_images/1799173999475175424/l_kPtYz1_normal.jpg")</f>
        <v>https://pbs.twimg.com/profile_images/1799173999475175424/l_kPtYz1_normal.jpg</v>
      </c>
      <c r="AX443" s="77" t="s">
        <v>2247</v>
      </c>
      <c r="AY443" s="77" t="s">
        <v>2273</v>
      </c>
      <c r="AZ443" s="77" t="s">
        <v>2387</v>
      </c>
      <c r="BA443" s="77" t="s">
        <v>2273</v>
      </c>
      <c r="BB443" s="77" t="s">
        <v>2494</v>
      </c>
      <c r="BC443" s="77" t="s">
        <v>2494</v>
      </c>
      <c r="BD443" s="77" t="s">
        <v>2273</v>
      </c>
      <c r="BE443" s="77" t="s">
        <v>2640</v>
      </c>
      <c r="BK443" s="112" t="str">
        <f>REPLACE(INDEX(GroupVertices[Group], MATCH("~"&amp;Edges[[#This Row],[Vertex 1]],GroupVertices[Vertex],0)),1,1,"")</f>
        <v>30</v>
      </c>
      <c r="BL443" s="112" t="str">
        <f>REPLACE(INDEX(GroupVertices[Group], MATCH("~"&amp;Edges[[#This Row],[Vertex 2]],GroupVertices[Vertex],0)),1,1,"")</f>
        <v>30</v>
      </c>
    </row>
    <row r="444" spans="1:64" x14ac:dyDescent="0.25">
      <c r="A444" s="61" t="s">
        <v>253</v>
      </c>
      <c r="B444" s="61" t="s">
        <v>533</v>
      </c>
      <c r="C444" s="62"/>
      <c r="D444" s="63"/>
      <c r="E444" s="64"/>
      <c r="F444" s="65"/>
      <c r="G444" s="62"/>
      <c r="H444" s="66"/>
      <c r="I444" s="67"/>
      <c r="J444" s="67"/>
      <c r="K444" s="31"/>
      <c r="L444" s="75">
        <v>444</v>
      </c>
      <c r="M444"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44" s="69"/>
      <c r="O444" t="s">
        <v>701</v>
      </c>
      <c r="P444" s="76">
        <v>45506.358854166669</v>
      </c>
      <c r="Q444" t="s">
        <v>745</v>
      </c>
      <c r="R444" t="b">
        <v>0</v>
      </c>
      <c r="S444">
        <v>0</v>
      </c>
      <c r="T444">
        <v>0</v>
      </c>
      <c r="U444">
        <v>0</v>
      </c>
      <c r="V444">
        <v>0</v>
      </c>
      <c r="W444">
        <v>5</v>
      </c>
      <c r="AA444" t="s">
        <v>533</v>
      </c>
      <c r="AD444" s="77" t="s">
        <v>1366</v>
      </c>
      <c r="AE444" t="s">
        <v>1385</v>
      </c>
      <c r="AF444" s="78" t="str">
        <f>HYPERLINK("https://twitter.com/rubi622/status/1819291231798567328")</f>
        <v>https://twitter.com/rubi622/status/1819291231798567328</v>
      </c>
      <c r="AG444" s="76">
        <v>45506.358854166669</v>
      </c>
      <c r="AH444" s="80">
        <v>45506</v>
      </c>
      <c r="AI444" s="77" t="s">
        <v>1427</v>
      </c>
      <c r="AW444" s="78" t="str">
        <f>HYPERLINK("https://abs.twimg.com/sticky/default_profile_images/default_profile_normal.png")</f>
        <v>https://abs.twimg.com/sticky/default_profile_images/default_profile_normal.png</v>
      </c>
      <c r="AX444" s="77" t="s">
        <v>1911</v>
      </c>
      <c r="AY444" s="77" t="s">
        <v>2271</v>
      </c>
      <c r="AZ444" s="77" t="s">
        <v>2385</v>
      </c>
      <c r="BA444" s="77" t="s">
        <v>2271</v>
      </c>
      <c r="BB444" s="77" t="s">
        <v>2494</v>
      </c>
      <c r="BC444" s="77" t="s">
        <v>2494</v>
      </c>
      <c r="BD444" s="77" t="s">
        <v>2271</v>
      </c>
      <c r="BE444" s="77" t="s">
        <v>2544</v>
      </c>
      <c r="BK444" s="112" t="str">
        <f>REPLACE(INDEX(GroupVertices[Group], MATCH("~"&amp;Edges[[#This Row],[Vertex 1]],GroupVertices[Vertex],0)),1,1,"")</f>
        <v>52</v>
      </c>
      <c r="BL444" s="112" t="str">
        <f>REPLACE(INDEX(GroupVertices[Group], MATCH("~"&amp;Edges[[#This Row],[Vertex 2]],GroupVertices[Vertex],0)),1,1,"")</f>
        <v>52</v>
      </c>
    </row>
    <row r="445" spans="1:64" x14ac:dyDescent="0.25">
      <c r="A445" s="61" t="s">
        <v>262</v>
      </c>
      <c r="B445" s="61" t="s">
        <v>516</v>
      </c>
      <c r="C445" s="62"/>
      <c r="D445" s="63"/>
      <c r="E445" s="64"/>
      <c r="F445" s="65"/>
      <c r="G445" s="62"/>
      <c r="H445" s="66"/>
      <c r="I445" s="67"/>
      <c r="J445" s="67"/>
      <c r="K445" s="31"/>
      <c r="L445" s="75">
        <v>445</v>
      </c>
      <c r="M445"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45" s="69"/>
      <c r="O445" t="s">
        <v>703</v>
      </c>
      <c r="P445" s="76">
        <v>45506.306597222225</v>
      </c>
      <c r="Q445" t="s">
        <v>755</v>
      </c>
      <c r="R445" t="b">
        <v>0</v>
      </c>
      <c r="S445">
        <v>0</v>
      </c>
      <c r="T445">
        <v>0</v>
      </c>
      <c r="U445">
        <v>0</v>
      </c>
      <c r="V445">
        <v>0</v>
      </c>
      <c r="W445">
        <v>5</v>
      </c>
      <c r="AA445" t="s">
        <v>1217</v>
      </c>
      <c r="AD445" s="77" t="s">
        <v>1367</v>
      </c>
      <c r="AE445" t="s">
        <v>1385</v>
      </c>
      <c r="AF445" s="78" t="str">
        <f>HYPERLINK("https://twitter.com/tel81296369/status/1819272294109266186")</f>
        <v>https://twitter.com/tel81296369/status/1819272294109266186</v>
      </c>
      <c r="AG445" s="76">
        <v>45506.306597222225</v>
      </c>
      <c r="AH445" s="80">
        <v>45506</v>
      </c>
      <c r="AI445" s="77" t="s">
        <v>1437</v>
      </c>
      <c r="AW445" s="78" t="str">
        <f>HYPERLINK("https://pbs.twimg.com/profile_images/1783344205856710656/w1YDq-9g_normal.jpg")</f>
        <v>https://pbs.twimg.com/profile_images/1783344205856710656/w1YDq-9g_normal.jpg</v>
      </c>
      <c r="AX445" s="77" t="s">
        <v>1921</v>
      </c>
      <c r="AY445" s="77" t="s">
        <v>2276</v>
      </c>
      <c r="AZ445" s="77" t="s">
        <v>2390</v>
      </c>
      <c r="BA445" s="77" t="s">
        <v>2276</v>
      </c>
      <c r="BB445" s="77" t="s">
        <v>2494</v>
      </c>
      <c r="BC445" s="77" t="s">
        <v>2494</v>
      </c>
      <c r="BD445" s="77" t="s">
        <v>2276</v>
      </c>
      <c r="BE445" s="77" t="s">
        <v>2550</v>
      </c>
      <c r="BK445" s="112" t="str">
        <f>REPLACE(INDEX(GroupVertices[Group], MATCH("~"&amp;Edges[[#This Row],[Vertex 1]],GroupVertices[Vertex],0)),1,1,"")</f>
        <v>6</v>
      </c>
      <c r="BL445" s="112" t="str">
        <f>REPLACE(INDEX(GroupVertices[Group], MATCH("~"&amp;Edges[[#This Row],[Vertex 2]],GroupVertices[Vertex],0)),1,1,"")</f>
        <v>6</v>
      </c>
    </row>
    <row r="446" spans="1:64" x14ac:dyDescent="0.25">
      <c r="A446" s="61" t="s">
        <v>262</v>
      </c>
      <c r="B446" s="61" t="s">
        <v>539</v>
      </c>
      <c r="C446" s="62"/>
      <c r="D446" s="63"/>
      <c r="E446" s="64"/>
      <c r="F446" s="65"/>
      <c r="G446" s="62"/>
      <c r="H446" s="66"/>
      <c r="I446" s="67"/>
      <c r="J446" s="67"/>
      <c r="K446" s="31"/>
      <c r="L446" s="75">
        <v>446</v>
      </c>
      <c r="M446"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46" s="69"/>
      <c r="O446" t="s">
        <v>701</v>
      </c>
      <c r="P446" s="76">
        <v>45506.306597222225</v>
      </c>
      <c r="Q446" t="s">
        <v>755</v>
      </c>
      <c r="R446" t="b">
        <v>0</v>
      </c>
      <c r="S446">
        <v>0</v>
      </c>
      <c r="T446">
        <v>0</v>
      </c>
      <c r="U446">
        <v>0</v>
      </c>
      <c r="V446">
        <v>0</v>
      </c>
      <c r="W446">
        <v>5</v>
      </c>
      <c r="AA446" t="s">
        <v>1217</v>
      </c>
      <c r="AD446" s="77" t="s">
        <v>1367</v>
      </c>
      <c r="AE446" t="s">
        <v>1385</v>
      </c>
      <c r="AF446" s="78" t="str">
        <f>HYPERLINK("https://twitter.com/tel81296369/status/1819272294109266186")</f>
        <v>https://twitter.com/tel81296369/status/1819272294109266186</v>
      </c>
      <c r="AG446" s="76">
        <v>45506.306597222225</v>
      </c>
      <c r="AH446" s="80">
        <v>45506</v>
      </c>
      <c r="AI446" s="77" t="s">
        <v>1437</v>
      </c>
      <c r="AW446" s="78" t="str">
        <f>HYPERLINK("https://pbs.twimg.com/profile_images/1783344205856710656/w1YDq-9g_normal.jpg")</f>
        <v>https://pbs.twimg.com/profile_images/1783344205856710656/w1YDq-9g_normal.jpg</v>
      </c>
      <c r="AX446" s="77" t="s">
        <v>1921</v>
      </c>
      <c r="AY446" s="77" t="s">
        <v>2276</v>
      </c>
      <c r="AZ446" s="77" t="s">
        <v>2390</v>
      </c>
      <c r="BA446" s="77" t="s">
        <v>2276</v>
      </c>
      <c r="BB446" s="77" t="s">
        <v>2494</v>
      </c>
      <c r="BC446" s="77" t="s">
        <v>2494</v>
      </c>
      <c r="BD446" s="77" t="s">
        <v>2276</v>
      </c>
      <c r="BE446" s="77" t="s">
        <v>2550</v>
      </c>
      <c r="BK446" s="112" t="str">
        <f>REPLACE(INDEX(GroupVertices[Group], MATCH("~"&amp;Edges[[#This Row],[Vertex 1]],GroupVertices[Vertex],0)),1,1,"")</f>
        <v>6</v>
      </c>
      <c r="BL446" s="112" t="str">
        <f>REPLACE(INDEX(GroupVertices[Group], MATCH("~"&amp;Edges[[#This Row],[Vertex 2]],GroupVertices[Vertex],0)),1,1,"")</f>
        <v>6</v>
      </c>
    </row>
    <row r="447" spans="1:64" x14ac:dyDescent="0.25">
      <c r="A447" s="61" t="s">
        <v>285</v>
      </c>
      <c r="B447" s="61" t="s">
        <v>557</v>
      </c>
      <c r="C447" s="62"/>
      <c r="D447" s="63"/>
      <c r="E447" s="64"/>
      <c r="F447" s="65"/>
      <c r="G447" s="62"/>
      <c r="H447" s="66"/>
      <c r="I447" s="67"/>
      <c r="J447" s="67"/>
      <c r="K447" s="31"/>
      <c r="L447" s="75">
        <v>447</v>
      </c>
      <c r="M447"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47" s="69"/>
      <c r="O447" t="s">
        <v>701</v>
      </c>
      <c r="P447" s="76">
        <v>45510.481631944444</v>
      </c>
      <c r="Q447" t="s">
        <v>788</v>
      </c>
      <c r="R447" t="b">
        <v>0</v>
      </c>
      <c r="S447">
        <v>0</v>
      </c>
      <c r="T447">
        <v>0</v>
      </c>
      <c r="U447">
        <v>0</v>
      </c>
      <c r="V447">
        <v>0</v>
      </c>
      <c r="W447">
        <v>5</v>
      </c>
      <c r="AA447" t="s">
        <v>557</v>
      </c>
      <c r="AD447" s="77" t="s">
        <v>1370</v>
      </c>
      <c r="AE447" t="s">
        <v>1385</v>
      </c>
      <c r="AF447" s="78" t="str">
        <f>HYPERLINK("https://twitter.com/leo_fiorentino/status/1820785278132330936")</f>
        <v>https://twitter.com/leo_fiorentino/status/1820785278132330936</v>
      </c>
      <c r="AG447" s="76">
        <v>45510.481631944444</v>
      </c>
      <c r="AH447" s="80">
        <v>45510</v>
      </c>
      <c r="AI447" s="77" t="s">
        <v>1470</v>
      </c>
      <c r="AW447" s="78" t="str">
        <f>HYPERLINK("https://pbs.twimg.com/profile_images/1585019773217218560/h7RfJXXc_normal.jpg")</f>
        <v>https://pbs.twimg.com/profile_images/1585019773217218560/h7RfJXXc_normal.jpg</v>
      </c>
      <c r="AX447" s="77" t="s">
        <v>1954</v>
      </c>
      <c r="AY447" s="77" t="s">
        <v>2286</v>
      </c>
      <c r="AZ447" s="77" t="s">
        <v>2405</v>
      </c>
      <c r="BA447" s="77" t="s">
        <v>2286</v>
      </c>
      <c r="BB447" s="77" t="s">
        <v>2494</v>
      </c>
      <c r="BC447" s="77" t="s">
        <v>2494</v>
      </c>
      <c r="BD447" s="77" t="s">
        <v>2286</v>
      </c>
      <c r="BE447">
        <v>145273075</v>
      </c>
      <c r="BK447" s="112" t="str">
        <f>REPLACE(INDEX(GroupVertices[Group], MATCH("~"&amp;Edges[[#This Row],[Vertex 1]],GroupVertices[Vertex],0)),1,1,"")</f>
        <v>51</v>
      </c>
      <c r="BL447" s="112" t="str">
        <f>REPLACE(INDEX(GroupVertices[Group], MATCH("~"&amp;Edges[[#This Row],[Vertex 2]],GroupVertices[Vertex],0)),1,1,"")</f>
        <v>51</v>
      </c>
    </row>
    <row r="448" spans="1:64" x14ac:dyDescent="0.25">
      <c r="A448" s="61" t="s">
        <v>292</v>
      </c>
      <c r="B448" s="61" t="s">
        <v>292</v>
      </c>
      <c r="C448" s="62"/>
      <c r="D448" s="63"/>
      <c r="E448" s="64"/>
      <c r="F448" s="65"/>
      <c r="G448" s="62"/>
      <c r="H448" s="66"/>
      <c r="I448" s="67"/>
      <c r="J448" s="67"/>
      <c r="K448" s="31"/>
      <c r="L448" s="75">
        <v>448</v>
      </c>
      <c r="M448"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48" s="69"/>
      <c r="O448" t="s">
        <v>177</v>
      </c>
      <c r="P448" s="76">
        <v>45506.766053240739</v>
      </c>
      <c r="Q448" t="s">
        <v>814</v>
      </c>
      <c r="R448" t="b">
        <v>0</v>
      </c>
      <c r="S448">
        <v>0</v>
      </c>
      <c r="T448">
        <v>0</v>
      </c>
      <c r="U448">
        <v>0</v>
      </c>
      <c r="V448">
        <v>0</v>
      </c>
      <c r="W448">
        <v>5</v>
      </c>
      <c r="X448" s="77" t="s">
        <v>1099</v>
      </c>
      <c r="Y448" s="78" t="str">
        <f>HYPERLINK("https://vm.tiktok.com/ZGe7CJVPY/")</f>
        <v>https://vm.tiktok.com/ZGe7CJVPY/</v>
      </c>
      <c r="Z448" t="s">
        <v>1149</v>
      </c>
      <c r="AD448" s="77" t="s">
        <v>1365</v>
      </c>
      <c r="AE448" t="s">
        <v>1385</v>
      </c>
      <c r="AF448" s="78" t="str">
        <f>HYPERLINK("https://twitter.com/atologocito1/status/1819438799362928896")</f>
        <v>https://twitter.com/atologocito1/status/1819438799362928896</v>
      </c>
      <c r="AG448" s="76">
        <v>45506.766053240739</v>
      </c>
      <c r="AH448" s="80">
        <v>45506</v>
      </c>
      <c r="AI448" s="77" t="s">
        <v>1496</v>
      </c>
      <c r="AJ448" t="b">
        <v>0</v>
      </c>
      <c r="AW448" s="78" t="str">
        <f>HYPERLINK("https://pbs.twimg.com/profile_images/1497222336470298628/AOSxZ6NT_normal.jpg")</f>
        <v>https://pbs.twimg.com/profile_images/1497222336470298628/AOSxZ6NT_normal.jpg</v>
      </c>
      <c r="AX448" s="77" t="s">
        <v>1980</v>
      </c>
      <c r="AY448" s="77" t="s">
        <v>1980</v>
      </c>
      <c r="BA448" s="77" t="s">
        <v>2494</v>
      </c>
      <c r="BB448" s="77" t="s">
        <v>2494</v>
      </c>
      <c r="BC448" s="77" t="s">
        <v>2494</v>
      </c>
      <c r="BD448" s="77" t="s">
        <v>1980</v>
      </c>
      <c r="BE448" s="77" t="s">
        <v>2565</v>
      </c>
      <c r="BK448" s="112" t="str">
        <f>REPLACE(INDEX(GroupVertices[Group], MATCH("~"&amp;Edges[[#This Row],[Vertex 1]],GroupVertices[Vertex],0)),1,1,"")</f>
        <v>13</v>
      </c>
      <c r="BL448" s="112" t="str">
        <f>REPLACE(INDEX(GroupVertices[Group], MATCH("~"&amp;Edges[[#This Row],[Vertex 2]],GroupVertices[Vertex],0)),1,1,"")</f>
        <v>13</v>
      </c>
    </row>
    <row r="449" spans="1:64" x14ac:dyDescent="0.25">
      <c r="A449" s="61" t="s">
        <v>292</v>
      </c>
      <c r="B449" s="61" t="s">
        <v>292</v>
      </c>
      <c r="C449" s="62"/>
      <c r="D449" s="63"/>
      <c r="E449" s="64"/>
      <c r="F449" s="65"/>
      <c r="G449" s="62"/>
      <c r="H449" s="66"/>
      <c r="I449" s="67"/>
      <c r="J449" s="67"/>
      <c r="K449" s="31"/>
      <c r="L449" s="75">
        <v>449</v>
      </c>
      <c r="M449"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49" s="69"/>
      <c r="O449" t="s">
        <v>177</v>
      </c>
      <c r="P449" s="76">
        <v>45506.79515046296</v>
      </c>
      <c r="Q449" t="s">
        <v>820</v>
      </c>
      <c r="R449" t="b">
        <v>0</v>
      </c>
      <c r="S449">
        <v>0</v>
      </c>
      <c r="T449">
        <v>0</v>
      </c>
      <c r="U449">
        <v>0</v>
      </c>
      <c r="V449">
        <v>0</v>
      </c>
      <c r="W449">
        <v>5</v>
      </c>
      <c r="X449" s="77" t="s">
        <v>1099</v>
      </c>
      <c r="Y449" s="78" t="str">
        <f>HYPERLINK("https://vm.tiktok.com/ZGe7C2YSb/")</f>
        <v>https://vm.tiktok.com/ZGe7C2YSb/</v>
      </c>
      <c r="Z449" t="s">
        <v>1149</v>
      </c>
      <c r="AD449" s="77" t="s">
        <v>1365</v>
      </c>
      <c r="AE449" t="s">
        <v>1385</v>
      </c>
      <c r="AF449" s="78" t="str">
        <f>HYPERLINK("https://twitter.com/atologocito1/status/1819449341259796536")</f>
        <v>https://twitter.com/atologocito1/status/1819449341259796536</v>
      </c>
      <c r="AG449" s="76">
        <v>45506.79515046296</v>
      </c>
      <c r="AH449" s="80">
        <v>45506</v>
      </c>
      <c r="AI449" s="77" t="s">
        <v>1502</v>
      </c>
      <c r="AJ449" t="b">
        <v>0</v>
      </c>
      <c r="AW449" s="78" t="str">
        <f>HYPERLINK("https://pbs.twimg.com/profile_images/1497222336470298628/AOSxZ6NT_normal.jpg")</f>
        <v>https://pbs.twimg.com/profile_images/1497222336470298628/AOSxZ6NT_normal.jpg</v>
      </c>
      <c r="AX449" s="77" t="s">
        <v>1986</v>
      </c>
      <c r="AY449" s="77" t="s">
        <v>1986</v>
      </c>
      <c r="BA449" s="77" t="s">
        <v>2494</v>
      </c>
      <c r="BB449" s="77" t="s">
        <v>2494</v>
      </c>
      <c r="BC449" s="77" t="s">
        <v>2494</v>
      </c>
      <c r="BD449" s="77" t="s">
        <v>1986</v>
      </c>
      <c r="BE449" s="77" t="s">
        <v>2565</v>
      </c>
      <c r="BK449" s="112" t="str">
        <f>REPLACE(INDEX(GroupVertices[Group], MATCH("~"&amp;Edges[[#This Row],[Vertex 1]],GroupVertices[Vertex],0)),1,1,"")</f>
        <v>13</v>
      </c>
      <c r="BL449" s="112" t="str">
        <f>REPLACE(INDEX(GroupVertices[Group], MATCH("~"&amp;Edges[[#This Row],[Vertex 2]],GroupVertices[Vertex],0)),1,1,"")</f>
        <v>13</v>
      </c>
    </row>
    <row r="450" spans="1:64" x14ac:dyDescent="0.25">
      <c r="A450" s="61" t="s">
        <v>292</v>
      </c>
      <c r="B450" s="61" t="s">
        <v>292</v>
      </c>
      <c r="C450" s="62"/>
      <c r="D450" s="63"/>
      <c r="E450" s="64"/>
      <c r="F450" s="65"/>
      <c r="G450" s="62"/>
      <c r="H450" s="66"/>
      <c r="I450" s="67"/>
      <c r="J450" s="67"/>
      <c r="K450" s="31"/>
      <c r="L450" s="75">
        <v>450</v>
      </c>
      <c r="M450"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50" s="69"/>
      <c r="O450" t="s">
        <v>177</v>
      </c>
      <c r="P450" s="76">
        <v>45506.757638888892</v>
      </c>
      <c r="Q450" t="s">
        <v>830</v>
      </c>
      <c r="R450" t="b">
        <v>0</v>
      </c>
      <c r="S450">
        <v>0</v>
      </c>
      <c r="T450">
        <v>0</v>
      </c>
      <c r="U450">
        <v>0</v>
      </c>
      <c r="V450">
        <v>0</v>
      </c>
      <c r="W450">
        <v>5</v>
      </c>
      <c r="X450" s="77" t="s">
        <v>1099</v>
      </c>
      <c r="Y450" s="78" t="str">
        <f>HYPERLINK("https://vm.tiktok.com/ZGe7QoxK5/")</f>
        <v>https://vm.tiktok.com/ZGe7QoxK5/</v>
      </c>
      <c r="Z450" t="s">
        <v>1149</v>
      </c>
      <c r="AD450" s="77" t="s">
        <v>1365</v>
      </c>
      <c r="AE450" t="s">
        <v>1385</v>
      </c>
      <c r="AF450" s="78" t="str">
        <f>HYPERLINK("https://twitter.com/atologocito1/status/1819435748774363544")</f>
        <v>https://twitter.com/atologocito1/status/1819435748774363544</v>
      </c>
      <c r="AG450" s="76">
        <v>45506.757638888892</v>
      </c>
      <c r="AH450" s="80">
        <v>45506</v>
      </c>
      <c r="AI450" s="77" t="s">
        <v>1512</v>
      </c>
      <c r="AJ450" t="b">
        <v>0</v>
      </c>
      <c r="AW450" s="78" t="str">
        <f>HYPERLINK("https://pbs.twimg.com/profile_images/1497222336470298628/AOSxZ6NT_normal.jpg")</f>
        <v>https://pbs.twimg.com/profile_images/1497222336470298628/AOSxZ6NT_normal.jpg</v>
      </c>
      <c r="AX450" s="77" t="s">
        <v>1996</v>
      </c>
      <c r="AY450" s="77" t="s">
        <v>1996</v>
      </c>
      <c r="BA450" s="77" t="s">
        <v>2494</v>
      </c>
      <c r="BB450" s="77" t="s">
        <v>2494</v>
      </c>
      <c r="BC450" s="77" t="s">
        <v>2494</v>
      </c>
      <c r="BD450" s="77" t="s">
        <v>1996</v>
      </c>
      <c r="BE450" s="77" t="s">
        <v>2565</v>
      </c>
      <c r="BK450" s="112" t="str">
        <f>REPLACE(INDEX(GroupVertices[Group], MATCH("~"&amp;Edges[[#This Row],[Vertex 1]],GroupVertices[Vertex],0)),1,1,"")</f>
        <v>13</v>
      </c>
      <c r="BL450" s="112" t="str">
        <f>REPLACE(INDEX(GroupVertices[Group], MATCH("~"&amp;Edges[[#This Row],[Vertex 2]],GroupVertices[Vertex],0)),1,1,"")</f>
        <v>13</v>
      </c>
    </row>
    <row r="451" spans="1:64" x14ac:dyDescent="0.25">
      <c r="A451" s="61" t="s">
        <v>323</v>
      </c>
      <c r="B451" s="61" t="s">
        <v>516</v>
      </c>
      <c r="C451" s="62"/>
      <c r="D451" s="63"/>
      <c r="E451" s="64"/>
      <c r="F451" s="65"/>
      <c r="G451" s="62"/>
      <c r="H451" s="66"/>
      <c r="I451" s="67"/>
      <c r="J451" s="67"/>
      <c r="K451" s="31"/>
      <c r="L451" s="75">
        <v>451</v>
      </c>
      <c r="M451"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51" s="69"/>
      <c r="O451" t="s">
        <v>703</v>
      </c>
      <c r="P451" s="76">
        <v>45505.548518518517</v>
      </c>
      <c r="Q451" t="s">
        <v>874</v>
      </c>
      <c r="R451" t="b">
        <v>0</v>
      </c>
      <c r="S451">
        <v>0</v>
      </c>
      <c r="T451">
        <v>0</v>
      </c>
      <c r="U451">
        <v>0</v>
      </c>
      <c r="V451">
        <v>0</v>
      </c>
      <c r="W451">
        <v>5</v>
      </c>
      <c r="AA451" t="s">
        <v>1217</v>
      </c>
      <c r="AD451" s="77" t="s">
        <v>1365</v>
      </c>
      <c r="AE451" t="s">
        <v>1385</v>
      </c>
      <c r="AF451" s="78" t="str">
        <f>HYPERLINK("https://twitter.com/yordi466544702/status/1818997576907075806")</f>
        <v>https://twitter.com/yordi466544702/status/1818997576907075806</v>
      </c>
      <c r="AG451" s="76">
        <v>45505.548518518517</v>
      </c>
      <c r="AH451" s="80">
        <v>45505</v>
      </c>
      <c r="AI451" s="77" t="s">
        <v>1555</v>
      </c>
      <c r="AW451" s="78" t="str">
        <f>HYPERLINK("https://abs.twimg.com/sticky/default_profile_images/default_profile_normal.png")</f>
        <v>https://abs.twimg.com/sticky/default_profile_images/default_profile_normal.png</v>
      </c>
      <c r="AX451" s="77" t="s">
        <v>2040</v>
      </c>
      <c r="AY451" s="77" t="s">
        <v>2276</v>
      </c>
      <c r="AZ451" s="77" t="s">
        <v>2390</v>
      </c>
      <c r="BA451" s="77" t="s">
        <v>2276</v>
      </c>
      <c r="BB451" s="77" t="s">
        <v>2494</v>
      </c>
      <c r="BC451" s="77" t="s">
        <v>2494</v>
      </c>
      <c r="BD451" s="77" t="s">
        <v>2276</v>
      </c>
      <c r="BE451" s="77" t="s">
        <v>2576</v>
      </c>
      <c r="BK451" s="112" t="str">
        <f>REPLACE(INDEX(GroupVertices[Group], MATCH("~"&amp;Edges[[#This Row],[Vertex 1]],GroupVertices[Vertex],0)),1,1,"")</f>
        <v>6</v>
      </c>
      <c r="BL451" s="112" t="str">
        <f>REPLACE(INDEX(GroupVertices[Group], MATCH("~"&amp;Edges[[#This Row],[Vertex 2]],GroupVertices[Vertex],0)),1,1,"")</f>
        <v>6</v>
      </c>
    </row>
    <row r="452" spans="1:64" x14ac:dyDescent="0.25">
      <c r="A452" s="61" t="s">
        <v>323</v>
      </c>
      <c r="B452" s="61" t="s">
        <v>539</v>
      </c>
      <c r="C452" s="62"/>
      <c r="D452" s="63"/>
      <c r="E452" s="64"/>
      <c r="F452" s="65"/>
      <c r="G452" s="62"/>
      <c r="H452" s="66"/>
      <c r="I452" s="67"/>
      <c r="J452" s="67"/>
      <c r="K452" s="31"/>
      <c r="L452" s="75">
        <v>452</v>
      </c>
      <c r="M452"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52" s="69"/>
      <c r="O452" t="s">
        <v>701</v>
      </c>
      <c r="P452" s="76">
        <v>45505.548518518517</v>
      </c>
      <c r="Q452" t="s">
        <v>874</v>
      </c>
      <c r="R452" t="b">
        <v>0</v>
      </c>
      <c r="S452">
        <v>0</v>
      </c>
      <c r="T452">
        <v>0</v>
      </c>
      <c r="U452">
        <v>0</v>
      </c>
      <c r="V452">
        <v>0</v>
      </c>
      <c r="W452">
        <v>5</v>
      </c>
      <c r="AA452" t="s">
        <v>1217</v>
      </c>
      <c r="AD452" s="77" t="s">
        <v>1365</v>
      </c>
      <c r="AE452" t="s">
        <v>1385</v>
      </c>
      <c r="AF452" s="78" t="str">
        <f>HYPERLINK("https://twitter.com/yordi466544702/status/1818997576907075806")</f>
        <v>https://twitter.com/yordi466544702/status/1818997576907075806</v>
      </c>
      <c r="AG452" s="76">
        <v>45505.548518518517</v>
      </c>
      <c r="AH452" s="80">
        <v>45505</v>
      </c>
      <c r="AI452" s="77" t="s">
        <v>1555</v>
      </c>
      <c r="AW452" s="78" t="str">
        <f>HYPERLINK("https://abs.twimg.com/sticky/default_profile_images/default_profile_normal.png")</f>
        <v>https://abs.twimg.com/sticky/default_profile_images/default_profile_normal.png</v>
      </c>
      <c r="AX452" s="77" t="s">
        <v>2040</v>
      </c>
      <c r="AY452" s="77" t="s">
        <v>2276</v>
      </c>
      <c r="AZ452" s="77" t="s">
        <v>2390</v>
      </c>
      <c r="BA452" s="77" t="s">
        <v>2276</v>
      </c>
      <c r="BB452" s="77" t="s">
        <v>2494</v>
      </c>
      <c r="BC452" s="77" t="s">
        <v>2494</v>
      </c>
      <c r="BD452" s="77" t="s">
        <v>2276</v>
      </c>
      <c r="BE452" s="77" t="s">
        <v>2576</v>
      </c>
      <c r="BK452" s="112" t="str">
        <f>REPLACE(INDEX(GroupVertices[Group], MATCH("~"&amp;Edges[[#This Row],[Vertex 1]],GroupVertices[Vertex],0)),1,1,"")</f>
        <v>6</v>
      </c>
      <c r="BL452" s="112" t="str">
        <f>REPLACE(INDEX(GroupVertices[Group], MATCH("~"&amp;Edges[[#This Row],[Vertex 2]],GroupVertices[Vertex],0)),1,1,"")</f>
        <v>6</v>
      </c>
    </row>
    <row r="453" spans="1:64" x14ac:dyDescent="0.25">
      <c r="A453" s="61" t="s">
        <v>398</v>
      </c>
      <c r="B453" s="61" t="s">
        <v>652</v>
      </c>
      <c r="C453" s="62"/>
      <c r="D453" s="63"/>
      <c r="E453" s="64"/>
      <c r="F453" s="65"/>
      <c r="G453" s="62"/>
      <c r="H453" s="66"/>
      <c r="I453" s="67"/>
      <c r="J453" s="67"/>
      <c r="K453" s="31"/>
      <c r="L453" s="75">
        <v>453</v>
      </c>
      <c r="M453"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53" s="69"/>
      <c r="O453" t="s">
        <v>703</v>
      </c>
      <c r="P453" s="76">
        <v>45509.547430555554</v>
      </c>
      <c r="Q453" t="s">
        <v>965</v>
      </c>
      <c r="R453" t="b">
        <v>0</v>
      </c>
      <c r="S453">
        <v>0</v>
      </c>
      <c r="T453">
        <v>0</v>
      </c>
      <c r="U453">
        <v>0</v>
      </c>
      <c r="V453">
        <v>0</v>
      </c>
      <c r="W453">
        <v>5</v>
      </c>
      <c r="AA453" t="s">
        <v>1249</v>
      </c>
      <c r="AB453" t="s">
        <v>1327</v>
      </c>
      <c r="AC453" t="s">
        <v>1359</v>
      </c>
      <c r="AD453" s="77" t="s">
        <v>1365</v>
      </c>
      <c r="AE453" t="s">
        <v>1385</v>
      </c>
      <c r="AF453" s="78" t="str">
        <f t="shared" ref="AF453:AF464" si="3">HYPERLINK("https://twitter.com/gonzalorguezm/status/1820446733467316438")</f>
        <v>https://twitter.com/gonzalorguezm/status/1820446733467316438</v>
      </c>
      <c r="AG453" s="76">
        <v>45509.547430555554</v>
      </c>
      <c r="AH453" s="80">
        <v>45509</v>
      </c>
      <c r="AI453" s="77" t="s">
        <v>1645</v>
      </c>
      <c r="AJ453" t="b">
        <v>0</v>
      </c>
      <c r="AR453" t="s">
        <v>1840</v>
      </c>
      <c r="AW453" s="78" t="str">
        <f t="shared" ref="AW453:AW464" si="4">HYPERLINK("https://pbs.twimg.com/media/GUOGplMXgAAY_IR.jpg")</f>
        <v>https://pbs.twimg.com/media/GUOGplMXgAAY_IR.jpg</v>
      </c>
      <c r="AX453" s="77" t="s">
        <v>2131</v>
      </c>
      <c r="AY453" s="77" t="s">
        <v>2340</v>
      </c>
      <c r="AZ453" s="77" t="s">
        <v>2458</v>
      </c>
      <c r="BA453" s="77" t="s">
        <v>2519</v>
      </c>
      <c r="BB453" s="77" t="s">
        <v>2494</v>
      </c>
      <c r="BC453" s="77" t="s">
        <v>2494</v>
      </c>
      <c r="BD453" s="77" t="s">
        <v>2519</v>
      </c>
      <c r="BE453" s="77" t="s">
        <v>2606</v>
      </c>
      <c r="BK453" s="112" t="str">
        <f>REPLACE(INDEX(GroupVertices[Group], MATCH("~"&amp;Edges[[#This Row],[Vertex 1]],GroupVertices[Vertex],0)),1,1,"")</f>
        <v>3</v>
      </c>
      <c r="BL453" s="112" t="str">
        <f>REPLACE(INDEX(GroupVertices[Group], MATCH("~"&amp;Edges[[#This Row],[Vertex 2]],GroupVertices[Vertex],0)),1,1,"")</f>
        <v>3</v>
      </c>
    </row>
    <row r="454" spans="1:64" x14ac:dyDescent="0.25">
      <c r="A454" s="61" t="s">
        <v>398</v>
      </c>
      <c r="B454" s="61" t="s">
        <v>653</v>
      </c>
      <c r="C454" s="62"/>
      <c r="D454" s="63"/>
      <c r="E454" s="64"/>
      <c r="F454" s="65"/>
      <c r="G454" s="62"/>
      <c r="H454" s="66"/>
      <c r="I454" s="67"/>
      <c r="J454" s="67"/>
      <c r="K454" s="31"/>
      <c r="L454" s="75">
        <v>454</v>
      </c>
      <c r="M454"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54" s="69"/>
      <c r="O454" t="s">
        <v>703</v>
      </c>
      <c r="P454" s="76">
        <v>45509.547430555554</v>
      </c>
      <c r="Q454" t="s">
        <v>965</v>
      </c>
      <c r="R454" t="b">
        <v>0</v>
      </c>
      <c r="S454">
        <v>0</v>
      </c>
      <c r="T454">
        <v>0</v>
      </c>
      <c r="U454">
        <v>0</v>
      </c>
      <c r="V454">
        <v>0</v>
      </c>
      <c r="W454">
        <v>5</v>
      </c>
      <c r="AA454" t="s">
        <v>1249</v>
      </c>
      <c r="AB454" t="s">
        <v>1327</v>
      </c>
      <c r="AC454" t="s">
        <v>1359</v>
      </c>
      <c r="AD454" s="77" t="s">
        <v>1365</v>
      </c>
      <c r="AE454" t="s">
        <v>1385</v>
      </c>
      <c r="AF454" s="78" t="str">
        <f t="shared" si="3"/>
        <v>https://twitter.com/gonzalorguezm/status/1820446733467316438</v>
      </c>
      <c r="AG454" s="76">
        <v>45509.547430555554</v>
      </c>
      <c r="AH454" s="80">
        <v>45509</v>
      </c>
      <c r="AI454" s="77" t="s">
        <v>1645</v>
      </c>
      <c r="AJ454" t="b">
        <v>0</v>
      </c>
      <c r="AR454" t="s">
        <v>1840</v>
      </c>
      <c r="AW454" s="78" t="str">
        <f t="shared" si="4"/>
        <v>https://pbs.twimg.com/media/GUOGplMXgAAY_IR.jpg</v>
      </c>
      <c r="AX454" s="77" t="s">
        <v>2131</v>
      </c>
      <c r="AY454" s="77" t="s">
        <v>2340</v>
      </c>
      <c r="AZ454" s="77" t="s">
        <v>2458</v>
      </c>
      <c r="BA454" s="77" t="s">
        <v>2519</v>
      </c>
      <c r="BB454" s="77" t="s">
        <v>2494</v>
      </c>
      <c r="BC454" s="77" t="s">
        <v>2494</v>
      </c>
      <c r="BD454" s="77" t="s">
        <v>2519</v>
      </c>
      <c r="BE454" s="77" t="s">
        <v>2606</v>
      </c>
      <c r="BK454" s="112" t="str">
        <f>REPLACE(INDEX(GroupVertices[Group], MATCH("~"&amp;Edges[[#This Row],[Vertex 1]],GroupVertices[Vertex],0)),1,1,"")</f>
        <v>3</v>
      </c>
      <c r="BL454" s="112" t="str">
        <f>REPLACE(INDEX(GroupVertices[Group], MATCH("~"&amp;Edges[[#This Row],[Vertex 2]],GroupVertices[Vertex],0)),1,1,"")</f>
        <v>3</v>
      </c>
    </row>
    <row r="455" spans="1:64" x14ac:dyDescent="0.25">
      <c r="A455" s="61" t="s">
        <v>398</v>
      </c>
      <c r="B455" s="61" t="s">
        <v>654</v>
      </c>
      <c r="C455" s="62"/>
      <c r="D455" s="63"/>
      <c r="E455" s="64"/>
      <c r="F455" s="65"/>
      <c r="G455" s="62"/>
      <c r="H455" s="66"/>
      <c r="I455" s="67"/>
      <c r="J455" s="67"/>
      <c r="K455" s="31"/>
      <c r="L455" s="75">
        <v>455</v>
      </c>
      <c r="M455"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55" s="69"/>
      <c r="O455" t="s">
        <v>703</v>
      </c>
      <c r="P455" s="76">
        <v>45509.547430555554</v>
      </c>
      <c r="Q455" t="s">
        <v>965</v>
      </c>
      <c r="R455" t="b">
        <v>0</v>
      </c>
      <c r="S455">
        <v>0</v>
      </c>
      <c r="T455">
        <v>0</v>
      </c>
      <c r="U455">
        <v>0</v>
      </c>
      <c r="V455">
        <v>0</v>
      </c>
      <c r="W455">
        <v>5</v>
      </c>
      <c r="AA455" t="s">
        <v>1249</v>
      </c>
      <c r="AB455" t="s">
        <v>1327</v>
      </c>
      <c r="AC455" t="s">
        <v>1359</v>
      </c>
      <c r="AD455" s="77" t="s">
        <v>1365</v>
      </c>
      <c r="AE455" t="s">
        <v>1385</v>
      </c>
      <c r="AF455" s="78" t="str">
        <f t="shared" si="3"/>
        <v>https://twitter.com/gonzalorguezm/status/1820446733467316438</v>
      </c>
      <c r="AG455" s="76">
        <v>45509.547430555554</v>
      </c>
      <c r="AH455" s="80">
        <v>45509</v>
      </c>
      <c r="AI455" s="77" t="s">
        <v>1645</v>
      </c>
      <c r="AJ455" t="b">
        <v>0</v>
      </c>
      <c r="AR455" t="s">
        <v>1840</v>
      </c>
      <c r="AW455" s="78" t="str">
        <f t="shared" si="4"/>
        <v>https://pbs.twimg.com/media/GUOGplMXgAAY_IR.jpg</v>
      </c>
      <c r="AX455" s="77" t="s">
        <v>2131</v>
      </c>
      <c r="AY455" s="77" t="s">
        <v>2340</v>
      </c>
      <c r="AZ455" s="77" t="s">
        <v>2458</v>
      </c>
      <c r="BA455" s="77" t="s">
        <v>2519</v>
      </c>
      <c r="BB455" s="77" t="s">
        <v>2494</v>
      </c>
      <c r="BC455" s="77" t="s">
        <v>2494</v>
      </c>
      <c r="BD455" s="77" t="s">
        <v>2519</v>
      </c>
      <c r="BE455" s="77" t="s">
        <v>2606</v>
      </c>
      <c r="BK455" s="112" t="str">
        <f>REPLACE(INDEX(GroupVertices[Group], MATCH("~"&amp;Edges[[#This Row],[Vertex 1]],GroupVertices[Vertex],0)),1,1,"")</f>
        <v>3</v>
      </c>
      <c r="BL455" s="112" t="str">
        <f>REPLACE(INDEX(GroupVertices[Group], MATCH("~"&amp;Edges[[#This Row],[Vertex 2]],GroupVertices[Vertex],0)),1,1,"")</f>
        <v>3</v>
      </c>
    </row>
    <row r="456" spans="1:64" x14ac:dyDescent="0.25">
      <c r="A456" s="61" t="s">
        <v>398</v>
      </c>
      <c r="B456" s="61" t="s">
        <v>655</v>
      </c>
      <c r="C456" s="62"/>
      <c r="D456" s="63"/>
      <c r="E456" s="64"/>
      <c r="F456" s="65"/>
      <c r="G456" s="62"/>
      <c r="H456" s="66"/>
      <c r="I456" s="67"/>
      <c r="J456" s="67"/>
      <c r="K456" s="31"/>
      <c r="L456" s="75">
        <v>456</v>
      </c>
      <c r="M456"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56" s="69"/>
      <c r="O456" t="s">
        <v>703</v>
      </c>
      <c r="P456" s="76">
        <v>45509.547430555554</v>
      </c>
      <c r="Q456" t="s">
        <v>965</v>
      </c>
      <c r="R456" t="b">
        <v>0</v>
      </c>
      <c r="S456">
        <v>0</v>
      </c>
      <c r="T456">
        <v>0</v>
      </c>
      <c r="U456">
        <v>0</v>
      </c>
      <c r="V456">
        <v>0</v>
      </c>
      <c r="W456">
        <v>5</v>
      </c>
      <c r="AA456" t="s">
        <v>1249</v>
      </c>
      <c r="AB456" t="s">
        <v>1327</v>
      </c>
      <c r="AC456" t="s">
        <v>1359</v>
      </c>
      <c r="AD456" s="77" t="s">
        <v>1365</v>
      </c>
      <c r="AE456" t="s">
        <v>1385</v>
      </c>
      <c r="AF456" s="78" t="str">
        <f t="shared" si="3"/>
        <v>https://twitter.com/gonzalorguezm/status/1820446733467316438</v>
      </c>
      <c r="AG456" s="76">
        <v>45509.547430555554</v>
      </c>
      <c r="AH456" s="80">
        <v>45509</v>
      </c>
      <c r="AI456" s="77" t="s">
        <v>1645</v>
      </c>
      <c r="AJ456" t="b">
        <v>0</v>
      </c>
      <c r="AR456" t="s">
        <v>1840</v>
      </c>
      <c r="AW456" s="78" t="str">
        <f t="shared" si="4"/>
        <v>https://pbs.twimg.com/media/GUOGplMXgAAY_IR.jpg</v>
      </c>
      <c r="AX456" s="77" t="s">
        <v>2131</v>
      </c>
      <c r="AY456" s="77" t="s">
        <v>2340</v>
      </c>
      <c r="AZ456" s="77" t="s">
        <v>2458</v>
      </c>
      <c r="BA456" s="77" t="s">
        <v>2519</v>
      </c>
      <c r="BB456" s="77" t="s">
        <v>2494</v>
      </c>
      <c r="BC456" s="77" t="s">
        <v>2494</v>
      </c>
      <c r="BD456" s="77" t="s">
        <v>2519</v>
      </c>
      <c r="BE456" s="77" t="s">
        <v>2606</v>
      </c>
      <c r="BK456" s="112" t="str">
        <f>REPLACE(INDEX(GroupVertices[Group], MATCH("~"&amp;Edges[[#This Row],[Vertex 1]],GroupVertices[Vertex],0)),1,1,"")</f>
        <v>3</v>
      </c>
      <c r="BL456" s="112" t="str">
        <f>REPLACE(INDEX(GroupVertices[Group], MATCH("~"&amp;Edges[[#This Row],[Vertex 2]],GroupVertices[Vertex],0)),1,1,"")</f>
        <v>3</v>
      </c>
    </row>
    <row r="457" spans="1:64" x14ac:dyDescent="0.25">
      <c r="A457" s="61" t="s">
        <v>398</v>
      </c>
      <c r="B457" s="61" t="s">
        <v>656</v>
      </c>
      <c r="C457" s="62"/>
      <c r="D457" s="63"/>
      <c r="E457" s="64"/>
      <c r="F457" s="65"/>
      <c r="G457" s="62"/>
      <c r="H457" s="66"/>
      <c r="I457" s="67"/>
      <c r="J457" s="67"/>
      <c r="K457" s="31"/>
      <c r="L457" s="75">
        <v>457</v>
      </c>
      <c r="M457"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57" s="69"/>
      <c r="O457" t="s">
        <v>703</v>
      </c>
      <c r="P457" s="76">
        <v>45509.547430555554</v>
      </c>
      <c r="Q457" t="s">
        <v>965</v>
      </c>
      <c r="R457" t="b">
        <v>0</v>
      </c>
      <c r="S457">
        <v>0</v>
      </c>
      <c r="T457">
        <v>0</v>
      </c>
      <c r="U457">
        <v>0</v>
      </c>
      <c r="V457">
        <v>0</v>
      </c>
      <c r="W457">
        <v>5</v>
      </c>
      <c r="AA457" t="s">
        <v>1249</v>
      </c>
      <c r="AB457" t="s">
        <v>1327</v>
      </c>
      <c r="AC457" t="s">
        <v>1359</v>
      </c>
      <c r="AD457" s="77" t="s">
        <v>1365</v>
      </c>
      <c r="AE457" t="s">
        <v>1385</v>
      </c>
      <c r="AF457" s="78" t="str">
        <f t="shared" si="3"/>
        <v>https://twitter.com/gonzalorguezm/status/1820446733467316438</v>
      </c>
      <c r="AG457" s="76">
        <v>45509.547430555554</v>
      </c>
      <c r="AH457" s="80">
        <v>45509</v>
      </c>
      <c r="AI457" s="77" t="s">
        <v>1645</v>
      </c>
      <c r="AJ457" t="b">
        <v>0</v>
      </c>
      <c r="AR457" t="s">
        <v>1840</v>
      </c>
      <c r="AW457" s="78" t="str">
        <f t="shared" si="4"/>
        <v>https://pbs.twimg.com/media/GUOGplMXgAAY_IR.jpg</v>
      </c>
      <c r="AX457" s="77" t="s">
        <v>2131</v>
      </c>
      <c r="AY457" s="77" t="s">
        <v>2340</v>
      </c>
      <c r="AZ457" s="77" t="s">
        <v>2458</v>
      </c>
      <c r="BA457" s="77" t="s">
        <v>2519</v>
      </c>
      <c r="BB457" s="77" t="s">
        <v>2494</v>
      </c>
      <c r="BC457" s="77" t="s">
        <v>2494</v>
      </c>
      <c r="BD457" s="77" t="s">
        <v>2519</v>
      </c>
      <c r="BE457" s="77" t="s">
        <v>2606</v>
      </c>
      <c r="BK457" s="112" t="str">
        <f>REPLACE(INDEX(GroupVertices[Group], MATCH("~"&amp;Edges[[#This Row],[Vertex 1]],GroupVertices[Vertex],0)),1,1,"")</f>
        <v>3</v>
      </c>
      <c r="BL457" s="112" t="str">
        <f>REPLACE(INDEX(GroupVertices[Group], MATCH("~"&amp;Edges[[#This Row],[Vertex 2]],GroupVertices[Vertex],0)),1,1,"")</f>
        <v>3</v>
      </c>
    </row>
    <row r="458" spans="1:64" x14ac:dyDescent="0.25">
      <c r="A458" s="61" t="s">
        <v>398</v>
      </c>
      <c r="B458" s="61" t="s">
        <v>657</v>
      </c>
      <c r="C458" s="62"/>
      <c r="D458" s="63"/>
      <c r="E458" s="64"/>
      <c r="F458" s="65"/>
      <c r="G458" s="62"/>
      <c r="H458" s="66"/>
      <c r="I458" s="67"/>
      <c r="J458" s="67"/>
      <c r="K458" s="31"/>
      <c r="L458" s="75">
        <v>458</v>
      </c>
      <c r="M458"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58" s="69"/>
      <c r="O458" t="s">
        <v>703</v>
      </c>
      <c r="P458" s="76">
        <v>45509.547430555554</v>
      </c>
      <c r="Q458" t="s">
        <v>965</v>
      </c>
      <c r="R458" t="b">
        <v>0</v>
      </c>
      <c r="S458">
        <v>0</v>
      </c>
      <c r="T458">
        <v>0</v>
      </c>
      <c r="U458">
        <v>0</v>
      </c>
      <c r="V458">
        <v>0</v>
      </c>
      <c r="W458">
        <v>5</v>
      </c>
      <c r="AA458" t="s">
        <v>1249</v>
      </c>
      <c r="AB458" t="s">
        <v>1327</v>
      </c>
      <c r="AC458" t="s">
        <v>1359</v>
      </c>
      <c r="AD458" s="77" t="s">
        <v>1365</v>
      </c>
      <c r="AE458" t="s">
        <v>1385</v>
      </c>
      <c r="AF458" s="78" t="str">
        <f t="shared" si="3"/>
        <v>https://twitter.com/gonzalorguezm/status/1820446733467316438</v>
      </c>
      <c r="AG458" s="76">
        <v>45509.547430555554</v>
      </c>
      <c r="AH458" s="80">
        <v>45509</v>
      </c>
      <c r="AI458" s="77" t="s">
        <v>1645</v>
      </c>
      <c r="AJ458" t="b">
        <v>0</v>
      </c>
      <c r="AR458" t="s">
        <v>1840</v>
      </c>
      <c r="AW458" s="78" t="str">
        <f t="shared" si="4"/>
        <v>https://pbs.twimg.com/media/GUOGplMXgAAY_IR.jpg</v>
      </c>
      <c r="AX458" s="77" t="s">
        <v>2131</v>
      </c>
      <c r="AY458" s="77" t="s">
        <v>2340</v>
      </c>
      <c r="AZ458" s="77" t="s">
        <v>2458</v>
      </c>
      <c r="BA458" s="77" t="s">
        <v>2519</v>
      </c>
      <c r="BB458" s="77" t="s">
        <v>2494</v>
      </c>
      <c r="BC458" s="77" t="s">
        <v>2494</v>
      </c>
      <c r="BD458" s="77" t="s">
        <v>2519</v>
      </c>
      <c r="BE458" s="77" t="s">
        <v>2606</v>
      </c>
      <c r="BK458" s="112" t="str">
        <f>REPLACE(INDEX(GroupVertices[Group], MATCH("~"&amp;Edges[[#This Row],[Vertex 1]],GroupVertices[Vertex],0)),1,1,"")</f>
        <v>3</v>
      </c>
      <c r="BL458" s="112" t="str">
        <f>REPLACE(INDEX(GroupVertices[Group], MATCH("~"&amp;Edges[[#This Row],[Vertex 2]],GroupVertices[Vertex],0)),1,1,"")</f>
        <v>3</v>
      </c>
    </row>
    <row r="459" spans="1:64" x14ac:dyDescent="0.25">
      <c r="A459" s="61" t="s">
        <v>398</v>
      </c>
      <c r="B459" s="61" t="s">
        <v>658</v>
      </c>
      <c r="C459" s="62"/>
      <c r="D459" s="63"/>
      <c r="E459" s="64"/>
      <c r="F459" s="65"/>
      <c r="G459" s="62"/>
      <c r="H459" s="66"/>
      <c r="I459" s="67"/>
      <c r="J459" s="67"/>
      <c r="K459" s="31"/>
      <c r="L459" s="75">
        <v>459</v>
      </c>
      <c r="M459"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59" s="69"/>
      <c r="O459" t="s">
        <v>703</v>
      </c>
      <c r="P459" s="76">
        <v>45509.547430555554</v>
      </c>
      <c r="Q459" t="s">
        <v>965</v>
      </c>
      <c r="R459" t="b">
        <v>0</v>
      </c>
      <c r="S459">
        <v>0</v>
      </c>
      <c r="T459">
        <v>0</v>
      </c>
      <c r="U459">
        <v>0</v>
      </c>
      <c r="V459">
        <v>0</v>
      </c>
      <c r="W459">
        <v>5</v>
      </c>
      <c r="AA459" t="s">
        <v>1249</v>
      </c>
      <c r="AB459" t="s">
        <v>1327</v>
      </c>
      <c r="AC459" t="s">
        <v>1359</v>
      </c>
      <c r="AD459" s="77" t="s">
        <v>1365</v>
      </c>
      <c r="AE459" t="s">
        <v>1385</v>
      </c>
      <c r="AF459" s="78" t="str">
        <f t="shared" si="3"/>
        <v>https://twitter.com/gonzalorguezm/status/1820446733467316438</v>
      </c>
      <c r="AG459" s="76">
        <v>45509.547430555554</v>
      </c>
      <c r="AH459" s="80">
        <v>45509</v>
      </c>
      <c r="AI459" s="77" t="s">
        <v>1645</v>
      </c>
      <c r="AJ459" t="b">
        <v>0</v>
      </c>
      <c r="AR459" t="s">
        <v>1840</v>
      </c>
      <c r="AW459" s="78" t="str">
        <f t="shared" si="4"/>
        <v>https://pbs.twimg.com/media/GUOGplMXgAAY_IR.jpg</v>
      </c>
      <c r="AX459" s="77" t="s">
        <v>2131</v>
      </c>
      <c r="AY459" s="77" t="s">
        <v>2340</v>
      </c>
      <c r="AZ459" s="77" t="s">
        <v>2458</v>
      </c>
      <c r="BA459" s="77" t="s">
        <v>2519</v>
      </c>
      <c r="BB459" s="77" t="s">
        <v>2494</v>
      </c>
      <c r="BC459" s="77" t="s">
        <v>2494</v>
      </c>
      <c r="BD459" s="77" t="s">
        <v>2519</v>
      </c>
      <c r="BE459" s="77" t="s">
        <v>2606</v>
      </c>
      <c r="BK459" s="112" t="str">
        <f>REPLACE(INDEX(GroupVertices[Group], MATCH("~"&amp;Edges[[#This Row],[Vertex 1]],GroupVertices[Vertex],0)),1,1,"")</f>
        <v>3</v>
      </c>
      <c r="BL459" s="112" t="str">
        <f>REPLACE(INDEX(GroupVertices[Group], MATCH("~"&amp;Edges[[#This Row],[Vertex 2]],GroupVertices[Vertex],0)),1,1,"")</f>
        <v>3</v>
      </c>
    </row>
    <row r="460" spans="1:64" x14ac:dyDescent="0.25">
      <c r="A460" s="61" t="s">
        <v>398</v>
      </c>
      <c r="B460" s="61" t="s">
        <v>659</v>
      </c>
      <c r="C460" s="62"/>
      <c r="D460" s="63"/>
      <c r="E460" s="64"/>
      <c r="F460" s="65"/>
      <c r="G460" s="62"/>
      <c r="H460" s="66"/>
      <c r="I460" s="67"/>
      <c r="J460" s="67"/>
      <c r="K460" s="31"/>
      <c r="L460" s="75">
        <v>460</v>
      </c>
      <c r="M460"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60" s="69"/>
      <c r="O460" t="s">
        <v>703</v>
      </c>
      <c r="P460" s="76">
        <v>45509.547430555554</v>
      </c>
      <c r="Q460" t="s">
        <v>965</v>
      </c>
      <c r="R460" t="b">
        <v>0</v>
      </c>
      <c r="S460">
        <v>0</v>
      </c>
      <c r="T460">
        <v>0</v>
      </c>
      <c r="U460">
        <v>0</v>
      </c>
      <c r="V460">
        <v>0</v>
      </c>
      <c r="W460">
        <v>5</v>
      </c>
      <c r="AA460" t="s">
        <v>1249</v>
      </c>
      <c r="AB460" t="s">
        <v>1327</v>
      </c>
      <c r="AC460" t="s">
        <v>1359</v>
      </c>
      <c r="AD460" s="77" t="s">
        <v>1365</v>
      </c>
      <c r="AE460" t="s">
        <v>1385</v>
      </c>
      <c r="AF460" s="78" t="str">
        <f t="shared" si="3"/>
        <v>https://twitter.com/gonzalorguezm/status/1820446733467316438</v>
      </c>
      <c r="AG460" s="76">
        <v>45509.547430555554</v>
      </c>
      <c r="AH460" s="80">
        <v>45509</v>
      </c>
      <c r="AI460" s="77" t="s">
        <v>1645</v>
      </c>
      <c r="AJ460" t="b">
        <v>0</v>
      </c>
      <c r="AR460" t="s">
        <v>1840</v>
      </c>
      <c r="AW460" s="78" t="str">
        <f t="shared" si="4"/>
        <v>https://pbs.twimg.com/media/GUOGplMXgAAY_IR.jpg</v>
      </c>
      <c r="AX460" s="77" t="s">
        <v>2131</v>
      </c>
      <c r="AY460" s="77" t="s">
        <v>2340</v>
      </c>
      <c r="AZ460" s="77" t="s">
        <v>2458</v>
      </c>
      <c r="BA460" s="77" t="s">
        <v>2519</v>
      </c>
      <c r="BB460" s="77" t="s">
        <v>2494</v>
      </c>
      <c r="BC460" s="77" t="s">
        <v>2494</v>
      </c>
      <c r="BD460" s="77" t="s">
        <v>2519</v>
      </c>
      <c r="BE460" s="77" t="s">
        <v>2606</v>
      </c>
      <c r="BK460" s="112" t="str">
        <f>REPLACE(INDEX(GroupVertices[Group], MATCH("~"&amp;Edges[[#This Row],[Vertex 1]],GroupVertices[Vertex],0)),1,1,"")</f>
        <v>3</v>
      </c>
      <c r="BL460" s="112" t="str">
        <f>REPLACE(INDEX(GroupVertices[Group], MATCH("~"&amp;Edges[[#This Row],[Vertex 2]],GroupVertices[Vertex],0)),1,1,"")</f>
        <v>3</v>
      </c>
    </row>
    <row r="461" spans="1:64" x14ac:dyDescent="0.25">
      <c r="A461" s="61" t="s">
        <v>398</v>
      </c>
      <c r="B461" s="61" t="s">
        <v>660</v>
      </c>
      <c r="C461" s="62"/>
      <c r="D461" s="63"/>
      <c r="E461" s="64"/>
      <c r="F461" s="65"/>
      <c r="G461" s="62"/>
      <c r="H461" s="66"/>
      <c r="I461" s="67"/>
      <c r="J461" s="67"/>
      <c r="K461" s="31"/>
      <c r="L461" s="75">
        <v>461</v>
      </c>
      <c r="M461"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61" s="69"/>
      <c r="O461" t="s">
        <v>703</v>
      </c>
      <c r="P461" s="76">
        <v>45509.547430555554</v>
      </c>
      <c r="Q461" t="s">
        <v>965</v>
      </c>
      <c r="R461" t="b">
        <v>0</v>
      </c>
      <c r="S461">
        <v>0</v>
      </c>
      <c r="T461">
        <v>0</v>
      </c>
      <c r="U461">
        <v>0</v>
      </c>
      <c r="V461">
        <v>0</v>
      </c>
      <c r="W461">
        <v>5</v>
      </c>
      <c r="AA461" t="s">
        <v>1249</v>
      </c>
      <c r="AB461" t="s">
        <v>1327</v>
      </c>
      <c r="AC461" t="s">
        <v>1359</v>
      </c>
      <c r="AD461" s="77" t="s">
        <v>1365</v>
      </c>
      <c r="AE461" t="s">
        <v>1385</v>
      </c>
      <c r="AF461" s="78" t="str">
        <f t="shared" si="3"/>
        <v>https://twitter.com/gonzalorguezm/status/1820446733467316438</v>
      </c>
      <c r="AG461" s="76">
        <v>45509.547430555554</v>
      </c>
      <c r="AH461" s="80">
        <v>45509</v>
      </c>
      <c r="AI461" s="77" t="s">
        <v>1645</v>
      </c>
      <c r="AJ461" t="b">
        <v>0</v>
      </c>
      <c r="AR461" t="s">
        <v>1840</v>
      </c>
      <c r="AW461" s="78" t="str">
        <f t="shared" si="4"/>
        <v>https://pbs.twimg.com/media/GUOGplMXgAAY_IR.jpg</v>
      </c>
      <c r="AX461" s="77" t="s">
        <v>2131</v>
      </c>
      <c r="AY461" s="77" t="s">
        <v>2340</v>
      </c>
      <c r="AZ461" s="77" t="s">
        <v>2458</v>
      </c>
      <c r="BA461" s="77" t="s">
        <v>2519</v>
      </c>
      <c r="BB461" s="77" t="s">
        <v>2494</v>
      </c>
      <c r="BC461" s="77" t="s">
        <v>2494</v>
      </c>
      <c r="BD461" s="77" t="s">
        <v>2519</v>
      </c>
      <c r="BE461" s="77" t="s">
        <v>2606</v>
      </c>
      <c r="BK461" s="112" t="str">
        <f>REPLACE(INDEX(GroupVertices[Group], MATCH("~"&amp;Edges[[#This Row],[Vertex 1]],GroupVertices[Vertex],0)),1,1,"")</f>
        <v>3</v>
      </c>
      <c r="BL461" s="112" t="str">
        <f>REPLACE(INDEX(GroupVertices[Group], MATCH("~"&amp;Edges[[#This Row],[Vertex 2]],GroupVertices[Vertex],0)),1,1,"")</f>
        <v>3</v>
      </c>
    </row>
    <row r="462" spans="1:64" x14ac:dyDescent="0.25">
      <c r="A462" s="61" t="s">
        <v>398</v>
      </c>
      <c r="B462" s="61" t="s">
        <v>661</v>
      </c>
      <c r="C462" s="62"/>
      <c r="D462" s="63"/>
      <c r="E462" s="64"/>
      <c r="F462" s="65"/>
      <c r="G462" s="62"/>
      <c r="H462" s="66"/>
      <c r="I462" s="67"/>
      <c r="J462" s="67"/>
      <c r="K462" s="31"/>
      <c r="L462" s="75">
        <v>462</v>
      </c>
      <c r="M462"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62" s="69"/>
      <c r="O462" t="s">
        <v>703</v>
      </c>
      <c r="P462" s="76">
        <v>45509.547430555554</v>
      </c>
      <c r="Q462" t="s">
        <v>965</v>
      </c>
      <c r="R462" t="b">
        <v>0</v>
      </c>
      <c r="S462">
        <v>0</v>
      </c>
      <c r="T462">
        <v>0</v>
      </c>
      <c r="U462">
        <v>0</v>
      </c>
      <c r="V462">
        <v>0</v>
      </c>
      <c r="W462">
        <v>5</v>
      </c>
      <c r="AA462" t="s">
        <v>1249</v>
      </c>
      <c r="AB462" t="s">
        <v>1327</v>
      </c>
      <c r="AC462" t="s">
        <v>1359</v>
      </c>
      <c r="AD462" s="77" t="s">
        <v>1365</v>
      </c>
      <c r="AE462" t="s">
        <v>1385</v>
      </c>
      <c r="AF462" s="78" t="str">
        <f t="shared" si="3"/>
        <v>https://twitter.com/gonzalorguezm/status/1820446733467316438</v>
      </c>
      <c r="AG462" s="76">
        <v>45509.547430555554</v>
      </c>
      <c r="AH462" s="80">
        <v>45509</v>
      </c>
      <c r="AI462" s="77" t="s">
        <v>1645</v>
      </c>
      <c r="AJ462" t="b">
        <v>0</v>
      </c>
      <c r="AR462" t="s">
        <v>1840</v>
      </c>
      <c r="AW462" s="78" t="str">
        <f t="shared" si="4"/>
        <v>https://pbs.twimg.com/media/GUOGplMXgAAY_IR.jpg</v>
      </c>
      <c r="AX462" s="77" t="s">
        <v>2131</v>
      </c>
      <c r="AY462" s="77" t="s">
        <v>2340</v>
      </c>
      <c r="AZ462" s="77" t="s">
        <v>2458</v>
      </c>
      <c r="BA462" s="77" t="s">
        <v>2519</v>
      </c>
      <c r="BB462" s="77" t="s">
        <v>2494</v>
      </c>
      <c r="BC462" s="77" t="s">
        <v>2494</v>
      </c>
      <c r="BD462" s="77" t="s">
        <v>2519</v>
      </c>
      <c r="BE462" s="77" t="s">
        <v>2606</v>
      </c>
      <c r="BK462" s="112" t="str">
        <f>REPLACE(INDEX(GroupVertices[Group], MATCH("~"&amp;Edges[[#This Row],[Vertex 1]],GroupVertices[Vertex],0)),1,1,"")</f>
        <v>3</v>
      </c>
      <c r="BL462" s="112" t="str">
        <f>REPLACE(INDEX(GroupVertices[Group], MATCH("~"&amp;Edges[[#This Row],[Vertex 2]],GroupVertices[Vertex],0)),1,1,"")</f>
        <v>3</v>
      </c>
    </row>
    <row r="463" spans="1:64" x14ac:dyDescent="0.25">
      <c r="A463" s="61" t="s">
        <v>398</v>
      </c>
      <c r="B463" s="61" t="s">
        <v>662</v>
      </c>
      <c r="C463" s="62"/>
      <c r="D463" s="63"/>
      <c r="E463" s="64"/>
      <c r="F463" s="65"/>
      <c r="G463" s="62"/>
      <c r="H463" s="66"/>
      <c r="I463" s="67"/>
      <c r="J463" s="67"/>
      <c r="K463" s="31"/>
      <c r="L463" s="75">
        <v>463</v>
      </c>
      <c r="M463"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63" s="69"/>
      <c r="O463" t="s">
        <v>703</v>
      </c>
      <c r="P463" s="76">
        <v>45509.547430555554</v>
      </c>
      <c r="Q463" t="s">
        <v>965</v>
      </c>
      <c r="R463" t="b">
        <v>0</v>
      </c>
      <c r="S463">
        <v>0</v>
      </c>
      <c r="T463">
        <v>0</v>
      </c>
      <c r="U463">
        <v>0</v>
      </c>
      <c r="V463">
        <v>0</v>
      </c>
      <c r="W463">
        <v>5</v>
      </c>
      <c r="AA463" t="s">
        <v>1249</v>
      </c>
      <c r="AB463" t="s">
        <v>1327</v>
      </c>
      <c r="AC463" t="s">
        <v>1359</v>
      </c>
      <c r="AD463" s="77" t="s">
        <v>1365</v>
      </c>
      <c r="AE463" t="s">
        <v>1385</v>
      </c>
      <c r="AF463" s="78" t="str">
        <f t="shared" si="3"/>
        <v>https://twitter.com/gonzalorguezm/status/1820446733467316438</v>
      </c>
      <c r="AG463" s="76">
        <v>45509.547430555554</v>
      </c>
      <c r="AH463" s="80">
        <v>45509</v>
      </c>
      <c r="AI463" s="77" t="s">
        <v>1645</v>
      </c>
      <c r="AJ463" t="b">
        <v>0</v>
      </c>
      <c r="AR463" t="s">
        <v>1840</v>
      </c>
      <c r="AW463" s="78" t="str">
        <f t="shared" si="4"/>
        <v>https://pbs.twimg.com/media/GUOGplMXgAAY_IR.jpg</v>
      </c>
      <c r="AX463" s="77" t="s">
        <v>2131</v>
      </c>
      <c r="AY463" s="77" t="s">
        <v>2340</v>
      </c>
      <c r="AZ463" s="77" t="s">
        <v>2458</v>
      </c>
      <c r="BA463" s="77" t="s">
        <v>2519</v>
      </c>
      <c r="BB463" s="77" t="s">
        <v>2494</v>
      </c>
      <c r="BC463" s="77" t="s">
        <v>2494</v>
      </c>
      <c r="BD463" s="77" t="s">
        <v>2519</v>
      </c>
      <c r="BE463" s="77" t="s">
        <v>2606</v>
      </c>
      <c r="BK463" s="112" t="str">
        <f>REPLACE(INDEX(GroupVertices[Group], MATCH("~"&amp;Edges[[#This Row],[Vertex 1]],GroupVertices[Vertex],0)),1,1,"")</f>
        <v>3</v>
      </c>
      <c r="BL463" s="112" t="str">
        <f>REPLACE(INDEX(GroupVertices[Group], MATCH("~"&amp;Edges[[#This Row],[Vertex 2]],GroupVertices[Vertex],0)),1,1,"")</f>
        <v>3</v>
      </c>
    </row>
    <row r="464" spans="1:64" x14ac:dyDescent="0.25">
      <c r="A464" s="61" t="s">
        <v>398</v>
      </c>
      <c r="B464" s="61" t="s">
        <v>663</v>
      </c>
      <c r="C464" s="62"/>
      <c r="D464" s="63"/>
      <c r="E464" s="64"/>
      <c r="F464" s="65"/>
      <c r="G464" s="62"/>
      <c r="H464" s="66"/>
      <c r="I464" s="67"/>
      <c r="J464" s="67"/>
      <c r="K464" s="31"/>
      <c r="L464" s="75">
        <v>464</v>
      </c>
      <c r="M464"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64" s="69"/>
      <c r="O464" t="s">
        <v>701</v>
      </c>
      <c r="P464" s="76">
        <v>45509.547430555554</v>
      </c>
      <c r="Q464" t="s">
        <v>965</v>
      </c>
      <c r="R464" t="b">
        <v>0</v>
      </c>
      <c r="S464">
        <v>0</v>
      </c>
      <c r="T464">
        <v>0</v>
      </c>
      <c r="U464">
        <v>0</v>
      </c>
      <c r="V464">
        <v>0</v>
      </c>
      <c r="W464">
        <v>5</v>
      </c>
      <c r="AA464" t="s">
        <v>1249</v>
      </c>
      <c r="AB464" t="s">
        <v>1327</v>
      </c>
      <c r="AC464" t="s">
        <v>1359</v>
      </c>
      <c r="AD464" s="77" t="s">
        <v>1365</v>
      </c>
      <c r="AE464" t="s">
        <v>1385</v>
      </c>
      <c r="AF464" s="78" t="str">
        <f t="shared" si="3"/>
        <v>https://twitter.com/gonzalorguezm/status/1820446733467316438</v>
      </c>
      <c r="AG464" s="76">
        <v>45509.547430555554</v>
      </c>
      <c r="AH464" s="80">
        <v>45509</v>
      </c>
      <c r="AI464" s="77" t="s">
        <v>1645</v>
      </c>
      <c r="AJ464" t="b">
        <v>0</v>
      </c>
      <c r="AR464" t="s">
        <v>1840</v>
      </c>
      <c r="AW464" s="78" t="str">
        <f t="shared" si="4"/>
        <v>https://pbs.twimg.com/media/GUOGplMXgAAY_IR.jpg</v>
      </c>
      <c r="AX464" s="77" t="s">
        <v>2131</v>
      </c>
      <c r="AY464" s="77" t="s">
        <v>2340</v>
      </c>
      <c r="AZ464" s="77" t="s">
        <v>2458</v>
      </c>
      <c r="BA464" s="77" t="s">
        <v>2519</v>
      </c>
      <c r="BB464" s="77" t="s">
        <v>2494</v>
      </c>
      <c r="BC464" s="77" t="s">
        <v>2494</v>
      </c>
      <c r="BD464" s="77" t="s">
        <v>2519</v>
      </c>
      <c r="BE464" s="77" t="s">
        <v>2606</v>
      </c>
      <c r="BK464" s="112" t="str">
        <f>REPLACE(INDEX(GroupVertices[Group], MATCH("~"&amp;Edges[[#This Row],[Vertex 1]],GroupVertices[Vertex],0)),1,1,"")</f>
        <v>3</v>
      </c>
      <c r="BL464" s="112" t="str">
        <f>REPLACE(INDEX(GroupVertices[Group], MATCH("~"&amp;Edges[[#This Row],[Vertex 2]],GroupVertices[Vertex],0)),1,1,"")</f>
        <v>3</v>
      </c>
    </row>
    <row r="465" spans="1:64" x14ac:dyDescent="0.25">
      <c r="A465" s="61" t="s">
        <v>425</v>
      </c>
      <c r="B465" s="61" t="s">
        <v>675</v>
      </c>
      <c r="C465" s="62"/>
      <c r="D465" s="63"/>
      <c r="E465" s="64"/>
      <c r="F465" s="65"/>
      <c r="G465" s="62"/>
      <c r="H465" s="66"/>
      <c r="I465" s="67"/>
      <c r="J465" s="67"/>
      <c r="K465" s="31"/>
      <c r="L465" s="75">
        <v>465</v>
      </c>
      <c r="M465"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65" s="69"/>
      <c r="O465" t="s">
        <v>701</v>
      </c>
      <c r="P465" s="76">
        <v>45506.526863425926</v>
      </c>
      <c r="Q465" t="s">
        <v>998</v>
      </c>
      <c r="R465" t="b">
        <v>0</v>
      </c>
      <c r="S465">
        <v>0</v>
      </c>
      <c r="T465">
        <v>0</v>
      </c>
      <c r="U465">
        <v>0</v>
      </c>
      <c r="V465">
        <v>0</v>
      </c>
      <c r="W465">
        <v>5</v>
      </c>
      <c r="AA465" t="s">
        <v>675</v>
      </c>
      <c r="AD465" s="77" t="s">
        <v>1365</v>
      </c>
      <c r="AE465" t="s">
        <v>1385</v>
      </c>
      <c r="AF465" s="78" t="str">
        <f>HYPERLINK("https://twitter.com/lvillatorod/status/1819352118630748571")</f>
        <v>https://twitter.com/lvillatorod/status/1819352118630748571</v>
      </c>
      <c r="AG465" s="76">
        <v>45506.526863425926</v>
      </c>
      <c r="AH465" s="80">
        <v>45506</v>
      </c>
      <c r="AI465" s="77" t="s">
        <v>1676</v>
      </c>
      <c r="AW465" s="78" t="str">
        <f>HYPERLINK("https://pbs.twimg.com/profile_images/1568714598353715204/yMSRbyYv_normal.jpg")</f>
        <v>https://pbs.twimg.com/profile_images/1568714598353715204/yMSRbyYv_normal.jpg</v>
      </c>
      <c r="AX465" s="77" t="s">
        <v>2164</v>
      </c>
      <c r="AY465" s="77" t="s">
        <v>2347</v>
      </c>
      <c r="AZ465" s="77" t="s">
        <v>2468</v>
      </c>
      <c r="BA465" s="77" t="s">
        <v>2347</v>
      </c>
      <c r="BB465" s="77" t="s">
        <v>2494</v>
      </c>
      <c r="BC465" s="77" t="s">
        <v>2494</v>
      </c>
      <c r="BD465" s="77" t="s">
        <v>2347</v>
      </c>
      <c r="BE465" s="77" t="s">
        <v>2613</v>
      </c>
      <c r="BK465" s="112" t="str">
        <f>REPLACE(INDEX(GroupVertices[Group], MATCH("~"&amp;Edges[[#This Row],[Vertex 1]],GroupVertices[Vertex],0)),1,1,"")</f>
        <v>50</v>
      </c>
      <c r="BL465" s="112" t="str">
        <f>REPLACE(INDEX(GroupVertices[Group], MATCH("~"&amp;Edges[[#This Row],[Vertex 2]],GroupVertices[Vertex],0)),1,1,"")</f>
        <v>50</v>
      </c>
    </row>
    <row r="466" spans="1:64" x14ac:dyDescent="0.25">
      <c r="A466" s="61" t="s">
        <v>239</v>
      </c>
      <c r="B466" s="61" t="s">
        <v>506</v>
      </c>
      <c r="C466" s="62"/>
      <c r="D466" s="63"/>
      <c r="E466" s="64"/>
      <c r="F466" s="65"/>
      <c r="G466" s="62"/>
      <c r="H466" s="66"/>
      <c r="I466" s="67"/>
      <c r="J466" s="67"/>
      <c r="K466" s="31"/>
      <c r="L466" s="75">
        <v>466</v>
      </c>
      <c r="M466"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66" s="69"/>
      <c r="O466" t="s">
        <v>702</v>
      </c>
      <c r="P466" s="76">
        <v>45507.659745370373</v>
      </c>
      <c r="Q466" t="s">
        <v>722</v>
      </c>
      <c r="R466" t="b">
        <v>0</v>
      </c>
      <c r="S466">
        <v>0</v>
      </c>
      <c r="T466">
        <v>0</v>
      </c>
      <c r="U466">
        <v>0</v>
      </c>
      <c r="V466">
        <v>0</v>
      </c>
      <c r="W466">
        <v>4</v>
      </c>
      <c r="Y466" s="78" t="str">
        <f>HYPERLINK("https://www.eluniversal.com.mx/opinion/ricardo-homs/la-tombola-judicial/")</f>
        <v>https://www.eluniversal.com.mx/opinion/ricardo-homs/la-tombola-judicial/</v>
      </c>
      <c r="Z466" t="s">
        <v>1136</v>
      </c>
      <c r="AA466" t="s">
        <v>506</v>
      </c>
      <c r="AD466" s="77" t="s">
        <v>1367</v>
      </c>
      <c r="AE466" t="s">
        <v>1385</v>
      </c>
      <c r="AF466" s="78" t="str">
        <f>HYPERLINK("https://twitter.com/gdehoyos100/status/1819762660193468648")</f>
        <v>https://twitter.com/gdehoyos100/status/1819762660193468648</v>
      </c>
      <c r="AG466" s="76">
        <v>45507.659745370373</v>
      </c>
      <c r="AH466" s="80">
        <v>45507</v>
      </c>
      <c r="AI466" s="77" t="s">
        <v>1404</v>
      </c>
      <c r="AJ466" t="b">
        <v>0</v>
      </c>
      <c r="AW466" s="78" t="str">
        <f>HYPERLINK("https://pbs.twimg.com/profile_images/905960368308076544/1mOxwZ-f_normal.jpg")</f>
        <v>https://pbs.twimg.com/profile_images/905960368308076544/1mOxwZ-f_normal.jpg</v>
      </c>
      <c r="AX466" s="77" t="s">
        <v>1888</v>
      </c>
      <c r="AY466" s="77" t="s">
        <v>1888</v>
      </c>
      <c r="BA466" s="77" t="s">
        <v>2494</v>
      </c>
      <c r="BB466" s="77" t="s">
        <v>2494</v>
      </c>
      <c r="BC466" s="77" t="s">
        <v>2494</v>
      </c>
      <c r="BD466" s="77" t="s">
        <v>1888</v>
      </c>
      <c r="BE466">
        <v>939952549</v>
      </c>
      <c r="BK466" s="112" t="str">
        <f>REPLACE(INDEX(GroupVertices[Group], MATCH("~"&amp;Edges[[#This Row],[Vertex 1]],GroupVertices[Vertex],0)),1,1,"")</f>
        <v>4</v>
      </c>
      <c r="BL466" s="112" t="str">
        <f>REPLACE(INDEX(GroupVertices[Group], MATCH("~"&amp;Edges[[#This Row],[Vertex 2]],GroupVertices[Vertex],0)),1,1,"")</f>
        <v>4</v>
      </c>
    </row>
    <row r="467" spans="1:64" x14ac:dyDescent="0.25">
      <c r="A467" s="61" t="s">
        <v>292</v>
      </c>
      <c r="B467" s="61" t="s">
        <v>292</v>
      </c>
      <c r="C467" s="62"/>
      <c r="D467" s="63"/>
      <c r="E467" s="64"/>
      <c r="F467" s="65"/>
      <c r="G467" s="62"/>
      <c r="H467" s="66"/>
      <c r="I467" s="67"/>
      <c r="J467" s="67"/>
      <c r="K467" s="31"/>
      <c r="L467" s="75">
        <v>467</v>
      </c>
      <c r="M467"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67" s="69"/>
      <c r="O467" t="s">
        <v>177</v>
      </c>
      <c r="P467" s="76">
        <v>45506.767835648148</v>
      </c>
      <c r="Q467" t="s">
        <v>812</v>
      </c>
      <c r="R467" t="b">
        <v>0</v>
      </c>
      <c r="S467">
        <v>0</v>
      </c>
      <c r="T467">
        <v>0</v>
      </c>
      <c r="U467">
        <v>0</v>
      </c>
      <c r="V467">
        <v>0</v>
      </c>
      <c r="W467">
        <v>4</v>
      </c>
      <c r="X467" s="77" t="s">
        <v>1099</v>
      </c>
      <c r="Y467" s="78" t="str">
        <f>HYPERLINK("https://vm.tiktok.com/ZGe7Q3BeN/")</f>
        <v>https://vm.tiktok.com/ZGe7Q3BeN/</v>
      </c>
      <c r="Z467" t="s">
        <v>1149</v>
      </c>
      <c r="AD467" s="77" t="s">
        <v>1365</v>
      </c>
      <c r="AE467" t="s">
        <v>1385</v>
      </c>
      <c r="AF467" s="78" t="str">
        <f>HYPERLINK("https://twitter.com/atologocito1/status/1819439443087954219")</f>
        <v>https://twitter.com/atologocito1/status/1819439443087954219</v>
      </c>
      <c r="AG467" s="76">
        <v>45506.767835648148</v>
      </c>
      <c r="AH467" s="80">
        <v>45506</v>
      </c>
      <c r="AI467" s="77" t="s">
        <v>1494</v>
      </c>
      <c r="AJ467" t="b">
        <v>0</v>
      </c>
      <c r="AW467" s="78" t="str">
        <f>HYPERLINK("https://pbs.twimg.com/profile_images/1497222336470298628/AOSxZ6NT_normal.jpg")</f>
        <v>https://pbs.twimg.com/profile_images/1497222336470298628/AOSxZ6NT_normal.jpg</v>
      </c>
      <c r="AX467" s="77" t="s">
        <v>1978</v>
      </c>
      <c r="AY467" s="77" t="s">
        <v>1978</v>
      </c>
      <c r="BA467" s="77" t="s">
        <v>2494</v>
      </c>
      <c r="BB467" s="77" t="s">
        <v>2494</v>
      </c>
      <c r="BC467" s="77" t="s">
        <v>2494</v>
      </c>
      <c r="BD467" s="77" t="s">
        <v>1978</v>
      </c>
      <c r="BE467" s="77" t="s">
        <v>2565</v>
      </c>
      <c r="BK467" s="112" t="str">
        <f>REPLACE(INDEX(GroupVertices[Group], MATCH("~"&amp;Edges[[#This Row],[Vertex 1]],GroupVertices[Vertex],0)),1,1,"")</f>
        <v>13</v>
      </c>
      <c r="BL467" s="112" t="str">
        <f>REPLACE(INDEX(GroupVertices[Group], MATCH("~"&amp;Edges[[#This Row],[Vertex 2]],GroupVertices[Vertex],0)),1,1,"")</f>
        <v>13</v>
      </c>
    </row>
    <row r="468" spans="1:64" x14ac:dyDescent="0.25">
      <c r="A468" s="61" t="s">
        <v>292</v>
      </c>
      <c r="B468" s="61" t="s">
        <v>292</v>
      </c>
      <c r="C468" s="62"/>
      <c r="D468" s="63"/>
      <c r="E468" s="64"/>
      <c r="F468" s="65"/>
      <c r="G468" s="62"/>
      <c r="H468" s="66"/>
      <c r="I468" s="67"/>
      <c r="J468" s="67"/>
      <c r="K468" s="31"/>
      <c r="L468" s="75">
        <v>468</v>
      </c>
      <c r="M468"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68" s="69"/>
      <c r="O468" t="s">
        <v>177</v>
      </c>
      <c r="P468" s="76">
        <v>45506.792766203704</v>
      </c>
      <c r="Q468" t="s">
        <v>821</v>
      </c>
      <c r="R468" t="b">
        <v>0</v>
      </c>
      <c r="S468">
        <v>0</v>
      </c>
      <c r="T468">
        <v>0</v>
      </c>
      <c r="U468">
        <v>0</v>
      </c>
      <c r="V468">
        <v>0</v>
      </c>
      <c r="W468">
        <v>4</v>
      </c>
      <c r="X468" s="77" t="s">
        <v>1099</v>
      </c>
      <c r="Y468" s="78" t="str">
        <f>HYPERLINK("https://vm.tiktok.com/ZGe7CBhBr/")</f>
        <v>https://vm.tiktok.com/ZGe7CBhBr/</v>
      </c>
      <c r="Z468" t="s">
        <v>1149</v>
      </c>
      <c r="AD468" s="77" t="s">
        <v>1365</v>
      </c>
      <c r="AE468" t="s">
        <v>1385</v>
      </c>
      <c r="AF468" s="78" t="str">
        <f>HYPERLINK("https://twitter.com/atologocito1/status/1819448479879778678")</f>
        <v>https://twitter.com/atologocito1/status/1819448479879778678</v>
      </c>
      <c r="AG468" s="76">
        <v>45506.792766203704</v>
      </c>
      <c r="AH468" s="80">
        <v>45506</v>
      </c>
      <c r="AI468" s="77" t="s">
        <v>1503</v>
      </c>
      <c r="AJ468" t="b">
        <v>0</v>
      </c>
      <c r="AW468" s="78" t="str">
        <f>HYPERLINK("https://pbs.twimg.com/profile_images/1497222336470298628/AOSxZ6NT_normal.jpg")</f>
        <v>https://pbs.twimg.com/profile_images/1497222336470298628/AOSxZ6NT_normal.jpg</v>
      </c>
      <c r="AX468" s="77" t="s">
        <v>1987</v>
      </c>
      <c r="AY468" s="77" t="s">
        <v>1987</v>
      </c>
      <c r="BA468" s="77" t="s">
        <v>2494</v>
      </c>
      <c r="BB468" s="77" t="s">
        <v>2494</v>
      </c>
      <c r="BC468" s="77" t="s">
        <v>2494</v>
      </c>
      <c r="BD468" s="77" t="s">
        <v>1987</v>
      </c>
      <c r="BE468" s="77" t="s">
        <v>2565</v>
      </c>
      <c r="BK468" s="112" t="str">
        <f>REPLACE(INDEX(GroupVertices[Group], MATCH("~"&amp;Edges[[#This Row],[Vertex 1]],GroupVertices[Vertex],0)),1,1,"")</f>
        <v>13</v>
      </c>
      <c r="BL468" s="112" t="str">
        <f>REPLACE(INDEX(GroupVertices[Group], MATCH("~"&amp;Edges[[#This Row],[Vertex 2]],GroupVertices[Vertex],0)),1,1,"")</f>
        <v>13</v>
      </c>
    </row>
    <row r="469" spans="1:64" x14ac:dyDescent="0.25">
      <c r="A469" s="61" t="s">
        <v>292</v>
      </c>
      <c r="B469" s="61" t="s">
        <v>292</v>
      </c>
      <c r="C469" s="62"/>
      <c r="D469" s="63"/>
      <c r="E469" s="64"/>
      <c r="F469" s="65"/>
      <c r="G469" s="62"/>
      <c r="H469" s="66"/>
      <c r="I469" s="67"/>
      <c r="J469" s="67"/>
      <c r="K469" s="31"/>
      <c r="L469" s="75">
        <v>469</v>
      </c>
      <c r="M469"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69" s="69"/>
      <c r="O469" t="s">
        <v>177</v>
      </c>
      <c r="P469" s="76">
        <v>45506.792627314811</v>
      </c>
      <c r="Q469" t="s">
        <v>822</v>
      </c>
      <c r="R469" t="b">
        <v>0</v>
      </c>
      <c r="S469">
        <v>0</v>
      </c>
      <c r="T469">
        <v>0</v>
      </c>
      <c r="U469">
        <v>0</v>
      </c>
      <c r="V469">
        <v>0</v>
      </c>
      <c r="W469">
        <v>4</v>
      </c>
      <c r="X469" s="77" t="s">
        <v>1099</v>
      </c>
      <c r="Y469" s="78" t="str">
        <f>HYPERLINK("https://vm.tiktok.com/ZGe7CLta1/")</f>
        <v>https://vm.tiktok.com/ZGe7CLta1/</v>
      </c>
      <c r="Z469" t="s">
        <v>1149</v>
      </c>
      <c r="AD469" s="77" t="s">
        <v>1365</v>
      </c>
      <c r="AE469" t="s">
        <v>1385</v>
      </c>
      <c r="AF469" s="78" t="str">
        <f>HYPERLINK("https://twitter.com/atologocito1/status/1819448426901475690")</f>
        <v>https://twitter.com/atologocito1/status/1819448426901475690</v>
      </c>
      <c r="AG469" s="76">
        <v>45506.792627314811</v>
      </c>
      <c r="AH469" s="80">
        <v>45506</v>
      </c>
      <c r="AI469" s="77" t="s">
        <v>1504</v>
      </c>
      <c r="AJ469" t="b">
        <v>0</v>
      </c>
      <c r="AW469" s="78" t="str">
        <f>HYPERLINK("https://pbs.twimg.com/profile_images/1497222336470298628/AOSxZ6NT_normal.jpg")</f>
        <v>https://pbs.twimg.com/profile_images/1497222336470298628/AOSxZ6NT_normal.jpg</v>
      </c>
      <c r="AX469" s="77" t="s">
        <v>1988</v>
      </c>
      <c r="AY469" s="77" t="s">
        <v>1988</v>
      </c>
      <c r="BA469" s="77" t="s">
        <v>2494</v>
      </c>
      <c r="BB469" s="77" t="s">
        <v>2494</v>
      </c>
      <c r="BC469" s="77" t="s">
        <v>2494</v>
      </c>
      <c r="BD469" s="77" t="s">
        <v>1988</v>
      </c>
      <c r="BE469" s="77" t="s">
        <v>2565</v>
      </c>
      <c r="BK469" s="112" t="str">
        <f>REPLACE(INDEX(GroupVertices[Group], MATCH("~"&amp;Edges[[#This Row],[Vertex 1]],GroupVertices[Vertex],0)),1,1,"")</f>
        <v>13</v>
      </c>
      <c r="BL469" s="112" t="str">
        <f>REPLACE(INDEX(GroupVertices[Group], MATCH("~"&amp;Edges[[#This Row],[Vertex 2]],GroupVertices[Vertex],0)),1,1,"")</f>
        <v>13</v>
      </c>
    </row>
    <row r="470" spans="1:64" x14ac:dyDescent="0.25">
      <c r="A470" s="61" t="s">
        <v>292</v>
      </c>
      <c r="B470" s="61" t="s">
        <v>292</v>
      </c>
      <c r="C470" s="62"/>
      <c r="D470" s="63"/>
      <c r="E470" s="64"/>
      <c r="F470" s="65"/>
      <c r="G470" s="62"/>
      <c r="H470" s="66"/>
      <c r="I470" s="67"/>
      <c r="J470" s="67"/>
      <c r="K470" s="31"/>
      <c r="L470" s="75">
        <v>470</v>
      </c>
      <c r="M470"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70" s="69"/>
      <c r="O470" t="s">
        <v>177</v>
      </c>
      <c r="P470" s="76">
        <v>45506.756979166668</v>
      </c>
      <c r="Q470" t="s">
        <v>831</v>
      </c>
      <c r="R470" t="b">
        <v>0</v>
      </c>
      <c r="S470">
        <v>0</v>
      </c>
      <c r="T470">
        <v>0</v>
      </c>
      <c r="U470">
        <v>0</v>
      </c>
      <c r="V470">
        <v>0</v>
      </c>
      <c r="W470">
        <v>4</v>
      </c>
      <c r="X470" s="77" t="s">
        <v>1099</v>
      </c>
      <c r="Y470" s="78" t="str">
        <f>HYPERLINK("https://vm.tiktok.com/ZGe7Q3Mc2/")</f>
        <v>https://vm.tiktok.com/ZGe7Q3Mc2/</v>
      </c>
      <c r="Z470" t="s">
        <v>1149</v>
      </c>
      <c r="AD470" s="77" t="s">
        <v>1365</v>
      </c>
      <c r="AE470" t="s">
        <v>1385</v>
      </c>
      <c r="AF470" s="78" t="str">
        <f>HYPERLINK("https://twitter.com/atologocito1/status/1819435507639599273")</f>
        <v>https://twitter.com/atologocito1/status/1819435507639599273</v>
      </c>
      <c r="AG470" s="76">
        <v>45506.756979166668</v>
      </c>
      <c r="AH470" s="80">
        <v>45506</v>
      </c>
      <c r="AI470" s="77" t="s">
        <v>1513</v>
      </c>
      <c r="AJ470" t="b">
        <v>0</v>
      </c>
      <c r="AW470" s="78" t="str">
        <f>HYPERLINK("https://pbs.twimg.com/profile_images/1497222336470298628/AOSxZ6NT_normal.jpg")</f>
        <v>https://pbs.twimg.com/profile_images/1497222336470298628/AOSxZ6NT_normal.jpg</v>
      </c>
      <c r="AX470" s="77" t="s">
        <v>1997</v>
      </c>
      <c r="AY470" s="77" t="s">
        <v>1997</v>
      </c>
      <c r="BA470" s="77" t="s">
        <v>2494</v>
      </c>
      <c r="BB470" s="77" t="s">
        <v>2494</v>
      </c>
      <c r="BC470" s="77" t="s">
        <v>2494</v>
      </c>
      <c r="BD470" s="77" t="s">
        <v>1997</v>
      </c>
      <c r="BE470" s="77" t="s">
        <v>2565</v>
      </c>
      <c r="BK470" s="112" t="str">
        <f>REPLACE(INDEX(GroupVertices[Group], MATCH("~"&amp;Edges[[#This Row],[Vertex 1]],GroupVertices[Vertex],0)),1,1,"")</f>
        <v>13</v>
      </c>
      <c r="BL470" s="112" t="str">
        <f>REPLACE(INDEX(GroupVertices[Group], MATCH("~"&amp;Edges[[#This Row],[Vertex 2]],GroupVertices[Vertex],0)),1,1,"")</f>
        <v>13</v>
      </c>
    </row>
    <row r="471" spans="1:64" x14ac:dyDescent="0.25">
      <c r="A471" s="61" t="s">
        <v>339</v>
      </c>
      <c r="B471" s="61" t="s">
        <v>614</v>
      </c>
      <c r="C471" s="62"/>
      <c r="D471" s="63"/>
      <c r="E471" s="64"/>
      <c r="F471" s="65"/>
      <c r="G471" s="62"/>
      <c r="H471" s="66"/>
      <c r="I471" s="67"/>
      <c r="J471" s="67"/>
      <c r="K471" s="31"/>
      <c r="L471" s="75">
        <v>471</v>
      </c>
      <c r="M471"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71" s="69"/>
      <c r="O471" t="s">
        <v>701</v>
      </c>
      <c r="P471" s="76">
        <v>45507.513298611113</v>
      </c>
      <c r="Q471" t="s">
        <v>898</v>
      </c>
      <c r="R471" t="b">
        <v>0</v>
      </c>
      <c r="S471">
        <v>0</v>
      </c>
      <c r="T471">
        <v>0</v>
      </c>
      <c r="U471">
        <v>0</v>
      </c>
      <c r="V471">
        <v>0</v>
      </c>
      <c r="W471">
        <v>4</v>
      </c>
      <c r="AA471" t="s">
        <v>614</v>
      </c>
      <c r="AD471" s="77" t="s">
        <v>1365</v>
      </c>
      <c r="AE471" t="s">
        <v>1385</v>
      </c>
      <c r="AF471" s="78" t="str">
        <f>HYPERLINK("https://twitter.com/jmcacuariano/status/1819709591568982304")</f>
        <v>https://twitter.com/jmcacuariano/status/1819709591568982304</v>
      </c>
      <c r="AG471" s="76">
        <v>45507.513298611113</v>
      </c>
      <c r="AH471" s="80">
        <v>45507</v>
      </c>
      <c r="AI471" s="77" t="s">
        <v>1578</v>
      </c>
      <c r="AW471" s="78" t="str">
        <f>HYPERLINK("https://pbs.twimg.com/profile_images/1291768621744758785/sXni3GH6_normal.jpg")</f>
        <v>https://pbs.twimg.com/profile_images/1291768621744758785/sXni3GH6_normal.jpg</v>
      </c>
      <c r="AX471" s="77" t="s">
        <v>2064</v>
      </c>
      <c r="AY471" s="77" t="s">
        <v>2314</v>
      </c>
      <c r="AZ471" s="77" t="s">
        <v>2433</v>
      </c>
      <c r="BA471" s="77" t="s">
        <v>2314</v>
      </c>
      <c r="BB471" s="77" t="s">
        <v>2494</v>
      </c>
      <c r="BC471" s="77" t="s">
        <v>2494</v>
      </c>
      <c r="BD471" s="77" t="s">
        <v>2314</v>
      </c>
      <c r="BE471">
        <v>3563779095</v>
      </c>
      <c r="BK471" s="112" t="str">
        <f>REPLACE(INDEX(GroupVertices[Group], MATCH("~"&amp;Edges[[#This Row],[Vertex 1]],GroupVertices[Vertex],0)),1,1,"")</f>
        <v>49</v>
      </c>
      <c r="BL471" s="112" t="str">
        <f>REPLACE(INDEX(GroupVertices[Group], MATCH("~"&amp;Edges[[#This Row],[Vertex 2]],GroupVertices[Vertex],0)),1,1,"")</f>
        <v>49</v>
      </c>
    </row>
    <row r="472" spans="1:64" x14ac:dyDescent="0.25">
      <c r="A472" s="61" t="s">
        <v>244</v>
      </c>
      <c r="B472" s="61" t="s">
        <v>523</v>
      </c>
      <c r="C472" s="62"/>
      <c r="D472" s="63"/>
      <c r="E472" s="64"/>
      <c r="F472" s="65"/>
      <c r="G472" s="62"/>
      <c r="H472" s="66"/>
      <c r="I472" s="67"/>
      <c r="J472" s="67"/>
      <c r="K472" s="31"/>
      <c r="L472" s="75">
        <v>472</v>
      </c>
      <c r="M472"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72" s="69"/>
      <c r="O472" t="s">
        <v>703</v>
      </c>
      <c r="P472" s="76">
        <v>45508.326736111114</v>
      </c>
      <c r="Q472" t="s">
        <v>728</v>
      </c>
      <c r="R472" t="b">
        <v>0</v>
      </c>
      <c r="S472">
        <v>0</v>
      </c>
      <c r="T472">
        <v>0</v>
      </c>
      <c r="U472">
        <v>0</v>
      </c>
      <c r="V472">
        <v>0</v>
      </c>
      <c r="W472">
        <v>3</v>
      </c>
      <c r="Y472" s="78" t="str">
        <f>HYPERLINK("https://www.eluniversal.com.mx/opinion/ricardo-homs/la-tombola-judicial/")</f>
        <v>https://www.eluniversal.com.mx/opinion/ricardo-homs/la-tombola-judicial/</v>
      </c>
      <c r="Z472" t="s">
        <v>1136</v>
      </c>
      <c r="AA472" t="s">
        <v>1213</v>
      </c>
      <c r="AD472" s="77" t="s">
        <v>1367</v>
      </c>
      <c r="AE472" t="s">
        <v>1385</v>
      </c>
      <c r="AF472" s="78" t="str">
        <f>HYPERLINK("https://twitter.com/mario68610623/status/1820004369649078450")</f>
        <v>https://twitter.com/mario68610623/status/1820004369649078450</v>
      </c>
      <c r="AG472" s="76">
        <v>45508.326736111114</v>
      </c>
      <c r="AH472" s="80">
        <v>45508</v>
      </c>
      <c r="AI472" s="77" t="s">
        <v>1410</v>
      </c>
      <c r="AJ472" t="b">
        <v>0</v>
      </c>
      <c r="AW472" s="78" t="str">
        <f>HYPERLINK("https://pbs.twimg.com/profile_images/1341850009319444481/PaXybh5p_normal.jpg")</f>
        <v>https://pbs.twimg.com/profile_images/1341850009319444481/PaXybh5p_normal.jpg</v>
      </c>
      <c r="AX472" s="77" t="s">
        <v>1894</v>
      </c>
      <c r="AY472" s="77" t="s">
        <v>2265</v>
      </c>
      <c r="AZ472" s="77" t="s">
        <v>2379</v>
      </c>
      <c r="BA472" s="77" t="s">
        <v>2265</v>
      </c>
      <c r="BB472" s="77" t="s">
        <v>2494</v>
      </c>
      <c r="BC472" s="77" t="s">
        <v>2494</v>
      </c>
      <c r="BD472" s="77" t="s">
        <v>2265</v>
      </c>
      <c r="BE472" s="77" t="s">
        <v>2541</v>
      </c>
      <c r="BK472" s="112" t="str">
        <f>REPLACE(INDEX(GroupVertices[Group], MATCH("~"&amp;Edges[[#This Row],[Vertex 1]],GroupVertices[Vertex],0)),1,1,"")</f>
        <v>10</v>
      </c>
      <c r="BL472" s="112" t="str">
        <f>REPLACE(INDEX(GroupVertices[Group], MATCH("~"&amp;Edges[[#This Row],[Vertex 2]],GroupVertices[Vertex],0)),1,1,"")</f>
        <v>10</v>
      </c>
    </row>
    <row r="473" spans="1:64" x14ac:dyDescent="0.25">
      <c r="A473" s="61" t="s">
        <v>244</v>
      </c>
      <c r="B473" s="61" t="s">
        <v>524</v>
      </c>
      <c r="C473" s="62"/>
      <c r="D473" s="63"/>
      <c r="E473" s="64"/>
      <c r="F473" s="65"/>
      <c r="G473" s="62"/>
      <c r="H473" s="66"/>
      <c r="I473" s="67"/>
      <c r="J473" s="67"/>
      <c r="K473" s="31"/>
      <c r="L473" s="75">
        <v>473</v>
      </c>
      <c r="M473"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73" s="69"/>
      <c r="O473" t="s">
        <v>701</v>
      </c>
      <c r="P473" s="76">
        <v>45508.326736111114</v>
      </c>
      <c r="Q473" t="s">
        <v>728</v>
      </c>
      <c r="R473" t="b">
        <v>0</v>
      </c>
      <c r="S473">
        <v>0</v>
      </c>
      <c r="T473">
        <v>0</v>
      </c>
      <c r="U473">
        <v>0</v>
      </c>
      <c r="V473">
        <v>0</v>
      </c>
      <c r="W473">
        <v>3</v>
      </c>
      <c r="Y473" s="78" t="str">
        <f>HYPERLINK("https://www.eluniversal.com.mx/opinion/ricardo-homs/la-tombola-judicial/")</f>
        <v>https://www.eluniversal.com.mx/opinion/ricardo-homs/la-tombola-judicial/</v>
      </c>
      <c r="Z473" t="s">
        <v>1136</v>
      </c>
      <c r="AA473" t="s">
        <v>1213</v>
      </c>
      <c r="AD473" s="77" t="s">
        <v>1367</v>
      </c>
      <c r="AE473" t="s">
        <v>1385</v>
      </c>
      <c r="AF473" s="78" t="str">
        <f>HYPERLINK("https://twitter.com/mario68610623/status/1820004369649078450")</f>
        <v>https://twitter.com/mario68610623/status/1820004369649078450</v>
      </c>
      <c r="AG473" s="76">
        <v>45508.326736111114</v>
      </c>
      <c r="AH473" s="80">
        <v>45508</v>
      </c>
      <c r="AI473" s="77" t="s">
        <v>1410</v>
      </c>
      <c r="AJ473" t="b">
        <v>0</v>
      </c>
      <c r="AW473" s="78" t="str">
        <f>HYPERLINK("https://pbs.twimg.com/profile_images/1341850009319444481/PaXybh5p_normal.jpg")</f>
        <v>https://pbs.twimg.com/profile_images/1341850009319444481/PaXybh5p_normal.jpg</v>
      </c>
      <c r="AX473" s="77" t="s">
        <v>1894</v>
      </c>
      <c r="AY473" s="77" t="s">
        <v>2265</v>
      </c>
      <c r="AZ473" s="77" t="s">
        <v>2379</v>
      </c>
      <c r="BA473" s="77" t="s">
        <v>2265</v>
      </c>
      <c r="BB473" s="77" t="s">
        <v>2494</v>
      </c>
      <c r="BC473" s="77" t="s">
        <v>2494</v>
      </c>
      <c r="BD473" s="77" t="s">
        <v>2265</v>
      </c>
      <c r="BE473" s="77" t="s">
        <v>2541</v>
      </c>
      <c r="BK473" s="112" t="str">
        <f>REPLACE(INDEX(GroupVertices[Group], MATCH("~"&amp;Edges[[#This Row],[Vertex 1]],GroupVertices[Vertex],0)),1,1,"")</f>
        <v>10</v>
      </c>
      <c r="BL473" s="112" t="str">
        <f>REPLACE(INDEX(GroupVertices[Group], MATCH("~"&amp;Edges[[#This Row],[Vertex 2]],GroupVertices[Vertex],0)),1,1,"")</f>
        <v>10</v>
      </c>
    </row>
    <row r="474" spans="1:64" x14ac:dyDescent="0.25">
      <c r="A474" s="61" t="s">
        <v>295</v>
      </c>
      <c r="B474" s="61" t="s">
        <v>516</v>
      </c>
      <c r="C474" s="62"/>
      <c r="D474" s="63"/>
      <c r="E474" s="64"/>
      <c r="F474" s="65"/>
      <c r="G474" s="62"/>
      <c r="H474" s="66"/>
      <c r="I474" s="67"/>
      <c r="J474" s="67"/>
      <c r="K474" s="31"/>
      <c r="L474" s="75">
        <v>474</v>
      </c>
      <c r="M474"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74" s="69"/>
      <c r="O474" t="s">
        <v>703</v>
      </c>
      <c r="P474" s="76">
        <v>45505.761435185188</v>
      </c>
      <c r="Q474" t="s">
        <v>838</v>
      </c>
      <c r="R474" t="b">
        <v>0</v>
      </c>
      <c r="S474">
        <v>0</v>
      </c>
      <c r="T474">
        <v>0</v>
      </c>
      <c r="U474">
        <v>0</v>
      </c>
      <c r="V474">
        <v>0</v>
      </c>
      <c r="W474">
        <v>3</v>
      </c>
      <c r="AA474" t="s">
        <v>1217</v>
      </c>
      <c r="AD474" s="77" t="s">
        <v>1365</v>
      </c>
      <c r="AE474" t="s">
        <v>1385</v>
      </c>
      <c r="AF474" s="78" t="str">
        <f>HYPERLINK("https://twitter.com/salgado1mauro/status/1819074737680564469")</f>
        <v>https://twitter.com/salgado1mauro/status/1819074737680564469</v>
      </c>
      <c r="AG474" s="76">
        <v>45505.761435185188</v>
      </c>
      <c r="AH474" s="80">
        <v>45505</v>
      </c>
      <c r="AI474" s="77" t="s">
        <v>1520</v>
      </c>
      <c r="AW474" s="78" t="str">
        <f>HYPERLINK("https://pbs.twimg.com/profile_images/1440789113758633984/7db7o4-z_normal.jpg")</f>
        <v>https://pbs.twimg.com/profile_images/1440789113758633984/7db7o4-z_normal.jpg</v>
      </c>
      <c r="AX474" s="77" t="s">
        <v>2004</v>
      </c>
      <c r="AY474" s="77" t="s">
        <v>2276</v>
      </c>
      <c r="AZ474" s="77" t="s">
        <v>2390</v>
      </c>
      <c r="BA474" s="77" t="s">
        <v>2276</v>
      </c>
      <c r="BB474" s="77" t="s">
        <v>2494</v>
      </c>
      <c r="BC474" s="77" t="s">
        <v>2494</v>
      </c>
      <c r="BD474" s="77" t="s">
        <v>2276</v>
      </c>
      <c r="BE474">
        <v>1340756958</v>
      </c>
      <c r="BK474" s="112" t="str">
        <f>REPLACE(INDEX(GroupVertices[Group], MATCH("~"&amp;Edges[[#This Row],[Vertex 1]],GroupVertices[Vertex],0)),1,1,"")</f>
        <v>6</v>
      </c>
      <c r="BL474" s="112" t="str">
        <f>REPLACE(INDEX(GroupVertices[Group], MATCH("~"&amp;Edges[[#This Row],[Vertex 2]],GroupVertices[Vertex],0)),1,1,"")</f>
        <v>6</v>
      </c>
    </row>
    <row r="475" spans="1:64" x14ac:dyDescent="0.25">
      <c r="A475" s="61" t="s">
        <v>295</v>
      </c>
      <c r="B475" s="61" t="s">
        <v>539</v>
      </c>
      <c r="C475" s="62"/>
      <c r="D475" s="63"/>
      <c r="E475" s="64"/>
      <c r="F475" s="65"/>
      <c r="G475" s="62"/>
      <c r="H475" s="66"/>
      <c r="I475" s="67"/>
      <c r="J475" s="67"/>
      <c r="K475" s="31"/>
      <c r="L475" s="75">
        <v>475</v>
      </c>
      <c r="M475"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75" s="69"/>
      <c r="O475" t="s">
        <v>701</v>
      </c>
      <c r="P475" s="76">
        <v>45505.761435185188</v>
      </c>
      <c r="Q475" t="s">
        <v>838</v>
      </c>
      <c r="R475" t="b">
        <v>0</v>
      </c>
      <c r="S475">
        <v>0</v>
      </c>
      <c r="T475">
        <v>0</v>
      </c>
      <c r="U475">
        <v>0</v>
      </c>
      <c r="V475">
        <v>0</v>
      </c>
      <c r="W475">
        <v>3</v>
      </c>
      <c r="AA475" t="s">
        <v>1217</v>
      </c>
      <c r="AD475" s="77" t="s">
        <v>1365</v>
      </c>
      <c r="AE475" t="s">
        <v>1385</v>
      </c>
      <c r="AF475" s="78" t="str">
        <f>HYPERLINK("https://twitter.com/salgado1mauro/status/1819074737680564469")</f>
        <v>https://twitter.com/salgado1mauro/status/1819074737680564469</v>
      </c>
      <c r="AG475" s="76">
        <v>45505.761435185188</v>
      </c>
      <c r="AH475" s="80">
        <v>45505</v>
      </c>
      <c r="AI475" s="77" t="s">
        <v>1520</v>
      </c>
      <c r="AW475" s="78" t="str">
        <f>HYPERLINK("https://pbs.twimg.com/profile_images/1440789113758633984/7db7o4-z_normal.jpg")</f>
        <v>https://pbs.twimg.com/profile_images/1440789113758633984/7db7o4-z_normal.jpg</v>
      </c>
      <c r="AX475" s="77" t="s">
        <v>2004</v>
      </c>
      <c r="AY475" s="77" t="s">
        <v>2276</v>
      </c>
      <c r="AZ475" s="77" t="s">
        <v>2390</v>
      </c>
      <c r="BA475" s="77" t="s">
        <v>2276</v>
      </c>
      <c r="BB475" s="77" t="s">
        <v>2494</v>
      </c>
      <c r="BC475" s="77" t="s">
        <v>2494</v>
      </c>
      <c r="BD475" s="77" t="s">
        <v>2276</v>
      </c>
      <c r="BE475">
        <v>1340756958</v>
      </c>
      <c r="BK475" s="112" t="str">
        <f>REPLACE(INDEX(GroupVertices[Group], MATCH("~"&amp;Edges[[#This Row],[Vertex 1]],GroupVertices[Vertex],0)),1,1,"")</f>
        <v>6</v>
      </c>
      <c r="BL475" s="112" t="str">
        <f>REPLACE(INDEX(GroupVertices[Group], MATCH("~"&amp;Edges[[#This Row],[Vertex 2]],GroupVertices[Vertex],0)),1,1,"")</f>
        <v>6</v>
      </c>
    </row>
    <row r="476" spans="1:64" x14ac:dyDescent="0.25">
      <c r="A476" s="61" t="s">
        <v>307</v>
      </c>
      <c r="B476" s="61" t="s">
        <v>588</v>
      </c>
      <c r="C476" s="62"/>
      <c r="D476" s="63"/>
      <c r="E476" s="64"/>
      <c r="F476" s="65"/>
      <c r="G476" s="62"/>
      <c r="H476" s="66"/>
      <c r="I476" s="67"/>
      <c r="J476" s="67"/>
      <c r="K476" s="31"/>
      <c r="L476" s="75">
        <v>476</v>
      </c>
      <c r="M476"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76" s="69"/>
      <c r="O476" t="s">
        <v>702</v>
      </c>
      <c r="P476" s="76">
        <v>45507.52716435185</v>
      </c>
      <c r="Q476" t="s">
        <v>857</v>
      </c>
      <c r="R476" t="b">
        <v>0</v>
      </c>
      <c r="S476">
        <v>0</v>
      </c>
      <c r="T476">
        <v>0</v>
      </c>
      <c r="U476">
        <v>0</v>
      </c>
      <c r="V476">
        <v>0</v>
      </c>
      <c r="W476">
        <v>3</v>
      </c>
      <c r="AA476" t="s">
        <v>588</v>
      </c>
      <c r="AB476" t="s">
        <v>1289</v>
      </c>
      <c r="AC476" t="s">
        <v>1359</v>
      </c>
      <c r="AD476" s="77" t="s">
        <v>1365</v>
      </c>
      <c r="AE476" t="s">
        <v>1385</v>
      </c>
      <c r="AF476" s="78" t="str">
        <f>HYPERLINK("https://twitter.com/vjelias/status/1819714614914929047")</f>
        <v>https://twitter.com/vjelias/status/1819714614914929047</v>
      </c>
      <c r="AG476" s="76">
        <v>45507.52716435185</v>
      </c>
      <c r="AH476" s="80">
        <v>45507</v>
      </c>
      <c r="AI476" s="77" t="s">
        <v>1538</v>
      </c>
      <c r="AJ476" t="b">
        <v>0</v>
      </c>
      <c r="AR476" t="s">
        <v>1802</v>
      </c>
      <c r="AW476" s="78" t="str">
        <f>HYPERLINK("https://pbs.twimg.com/media/GUDsyArW0AAfd-u.jpg")</f>
        <v>https://pbs.twimg.com/media/GUDsyArW0AAfd-u.jpg</v>
      </c>
      <c r="AX476" s="77" t="s">
        <v>2023</v>
      </c>
      <c r="AY476" s="77" t="s">
        <v>2023</v>
      </c>
      <c r="AZ476" s="77" t="s">
        <v>2422</v>
      </c>
      <c r="BA476" s="77" t="s">
        <v>2494</v>
      </c>
      <c r="BB476" s="77" t="s">
        <v>2494</v>
      </c>
      <c r="BC476" s="77" t="s">
        <v>2494</v>
      </c>
      <c r="BD476" s="77" t="s">
        <v>2023</v>
      </c>
      <c r="BE476">
        <v>116976626</v>
      </c>
      <c r="BK476" s="112" t="str">
        <f>REPLACE(INDEX(GroupVertices[Group], MATCH("~"&amp;Edges[[#This Row],[Vertex 1]],GroupVertices[Vertex],0)),1,1,"")</f>
        <v>48</v>
      </c>
      <c r="BL476" s="112" t="str">
        <f>REPLACE(INDEX(GroupVertices[Group], MATCH("~"&amp;Edges[[#This Row],[Vertex 2]],GroupVertices[Vertex],0)),1,1,"")</f>
        <v>48</v>
      </c>
    </row>
    <row r="477" spans="1:64" x14ac:dyDescent="0.25">
      <c r="A477" s="61" t="s">
        <v>346</v>
      </c>
      <c r="B477" s="61" t="s">
        <v>618</v>
      </c>
      <c r="C477" s="62"/>
      <c r="D477" s="63"/>
      <c r="E477" s="64"/>
      <c r="F477" s="65"/>
      <c r="G477" s="62"/>
      <c r="H477" s="66"/>
      <c r="I477" s="67"/>
      <c r="J477" s="67"/>
      <c r="K477" s="31"/>
      <c r="L477" s="75">
        <v>477</v>
      </c>
      <c r="M477"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77" s="69"/>
      <c r="O477" t="s">
        <v>701</v>
      </c>
      <c r="P477" s="76">
        <v>45510.522256944445</v>
      </c>
      <c r="Q477" t="s">
        <v>906</v>
      </c>
      <c r="R477" t="b">
        <v>0</v>
      </c>
      <c r="S477">
        <v>0</v>
      </c>
      <c r="T477">
        <v>0</v>
      </c>
      <c r="U477">
        <v>0</v>
      </c>
      <c r="V477">
        <v>0</v>
      </c>
      <c r="W477">
        <v>3</v>
      </c>
      <c r="AA477" t="s">
        <v>618</v>
      </c>
      <c r="AD477" s="77" t="s">
        <v>1365</v>
      </c>
      <c r="AE477" t="s">
        <v>1385</v>
      </c>
      <c r="AF477" s="78" t="str">
        <f>HYPERLINK("https://twitter.com/paulagutierreze/status/1820800000445616202")</f>
        <v>https://twitter.com/paulagutierreze/status/1820800000445616202</v>
      </c>
      <c r="AG477" s="76">
        <v>45510.522256944445</v>
      </c>
      <c r="AH477" s="80">
        <v>45510</v>
      </c>
      <c r="AI477" s="77" t="s">
        <v>1586</v>
      </c>
      <c r="AW477" s="78" t="str">
        <f>HYPERLINK("https://pbs.twimg.com/profile_images/1749224352237645824/GKb77_bn_normal.jpg")</f>
        <v>https://pbs.twimg.com/profile_images/1749224352237645824/GKb77_bn_normal.jpg</v>
      </c>
      <c r="AX477" s="77" t="s">
        <v>2072</v>
      </c>
      <c r="AY477" s="77" t="s">
        <v>2317</v>
      </c>
      <c r="AZ477" s="77" t="s">
        <v>2436</v>
      </c>
      <c r="BA477" s="77" t="s">
        <v>2317</v>
      </c>
      <c r="BB477" s="77" t="s">
        <v>2494</v>
      </c>
      <c r="BC477" s="77" t="s">
        <v>2494</v>
      </c>
      <c r="BD477" s="77" t="s">
        <v>2317</v>
      </c>
      <c r="BE477">
        <v>516934570</v>
      </c>
      <c r="BK477" s="112" t="str">
        <f>REPLACE(INDEX(GroupVertices[Group], MATCH("~"&amp;Edges[[#This Row],[Vertex 1]],GroupVertices[Vertex],0)),1,1,"")</f>
        <v>47</v>
      </c>
      <c r="BL477" s="112" t="str">
        <f>REPLACE(INDEX(GroupVertices[Group], MATCH("~"&amp;Edges[[#This Row],[Vertex 2]],GroupVertices[Vertex],0)),1,1,"")</f>
        <v>47</v>
      </c>
    </row>
    <row r="478" spans="1:64" x14ac:dyDescent="0.25">
      <c r="A478" s="61" t="s">
        <v>373</v>
      </c>
      <c r="B478" s="61" t="s">
        <v>629</v>
      </c>
      <c r="C478" s="62"/>
      <c r="D478" s="63"/>
      <c r="E478" s="64"/>
      <c r="F478" s="65"/>
      <c r="G478" s="62"/>
      <c r="H478" s="66"/>
      <c r="I478" s="67"/>
      <c r="J478" s="67"/>
      <c r="K478" s="31"/>
      <c r="L478" s="75">
        <v>478</v>
      </c>
      <c r="M478"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78" s="69"/>
      <c r="O478" t="s">
        <v>703</v>
      </c>
      <c r="P478" s="76">
        <v>45505.91</v>
      </c>
      <c r="Q478" t="s">
        <v>937</v>
      </c>
      <c r="R478" t="b">
        <v>0</v>
      </c>
      <c r="S478">
        <v>0</v>
      </c>
      <c r="T478">
        <v>0</v>
      </c>
      <c r="U478">
        <v>0</v>
      </c>
      <c r="V478">
        <v>0</v>
      </c>
      <c r="W478">
        <v>3</v>
      </c>
      <c r="AA478" t="s">
        <v>1242</v>
      </c>
      <c r="AD478" s="77" t="s">
        <v>1365</v>
      </c>
      <c r="AE478" t="s">
        <v>1385</v>
      </c>
      <c r="AF478" s="78" t="str">
        <f>HYPERLINK("https://twitter.com/mjoseabad1/status/1819128572474269804")</f>
        <v>https://twitter.com/mjoseabad1/status/1819128572474269804</v>
      </c>
      <c r="AG478" s="76">
        <v>45505.91</v>
      </c>
      <c r="AH478" s="80">
        <v>45505</v>
      </c>
      <c r="AI478" s="77" t="s">
        <v>1617</v>
      </c>
      <c r="AW478" s="78" t="str">
        <f>HYPERLINK("https://pbs.twimg.com/profile_images/1786446168077000704/mysFHcV0_normal.jpg")</f>
        <v>https://pbs.twimg.com/profile_images/1786446168077000704/mysFHcV0_normal.jpg</v>
      </c>
      <c r="AX478" s="77" t="s">
        <v>2103</v>
      </c>
      <c r="AY478" s="77" t="s">
        <v>2324</v>
      </c>
      <c r="AZ478" s="77" t="s">
        <v>2443</v>
      </c>
      <c r="BA478" s="77" t="s">
        <v>2514</v>
      </c>
      <c r="BB478" s="77" t="s">
        <v>2494</v>
      </c>
      <c r="BC478" s="77" t="s">
        <v>2494</v>
      </c>
      <c r="BD478" s="77" t="s">
        <v>2514</v>
      </c>
      <c r="BE478" s="77" t="s">
        <v>2595</v>
      </c>
      <c r="BK478" s="112" t="str">
        <f>REPLACE(INDEX(GroupVertices[Group], MATCH("~"&amp;Edges[[#This Row],[Vertex 1]],GroupVertices[Vertex],0)),1,1,"")</f>
        <v>11</v>
      </c>
      <c r="BL478" s="112" t="str">
        <f>REPLACE(INDEX(GroupVertices[Group], MATCH("~"&amp;Edges[[#This Row],[Vertex 2]],GroupVertices[Vertex],0)),1,1,"")</f>
        <v>11</v>
      </c>
    </row>
    <row r="479" spans="1:64" x14ac:dyDescent="0.25">
      <c r="A479" s="61" t="s">
        <v>373</v>
      </c>
      <c r="B479" s="61" t="s">
        <v>630</v>
      </c>
      <c r="C479" s="62"/>
      <c r="D479" s="63"/>
      <c r="E479" s="64"/>
      <c r="F479" s="65"/>
      <c r="G479" s="62"/>
      <c r="H479" s="66"/>
      <c r="I479" s="67"/>
      <c r="J479" s="67"/>
      <c r="K479" s="31"/>
      <c r="L479" s="75">
        <v>479</v>
      </c>
      <c r="M479"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79" s="69"/>
      <c r="O479" t="s">
        <v>701</v>
      </c>
      <c r="P479" s="76">
        <v>45505.91</v>
      </c>
      <c r="Q479" t="s">
        <v>937</v>
      </c>
      <c r="R479" t="b">
        <v>0</v>
      </c>
      <c r="S479">
        <v>0</v>
      </c>
      <c r="T479">
        <v>0</v>
      </c>
      <c r="U479">
        <v>0</v>
      </c>
      <c r="V479">
        <v>0</v>
      </c>
      <c r="W479">
        <v>3</v>
      </c>
      <c r="AA479" t="s">
        <v>1242</v>
      </c>
      <c r="AD479" s="77" t="s">
        <v>1365</v>
      </c>
      <c r="AE479" t="s">
        <v>1385</v>
      </c>
      <c r="AF479" s="78" t="str">
        <f>HYPERLINK("https://twitter.com/mjoseabad1/status/1819128572474269804")</f>
        <v>https://twitter.com/mjoseabad1/status/1819128572474269804</v>
      </c>
      <c r="AG479" s="76">
        <v>45505.91</v>
      </c>
      <c r="AH479" s="80">
        <v>45505</v>
      </c>
      <c r="AI479" s="77" t="s">
        <v>1617</v>
      </c>
      <c r="AW479" s="78" t="str">
        <f>HYPERLINK("https://pbs.twimg.com/profile_images/1786446168077000704/mysFHcV0_normal.jpg")</f>
        <v>https://pbs.twimg.com/profile_images/1786446168077000704/mysFHcV0_normal.jpg</v>
      </c>
      <c r="AX479" s="77" t="s">
        <v>2103</v>
      </c>
      <c r="AY479" s="77" t="s">
        <v>2324</v>
      </c>
      <c r="AZ479" s="77" t="s">
        <v>2443</v>
      </c>
      <c r="BA479" s="77" t="s">
        <v>2514</v>
      </c>
      <c r="BB479" s="77" t="s">
        <v>2494</v>
      </c>
      <c r="BC479" s="77" t="s">
        <v>2494</v>
      </c>
      <c r="BD479" s="77" t="s">
        <v>2514</v>
      </c>
      <c r="BE479" s="77" t="s">
        <v>2595</v>
      </c>
      <c r="BK479" s="112" t="str">
        <f>REPLACE(INDEX(GroupVertices[Group], MATCH("~"&amp;Edges[[#This Row],[Vertex 1]],GroupVertices[Vertex],0)),1,1,"")</f>
        <v>11</v>
      </c>
      <c r="BL479" s="112" t="str">
        <f>REPLACE(INDEX(GroupVertices[Group], MATCH("~"&amp;Edges[[#This Row],[Vertex 2]],GroupVertices[Vertex],0)),1,1,"")</f>
        <v>11</v>
      </c>
    </row>
    <row r="480" spans="1:64" x14ac:dyDescent="0.25">
      <c r="A480" s="61" t="s">
        <v>440</v>
      </c>
      <c r="B480" s="61" t="s">
        <v>677</v>
      </c>
      <c r="C480" s="62"/>
      <c r="D480" s="63"/>
      <c r="E480" s="64"/>
      <c r="F480" s="65"/>
      <c r="G480" s="62"/>
      <c r="H480" s="66"/>
      <c r="I480" s="67"/>
      <c r="J480" s="67"/>
      <c r="K480" s="31"/>
      <c r="L480" s="75">
        <v>480</v>
      </c>
      <c r="M480"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80" s="69"/>
      <c r="O480" t="s">
        <v>701</v>
      </c>
      <c r="P480" s="76">
        <v>45508.925023148149</v>
      </c>
      <c r="Q480" t="s">
        <v>1015</v>
      </c>
      <c r="R480" t="b">
        <v>0</v>
      </c>
      <c r="S480">
        <v>0</v>
      </c>
      <c r="T480">
        <v>0</v>
      </c>
      <c r="U480">
        <v>0</v>
      </c>
      <c r="V480">
        <v>0</v>
      </c>
      <c r="W480">
        <v>3</v>
      </c>
      <c r="AA480" t="s">
        <v>677</v>
      </c>
      <c r="AD480" s="77" t="s">
        <v>1365</v>
      </c>
      <c r="AE480" t="s">
        <v>1385</v>
      </c>
      <c r="AF480" s="78" t="str">
        <f>HYPERLINK("https://twitter.com/elclan29/status/1820221183289139571")</f>
        <v>https://twitter.com/elclan29/status/1820221183289139571</v>
      </c>
      <c r="AG480" s="76">
        <v>45508.925023148149</v>
      </c>
      <c r="AH480" s="80">
        <v>45508</v>
      </c>
      <c r="AI480" s="77" t="s">
        <v>1693</v>
      </c>
      <c r="AW480" s="78" t="str">
        <f>HYPERLINK("https://pbs.twimg.com/profile_images/1929213139708440576/yfLm63ez_normal.jpg")</f>
        <v>https://pbs.twimg.com/profile_images/1929213139708440576/yfLm63ez_normal.jpg</v>
      </c>
      <c r="AX480" s="77" t="s">
        <v>2181</v>
      </c>
      <c r="AY480" s="77" t="s">
        <v>2350</v>
      </c>
      <c r="AZ480" s="77" t="s">
        <v>2472</v>
      </c>
      <c r="BA480" s="77" t="s">
        <v>2350</v>
      </c>
      <c r="BB480" s="77" t="s">
        <v>2494</v>
      </c>
      <c r="BC480" s="77" t="s">
        <v>2494</v>
      </c>
      <c r="BD480" s="77" t="s">
        <v>2350</v>
      </c>
      <c r="BE480">
        <v>119225892</v>
      </c>
      <c r="BK480" s="112" t="str">
        <f>REPLACE(INDEX(GroupVertices[Group], MATCH("~"&amp;Edges[[#This Row],[Vertex 1]],GroupVertices[Vertex],0)),1,1,"")</f>
        <v>46</v>
      </c>
      <c r="BL480" s="112" t="str">
        <f>REPLACE(INDEX(GroupVertices[Group], MATCH("~"&amp;Edges[[#This Row],[Vertex 2]],GroupVertices[Vertex],0)),1,1,"")</f>
        <v>46</v>
      </c>
    </row>
    <row r="481" spans="1:64" x14ac:dyDescent="0.25">
      <c r="A481" s="61" t="s">
        <v>465</v>
      </c>
      <c r="B481" s="61" t="s">
        <v>683</v>
      </c>
      <c r="C481" s="62"/>
      <c r="D481" s="63"/>
      <c r="E481" s="64"/>
      <c r="F481" s="65"/>
      <c r="G481" s="62"/>
      <c r="H481" s="66"/>
      <c r="I481" s="67"/>
      <c r="J481" s="67"/>
      <c r="K481" s="31"/>
      <c r="L481" s="75">
        <v>481</v>
      </c>
      <c r="M481"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81" s="69"/>
      <c r="O481" t="s">
        <v>701</v>
      </c>
      <c r="P481" s="76">
        <v>45510.627199074072</v>
      </c>
      <c r="Q481" t="s">
        <v>1042</v>
      </c>
      <c r="R481" t="b">
        <v>0</v>
      </c>
      <c r="S481">
        <v>0</v>
      </c>
      <c r="T481">
        <v>0</v>
      </c>
      <c r="U481">
        <v>0</v>
      </c>
      <c r="V481">
        <v>0</v>
      </c>
      <c r="W481">
        <v>3</v>
      </c>
      <c r="AA481" t="s">
        <v>683</v>
      </c>
      <c r="AD481" s="77" t="s">
        <v>1367</v>
      </c>
      <c r="AE481" t="s">
        <v>1385</v>
      </c>
      <c r="AF481" s="78" t="str">
        <f>HYPERLINK("https://twitter.com/minanoaragones/status/1820838028358615468")</f>
        <v>https://twitter.com/minanoaragones/status/1820838028358615468</v>
      </c>
      <c r="AG481" s="76">
        <v>45510.627199074072</v>
      </c>
      <c r="AH481" s="80">
        <v>45510</v>
      </c>
      <c r="AI481" s="77" t="s">
        <v>1720</v>
      </c>
      <c r="AW481" s="78" t="str">
        <f>HYPERLINK("https://pbs.twimg.com/profile_images/1503851865527758852/qK_Jty-9_normal.jpg")</f>
        <v>https://pbs.twimg.com/profile_images/1503851865527758852/qK_Jty-9_normal.jpg</v>
      </c>
      <c r="AX481" s="77" t="s">
        <v>2208</v>
      </c>
      <c r="AY481" s="77" t="s">
        <v>2355</v>
      </c>
      <c r="AZ481" s="77" t="s">
        <v>2479</v>
      </c>
      <c r="BA481" s="77" t="s">
        <v>2355</v>
      </c>
      <c r="BB481" s="77" t="s">
        <v>2494</v>
      </c>
      <c r="BC481" s="77" t="s">
        <v>2494</v>
      </c>
      <c r="BD481" s="77" t="s">
        <v>2355</v>
      </c>
      <c r="BE481" s="77" t="s">
        <v>2631</v>
      </c>
      <c r="BK481" s="112" t="str">
        <f>REPLACE(INDEX(GroupVertices[Group], MATCH("~"&amp;Edges[[#This Row],[Vertex 1]],GroupVertices[Vertex],0)),1,1,"")</f>
        <v>45</v>
      </c>
      <c r="BL481" s="112" t="str">
        <f>REPLACE(INDEX(GroupVertices[Group], MATCH("~"&amp;Edges[[#This Row],[Vertex 2]],GroupVertices[Vertex],0)),1,1,"")</f>
        <v>45</v>
      </c>
    </row>
    <row r="482" spans="1:64" x14ac:dyDescent="0.25">
      <c r="A482" s="61" t="s">
        <v>292</v>
      </c>
      <c r="B482" s="61" t="s">
        <v>292</v>
      </c>
      <c r="C482" s="62"/>
      <c r="D482" s="63"/>
      <c r="E482" s="64"/>
      <c r="F482" s="65"/>
      <c r="G482" s="62"/>
      <c r="H482" s="66"/>
      <c r="I482" s="67"/>
      <c r="J482" s="67"/>
      <c r="K482" s="31"/>
      <c r="L482" s="75">
        <v>482</v>
      </c>
      <c r="M482"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82" s="69"/>
      <c r="O482" t="s">
        <v>177</v>
      </c>
      <c r="P482" s="76">
        <v>45506.791168981479</v>
      </c>
      <c r="Q482" t="s">
        <v>824</v>
      </c>
      <c r="R482" t="b">
        <v>0</v>
      </c>
      <c r="S482">
        <v>0</v>
      </c>
      <c r="T482">
        <v>0</v>
      </c>
      <c r="U482">
        <v>0</v>
      </c>
      <c r="V482">
        <v>0</v>
      </c>
      <c r="W482">
        <v>2</v>
      </c>
      <c r="X482" s="77" t="s">
        <v>1099</v>
      </c>
      <c r="Y482" s="78" t="str">
        <f>HYPERLINK("https://vm.tiktok.com/ZGe7CyaqK/")</f>
        <v>https://vm.tiktok.com/ZGe7CyaqK/</v>
      </c>
      <c r="Z482" t="s">
        <v>1149</v>
      </c>
      <c r="AD482" s="77" t="s">
        <v>1365</v>
      </c>
      <c r="AE482" t="s">
        <v>1385</v>
      </c>
      <c r="AF482" s="78" t="str">
        <f>HYPERLINK("https://twitter.com/atologocito1/status/1819447899069337619")</f>
        <v>https://twitter.com/atologocito1/status/1819447899069337619</v>
      </c>
      <c r="AG482" s="76">
        <v>45506.791168981479</v>
      </c>
      <c r="AH482" s="80">
        <v>45506</v>
      </c>
      <c r="AI482" s="77" t="s">
        <v>1506</v>
      </c>
      <c r="AJ482" t="b">
        <v>0</v>
      </c>
      <c r="AW482" s="78" t="str">
        <f>HYPERLINK("https://pbs.twimg.com/profile_images/1497222336470298628/AOSxZ6NT_normal.jpg")</f>
        <v>https://pbs.twimg.com/profile_images/1497222336470298628/AOSxZ6NT_normal.jpg</v>
      </c>
      <c r="AX482" s="77" t="s">
        <v>1990</v>
      </c>
      <c r="AY482" s="77" t="s">
        <v>1990</v>
      </c>
      <c r="BA482" s="77" t="s">
        <v>2494</v>
      </c>
      <c r="BB482" s="77" t="s">
        <v>2494</v>
      </c>
      <c r="BC482" s="77" t="s">
        <v>2494</v>
      </c>
      <c r="BD482" s="77" t="s">
        <v>1990</v>
      </c>
      <c r="BE482" s="77" t="s">
        <v>2565</v>
      </c>
      <c r="BK482" s="112" t="str">
        <f>REPLACE(INDEX(GroupVertices[Group], MATCH("~"&amp;Edges[[#This Row],[Vertex 1]],GroupVertices[Vertex],0)),1,1,"")</f>
        <v>13</v>
      </c>
      <c r="BL482" s="112" t="str">
        <f>REPLACE(INDEX(GroupVertices[Group], MATCH("~"&amp;Edges[[#This Row],[Vertex 2]],GroupVertices[Vertex],0)),1,1,"")</f>
        <v>13</v>
      </c>
    </row>
    <row r="483" spans="1:64" x14ac:dyDescent="0.25">
      <c r="A483" s="61" t="s">
        <v>292</v>
      </c>
      <c r="B483" s="61" t="s">
        <v>292</v>
      </c>
      <c r="C483" s="62"/>
      <c r="D483" s="63"/>
      <c r="E483" s="64"/>
      <c r="F483" s="65"/>
      <c r="G483" s="62"/>
      <c r="H483" s="66"/>
      <c r="I483" s="67"/>
      <c r="J483" s="67"/>
      <c r="K483" s="31"/>
      <c r="L483" s="75">
        <v>483</v>
      </c>
      <c r="M483"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83" s="69"/>
      <c r="O483" t="s">
        <v>177</v>
      </c>
      <c r="P483" s="76">
        <v>45506.791006944448</v>
      </c>
      <c r="Q483" t="s">
        <v>825</v>
      </c>
      <c r="R483" t="b">
        <v>0</v>
      </c>
      <c r="S483">
        <v>0</v>
      </c>
      <c r="T483">
        <v>0</v>
      </c>
      <c r="U483">
        <v>0</v>
      </c>
      <c r="V483">
        <v>0</v>
      </c>
      <c r="W483">
        <v>2</v>
      </c>
      <c r="X483" s="77" t="s">
        <v>1099</v>
      </c>
      <c r="Y483" s="78" t="str">
        <f>HYPERLINK("https://vm.tiktok.com/ZGe7QwdL5/")</f>
        <v>https://vm.tiktok.com/ZGe7QwdL5/</v>
      </c>
      <c r="Z483" t="s">
        <v>1149</v>
      </c>
      <c r="AD483" s="77" t="s">
        <v>1365</v>
      </c>
      <c r="AE483" t="s">
        <v>1385</v>
      </c>
      <c r="AF483" s="78" t="str">
        <f>HYPERLINK("https://twitter.com/atologocito1/status/1819447839686381906")</f>
        <v>https://twitter.com/atologocito1/status/1819447839686381906</v>
      </c>
      <c r="AG483" s="76">
        <v>45506.791006944448</v>
      </c>
      <c r="AH483" s="80">
        <v>45506</v>
      </c>
      <c r="AI483" s="77" t="s">
        <v>1507</v>
      </c>
      <c r="AJ483" t="b">
        <v>0</v>
      </c>
      <c r="AW483" s="78" t="str">
        <f>HYPERLINK("https://pbs.twimg.com/profile_images/1497222336470298628/AOSxZ6NT_normal.jpg")</f>
        <v>https://pbs.twimg.com/profile_images/1497222336470298628/AOSxZ6NT_normal.jpg</v>
      </c>
      <c r="AX483" s="77" t="s">
        <v>1991</v>
      </c>
      <c r="AY483" s="77" t="s">
        <v>1991</v>
      </c>
      <c r="BA483" s="77" t="s">
        <v>2494</v>
      </c>
      <c r="BB483" s="77" t="s">
        <v>2494</v>
      </c>
      <c r="BC483" s="77" t="s">
        <v>2494</v>
      </c>
      <c r="BD483" s="77" t="s">
        <v>1991</v>
      </c>
      <c r="BE483" s="77" t="s">
        <v>2565</v>
      </c>
      <c r="BK483" s="112" t="str">
        <f>REPLACE(INDEX(GroupVertices[Group], MATCH("~"&amp;Edges[[#This Row],[Vertex 1]],GroupVertices[Vertex],0)),1,1,"")</f>
        <v>13</v>
      </c>
      <c r="BL483" s="112" t="str">
        <f>REPLACE(INDEX(GroupVertices[Group], MATCH("~"&amp;Edges[[#This Row],[Vertex 2]],GroupVertices[Vertex],0)),1,1,"")</f>
        <v>13</v>
      </c>
    </row>
    <row r="484" spans="1:64" x14ac:dyDescent="0.25">
      <c r="A484" s="61" t="s">
        <v>301</v>
      </c>
      <c r="B484" s="61" t="s">
        <v>516</v>
      </c>
      <c r="C484" s="62"/>
      <c r="D484" s="63"/>
      <c r="E484" s="64"/>
      <c r="F484" s="65"/>
      <c r="G484" s="62"/>
      <c r="H484" s="66"/>
      <c r="I484" s="67"/>
      <c r="J484" s="67"/>
      <c r="K484" s="31"/>
      <c r="L484" s="75">
        <v>484</v>
      </c>
      <c r="M484"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84" s="69"/>
      <c r="O484" t="s">
        <v>703</v>
      </c>
      <c r="P484" s="76">
        <v>45506.093969907408</v>
      </c>
      <c r="Q484" t="s">
        <v>851</v>
      </c>
      <c r="R484" t="b">
        <v>0</v>
      </c>
      <c r="S484">
        <v>0</v>
      </c>
      <c r="T484">
        <v>0</v>
      </c>
      <c r="U484">
        <v>0</v>
      </c>
      <c r="V484">
        <v>0</v>
      </c>
      <c r="W484">
        <v>2</v>
      </c>
      <c r="AA484" t="s">
        <v>1217</v>
      </c>
      <c r="AD484" s="77" t="s">
        <v>1365</v>
      </c>
      <c r="AE484" t="s">
        <v>1385</v>
      </c>
      <c r="AF484" s="78" t="str">
        <f>HYPERLINK("https://twitter.com/frejes561320/status/1819195242169639390")</f>
        <v>https://twitter.com/frejes561320/status/1819195242169639390</v>
      </c>
      <c r="AG484" s="76">
        <v>45506.093969907408</v>
      </c>
      <c r="AH484" s="80">
        <v>45506</v>
      </c>
      <c r="AI484" s="77" t="s">
        <v>1532</v>
      </c>
      <c r="AW484" s="78" t="str">
        <f>HYPERLINK("https://abs.twimg.com/sticky/default_profile_images/default_profile_normal.png")</f>
        <v>https://abs.twimg.com/sticky/default_profile_images/default_profile_normal.png</v>
      </c>
      <c r="AX484" s="77" t="s">
        <v>2017</v>
      </c>
      <c r="AY484" s="77" t="s">
        <v>2276</v>
      </c>
      <c r="AZ484" s="77" t="s">
        <v>2390</v>
      </c>
      <c r="BA484" s="77" t="s">
        <v>2276</v>
      </c>
      <c r="BB484" s="77" t="s">
        <v>2494</v>
      </c>
      <c r="BC484" s="77" t="s">
        <v>2494</v>
      </c>
      <c r="BD484" s="77" t="s">
        <v>2276</v>
      </c>
      <c r="BE484" s="77" t="s">
        <v>2568</v>
      </c>
      <c r="BK484" s="112" t="str">
        <f>REPLACE(INDEX(GroupVertices[Group], MATCH("~"&amp;Edges[[#This Row],[Vertex 1]],GroupVertices[Vertex],0)),1,1,"")</f>
        <v>6</v>
      </c>
      <c r="BL484" s="112" t="str">
        <f>REPLACE(INDEX(GroupVertices[Group], MATCH("~"&amp;Edges[[#This Row],[Vertex 2]],GroupVertices[Vertex],0)),1,1,"")</f>
        <v>6</v>
      </c>
    </row>
    <row r="485" spans="1:64" x14ac:dyDescent="0.25">
      <c r="A485" s="61" t="s">
        <v>301</v>
      </c>
      <c r="B485" s="61" t="s">
        <v>539</v>
      </c>
      <c r="C485" s="62"/>
      <c r="D485" s="63"/>
      <c r="E485" s="64"/>
      <c r="F485" s="65"/>
      <c r="G485" s="62"/>
      <c r="H485" s="66"/>
      <c r="I485" s="67"/>
      <c r="J485" s="67"/>
      <c r="K485" s="31"/>
      <c r="L485" s="75">
        <v>485</v>
      </c>
      <c r="M485"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85" s="69"/>
      <c r="O485" t="s">
        <v>701</v>
      </c>
      <c r="P485" s="76">
        <v>45506.093969907408</v>
      </c>
      <c r="Q485" t="s">
        <v>851</v>
      </c>
      <c r="R485" t="b">
        <v>0</v>
      </c>
      <c r="S485">
        <v>0</v>
      </c>
      <c r="T485">
        <v>0</v>
      </c>
      <c r="U485">
        <v>0</v>
      </c>
      <c r="V485">
        <v>0</v>
      </c>
      <c r="W485">
        <v>2</v>
      </c>
      <c r="AA485" t="s">
        <v>1217</v>
      </c>
      <c r="AD485" s="77" t="s">
        <v>1365</v>
      </c>
      <c r="AE485" t="s">
        <v>1385</v>
      </c>
      <c r="AF485" s="78" t="str">
        <f>HYPERLINK("https://twitter.com/frejes561320/status/1819195242169639390")</f>
        <v>https://twitter.com/frejes561320/status/1819195242169639390</v>
      </c>
      <c r="AG485" s="76">
        <v>45506.093969907408</v>
      </c>
      <c r="AH485" s="80">
        <v>45506</v>
      </c>
      <c r="AI485" s="77" t="s">
        <v>1532</v>
      </c>
      <c r="AW485" s="78" t="str">
        <f>HYPERLINK("https://abs.twimg.com/sticky/default_profile_images/default_profile_normal.png")</f>
        <v>https://abs.twimg.com/sticky/default_profile_images/default_profile_normal.png</v>
      </c>
      <c r="AX485" s="77" t="s">
        <v>2017</v>
      </c>
      <c r="AY485" s="77" t="s">
        <v>2276</v>
      </c>
      <c r="AZ485" s="77" t="s">
        <v>2390</v>
      </c>
      <c r="BA485" s="77" t="s">
        <v>2276</v>
      </c>
      <c r="BB485" s="77" t="s">
        <v>2494</v>
      </c>
      <c r="BC485" s="77" t="s">
        <v>2494</v>
      </c>
      <c r="BD485" s="77" t="s">
        <v>2276</v>
      </c>
      <c r="BE485" s="77" t="s">
        <v>2568</v>
      </c>
      <c r="BK485" s="112" t="str">
        <f>REPLACE(INDEX(GroupVertices[Group], MATCH("~"&amp;Edges[[#This Row],[Vertex 1]],GroupVertices[Vertex],0)),1,1,"")</f>
        <v>6</v>
      </c>
      <c r="BL485" s="112" t="str">
        <f>REPLACE(INDEX(GroupVertices[Group], MATCH("~"&amp;Edges[[#This Row],[Vertex 2]],GroupVertices[Vertex],0)),1,1,"")</f>
        <v>6</v>
      </c>
    </row>
    <row r="486" spans="1:64" x14ac:dyDescent="0.25">
      <c r="A486" s="61" t="s">
        <v>347</v>
      </c>
      <c r="B486" s="61" t="s">
        <v>516</v>
      </c>
      <c r="C486" s="62"/>
      <c r="D486" s="63"/>
      <c r="E486" s="64"/>
      <c r="F486" s="65"/>
      <c r="G486" s="62"/>
      <c r="H486" s="66"/>
      <c r="I486" s="67"/>
      <c r="J486" s="67"/>
      <c r="K486" s="31"/>
      <c r="L486" s="75">
        <v>486</v>
      </c>
      <c r="M486"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86" s="69"/>
      <c r="O486" t="s">
        <v>703</v>
      </c>
      <c r="P486" s="76">
        <v>45505.651331018518</v>
      </c>
      <c r="Q486" t="s">
        <v>907</v>
      </c>
      <c r="R486" t="b">
        <v>0</v>
      </c>
      <c r="S486">
        <v>0</v>
      </c>
      <c r="T486">
        <v>0</v>
      </c>
      <c r="U486">
        <v>0</v>
      </c>
      <c r="V486">
        <v>0</v>
      </c>
      <c r="W486">
        <v>2</v>
      </c>
      <c r="AA486" t="s">
        <v>1217</v>
      </c>
      <c r="AD486" s="77" t="s">
        <v>1366</v>
      </c>
      <c r="AE486" t="s">
        <v>1385</v>
      </c>
      <c r="AF486" s="78" t="str">
        <f>HYPERLINK("https://twitter.com/mrlegaljargon/status/1819034836147028402")</f>
        <v>https://twitter.com/mrlegaljargon/status/1819034836147028402</v>
      </c>
      <c r="AG486" s="76">
        <v>45505.651331018518</v>
      </c>
      <c r="AH486" s="80">
        <v>45505</v>
      </c>
      <c r="AI486" s="77" t="s">
        <v>1587</v>
      </c>
      <c r="AW486" s="78" t="str">
        <f>HYPERLINK("https://pbs.twimg.com/profile_images/1555697965628637184/7F37qMXy_normal.jpg")</f>
        <v>https://pbs.twimg.com/profile_images/1555697965628637184/7F37qMXy_normal.jpg</v>
      </c>
      <c r="AX486" s="77" t="s">
        <v>2073</v>
      </c>
      <c r="AY486" s="77" t="s">
        <v>2276</v>
      </c>
      <c r="AZ486" s="77" t="s">
        <v>2390</v>
      </c>
      <c r="BA486" s="77" t="s">
        <v>2276</v>
      </c>
      <c r="BB486" s="77" t="s">
        <v>2494</v>
      </c>
      <c r="BC486" s="77" t="s">
        <v>2494</v>
      </c>
      <c r="BD486" s="77" t="s">
        <v>2276</v>
      </c>
      <c r="BE486">
        <v>214495593</v>
      </c>
      <c r="BK486" s="112" t="str">
        <f>REPLACE(INDEX(GroupVertices[Group], MATCH("~"&amp;Edges[[#This Row],[Vertex 1]],GroupVertices[Vertex],0)),1,1,"")</f>
        <v>6</v>
      </c>
      <c r="BL486" s="112" t="str">
        <f>REPLACE(INDEX(GroupVertices[Group], MATCH("~"&amp;Edges[[#This Row],[Vertex 2]],GroupVertices[Vertex],0)),1,1,"")</f>
        <v>6</v>
      </c>
    </row>
    <row r="487" spans="1:64" x14ac:dyDescent="0.25">
      <c r="A487" s="61" t="s">
        <v>347</v>
      </c>
      <c r="B487" s="61" t="s">
        <v>539</v>
      </c>
      <c r="C487" s="62"/>
      <c r="D487" s="63"/>
      <c r="E487" s="64"/>
      <c r="F487" s="65"/>
      <c r="G487" s="62"/>
      <c r="H487" s="66"/>
      <c r="I487" s="67"/>
      <c r="J487" s="67"/>
      <c r="K487" s="31"/>
      <c r="L487" s="75">
        <v>487</v>
      </c>
      <c r="M487"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87" s="69"/>
      <c r="O487" t="s">
        <v>701</v>
      </c>
      <c r="P487" s="76">
        <v>45505.651331018518</v>
      </c>
      <c r="Q487" t="s">
        <v>907</v>
      </c>
      <c r="R487" t="b">
        <v>0</v>
      </c>
      <c r="S487">
        <v>0</v>
      </c>
      <c r="T487">
        <v>0</v>
      </c>
      <c r="U487">
        <v>0</v>
      </c>
      <c r="V487">
        <v>0</v>
      </c>
      <c r="W487">
        <v>2</v>
      </c>
      <c r="AA487" t="s">
        <v>1217</v>
      </c>
      <c r="AD487" s="77" t="s">
        <v>1366</v>
      </c>
      <c r="AE487" t="s">
        <v>1385</v>
      </c>
      <c r="AF487" s="78" t="str">
        <f>HYPERLINK("https://twitter.com/mrlegaljargon/status/1819034836147028402")</f>
        <v>https://twitter.com/mrlegaljargon/status/1819034836147028402</v>
      </c>
      <c r="AG487" s="76">
        <v>45505.651331018518</v>
      </c>
      <c r="AH487" s="80">
        <v>45505</v>
      </c>
      <c r="AI487" s="77" t="s">
        <v>1587</v>
      </c>
      <c r="AW487" s="78" t="str">
        <f>HYPERLINK("https://pbs.twimg.com/profile_images/1555697965628637184/7F37qMXy_normal.jpg")</f>
        <v>https://pbs.twimg.com/profile_images/1555697965628637184/7F37qMXy_normal.jpg</v>
      </c>
      <c r="AX487" s="77" t="s">
        <v>2073</v>
      </c>
      <c r="AY487" s="77" t="s">
        <v>2276</v>
      </c>
      <c r="AZ487" s="77" t="s">
        <v>2390</v>
      </c>
      <c r="BA487" s="77" t="s">
        <v>2276</v>
      </c>
      <c r="BB487" s="77" t="s">
        <v>2494</v>
      </c>
      <c r="BC487" s="77" t="s">
        <v>2494</v>
      </c>
      <c r="BD487" s="77" t="s">
        <v>2276</v>
      </c>
      <c r="BE487">
        <v>214495593</v>
      </c>
      <c r="BK487" s="112" t="str">
        <f>REPLACE(INDEX(GroupVertices[Group], MATCH("~"&amp;Edges[[#This Row],[Vertex 1]],GroupVertices[Vertex],0)),1,1,"")</f>
        <v>6</v>
      </c>
      <c r="BL487" s="112" t="str">
        <f>REPLACE(INDEX(GroupVertices[Group], MATCH("~"&amp;Edges[[#This Row],[Vertex 2]],GroupVertices[Vertex],0)),1,1,"")</f>
        <v>6</v>
      </c>
    </row>
    <row r="488" spans="1:64" x14ac:dyDescent="0.25">
      <c r="A488" s="61" t="s">
        <v>352</v>
      </c>
      <c r="B488" s="61" t="s">
        <v>620</v>
      </c>
      <c r="C488" s="62"/>
      <c r="D488" s="63"/>
      <c r="E488" s="64"/>
      <c r="F488" s="65"/>
      <c r="G488" s="62"/>
      <c r="H488" s="66"/>
      <c r="I488" s="67"/>
      <c r="J488" s="67"/>
      <c r="K488" s="31"/>
      <c r="L488" s="75">
        <v>488</v>
      </c>
      <c r="M488"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88" s="69"/>
      <c r="O488" t="s">
        <v>701</v>
      </c>
      <c r="P488" s="76">
        <v>45505.851712962962</v>
      </c>
      <c r="Q488" t="s">
        <v>912</v>
      </c>
      <c r="R488" t="b">
        <v>0</v>
      </c>
      <c r="S488">
        <v>0</v>
      </c>
      <c r="T488">
        <v>0</v>
      </c>
      <c r="U488">
        <v>0</v>
      </c>
      <c r="V488">
        <v>0</v>
      </c>
      <c r="W488">
        <v>2</v>
      </c>
      <c r="AA488" t="s">
        <v>620</v>
      </c>
      <c r="AD488" s="77" t="s">
        <v>1365</v>
      </c>
      <c r="AE488" t="s">
        <v>1385</v>
      </c>
      <c r="AF488" s="78" t="str">
        <f>HYPERLINK("https://twitter.com/javierf06127749/status/1819107453532860695")</f>
        <v>https://twitter.com/javierf06127749/status/1819107453532860695</v>
      </c>
      <c r="AG488" s="76">
        <v>45505.851712962962</v>
      </c>
      <c r="AH488" s="80">
        <v>45505</v>
      </c>
      <c r="AI488" s="77" t="s">
        <v>1592</v>
      </c>
      <c r="AW488" s="78" t="str">
        <f>HYPERLINK("https://pbs.twimg.com/profile_images/1381157671999565824/JYac8wIo_normal.jpg")</f>
        <v>https://pbs.twimg.com/profile_images/1381157671999565824/JYac8wIo_normal.jpg</v>
      </c>
      <c r="AX488" s="77" t="s">
        <v>2078</v>
      </c>
      <c r="AY488" s="77" t="s">
        <v>2319</v>
      </c>
      <c r="AZ488" s="77" t="s">
        <v>2438</v>
      </c>
      <c r="BA488" s="77" t="s">
        <v>2319</v>
      </c>
      <c r="BB488" s="77" t="s">
        <v>2494</v>
      </c>
      <c r="BC488" s="77" t="s">
        <v>2494</v>
      </c>
      <c r="BD488" s="77" t="s">
        <v>2319</v>
      </c>
      <c r="BE488" s="77" t="s">
        <v>2586</v>
      </c>
      <c r="BK488" s="112" t="str">
        <f>REPLACE(INDEX(GroupVertices[Group], MATCH("~"&amp;Edges[[#This Row],[Vertex 1]],GroupVertices[Vertex],0)),1,1,"")</f>
        <v>44</v>
      </c>
      <c r="BL488" s="112" t="str">
        <f>REPLACE(INDEX(GroupVertices[Group], MATCH("~"&amp;Edges[[#This Row],[Vertex 2]],GroupVertices[Vertex],0)),1,1,"")</f>
        <v>44</v>
      </c>
    </row>
    <row r="489" spans="1:64" x14ac:dyDescent="0.25">
      <c r="A489" s="61" t="s">
        <v>381</v>
      </c>
      <c r="B489" s="61" t="s">
        <v>638</v>
      </c>
      <c r="C489" s="62"/>
      <c r="D489" s="63"/>
      <c r="E489" s="64"/>
      <c r="F489" s="65"/>
      <c r="G489" s="62"/>
      <c r="H489" s="66"/>
      <c r="I489" s="67"/>
      <c r="J489" s="67"/>
      <c r="K489" s="31"/>
      <c r="L489" s="75">
        <v>489</v>
      </c>
      <c r="M489"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89" s="69"/>
      <c r="O489" t="s">
        <v>701</v>
      </c>
      <c r="P489" s="76">
        <v>45505.888923611114</v>
      </c>
      <c r="Q489" t="s">
        <v>945</v>
      </c>
      <c r="R489" t="b">
        <v>0</v>
      </c>
      <c r="S489">
        <v>0</v>
      </c>
      <c r="T489">
        <v>0</v>
      </c>
      <c r="U489">
        <v>0</v>
      </c>
      <c r="V489">
        <v>0</v>
      </c>
      <c r="W489">
        <v>2</v>
      </c>
      <c r="AA489" t="s">
        <v>638</v>
      </c>
      <c r="AD489" s="77" t="s">
        <v>1365</v>
      </c>
      <c r="AE489" t="s">
        <v>1385</v>
      </c>
      <c r="AF489" s="78" t="str">
        <f>HYPERLINK("https://twitter.com/beadelariera/status/1819120936076935658")</f>
        <v>https://twitter.com/beadelariera/status/1819120936076935658</v>
      </c>
      <c r="AG489" s="76">
        <v>45505.888923611114</v>
      </c>
      <c r="AH489" s="80">
        <v>45505</v>
      </c>
      <c r="AI489" s="77" t="s">
        <v>1625</v>
      </c>
      <c r="AW489" s="78" t="str">
        <f>HYPERLINK("https://pbs.twimg.com/profile_images/1571621574167482371/fdX2fHgh_normal.jpg")</f>
        <v>https://pbs.twimg.com/profile_images/1571621574167482371/fdX2fHgh_normal.jpg</v>
      </c>
      <c r="AX489" s="77" t="s">
        <v>2111</v>
      </c>
      <c r="AY489" s="77" t="s">
        <v>2329</v>
      </c>
      <c r="AZ489" s="77" t="s">
        <v>2448</v>
      </c>
      <c r="BA489" s="77" t="s">
        <v>2329</v>
      </c>
      <c r="BB489" s="77" t="s">
        <v>2494</v>
      </c>
      <c r="BC489" s="77" t="s">
        <v>2494</v>
      </c>
      <c r="BD489" s="77" t="s">
        <v>2329</v>
      </c>
      <c r="BE489">
        <v>583129266</v>
      </c>
      <c r="BK489" s="112" t="str">
        <f>REPLACE(INDEX(GroupVertices[Group], MATCH("~"&amp;Edges[[#This Row],[Vertex 1]],GroupVertices[Vertex],0)),1,1,"")</f>
        <v>43</v>
      </c>
      <c r="BL489" s="112" t="str">
        <f>REPLACE(INDEX(GroupVertices[Group], MATCH("~"&amp;Edges[[#This Row],[Vertex 2]],GroupVertices[Vertex],0)),1,1,"")</f>
        <v>43</v>
      </c>
    </row>
    <row r="490" spans="1:64" x14ac:dyDescent="0.25">
      <c r="A490" s="61" t="s">
        <v>435</v>
      </c>
      <c r="B490" s="61" t="s">
        <v>435</v>
      </c>
      <c r="C490" s="62"/>
      <c r="D490" s="63"/>
      <c r="E490" s="64"/>
      <c r="F490" s="65"/>
      <c r="G490" s="62"/>
      <c r="H490" s="66"/>
      <c r="I490" s="67"/>
      <c r="J490" s="67"/>
      <c r="K490" s="31"/>
      <c r="L490" s="75">
        <v>490</v>
      </c>
      <c r="M490"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90" s="69"/>
      <c r="O490" t="s">
        <v>177</v>
      </c>
      <c r="P490" s="76">
        <v>45509.388761574075</v>
      </c>
      <c r="Q490" t="s">
        <v>1010</v>
      </c>
      <c r="R490" t="b">
        <v>1</v>
      </c>
      <c r="S490">
        <v>138</v>
      </c>
      <c r="T490">
        <v>261</v>
      </c>
      <c r="U490">
        <v>6</v>
      </c>
      <c r="V490">
        <v>10</v>
      </c>
      <c r="W490">
        <v>2</v>
      </c>
      <c r="Y490" t="s">
        <v>1132</v>
      </c>
      <c r="Z490" t="s">
        <v>1192</v>
      </c>
      <c r="AB490" t="s">
        <v>1340</v>
      </c>
      <c r="AC490" t="s">
        <v>1359</v>
      </c>
      <c r="AD490" s="77" t="s">
        <v>1366</v>
      </c>
      <c r="AE490" t="s">
        <v>1385</v>
      </c>
      <c r="AF490" s="78" t="str">
        <f>HYPERLINK("https://twitter.com/sanz_ismael/status/1820389236878496230")</f>
        <v>https://twitter.com/sanz_ismael/status/1820389236878496230</v>
      </c>
      <c r="AG490" s="76">
        <v>45509.388761574075</v>
      </c>
      <c r="AH490" s="80">
        <v>45509</v>
      </c>
      <c r="AI490" s="77" t="s">
        <v>1688</v>
      </c>
      <c r="AJ490" t="b">
        <v>0</v>
      </c>
      <c r="AR490" t="s">
        <v>1853</v>
      </c>
      <c r="AW490" s="78" t="str">
        <f>HYPERLINK("https://pbs.twimg.com/media/GUNSXJLWUAA6Wck.jpg")</f>
        <v>https://pbs.twimg.com/media/GUNSXJLWUAA6Wck.jpg</v>
      </c>
      <c r="AX490" s="77" t="s">
        <v>2176</v>
      </c>
      <c r="AY490" s="77" t="s">
        <v>2176</v>
      </c>
      <c r="BA490" s="77" t="s">
        <v>2494</v>
      </c>
      <c r="BB490" s="77" t="s">
        <v>2494</v>
      </c>
      <c r="BC490" s="77" t="s">
        <v>2494</v>
      </c>
      <c r="BD490" s="77" t="s">
        <v>2176</v>
      </c>
      <c r="BE490">
        <v>600260862</v>
      </c>
      <c r="BK490" s="112" t="str">
        <f>REPLACE(INDEX(GroupVertices[Group], MATCH("~"&amp;Edges[[#This Row],[Vertex 1]],GroupVertices[Vertex],0)),1,1,"")</f>
        <v>1</v>
      </c>
      <c r="BL490" s="112" t="str">
        <f>REPLACE(INDEX(GroupVertices[Group], MATCH("~"&amp;Edges[[#This Row],[Vertex 2]],GroupVertices[Vertex],0)),1,1,"")</f>
        <v>1</v>
      </c>
    </row>
    <row r="491" spans="1:64" x14ac:dyDescent="0.25">
      <c r="A491" s="61" t="s">
        <v>477</v>
      </c>
      <c r="B491" s="61" t="s">
        <v>690</v>
      </c>
      <c r="C491" s="62"/>
      <c r="D491" s="63"/>
      <c r="E491" s="64"/>
      <c r="F491" s="65"/>
      <c r="G491" s="62"/>
      <c r="H491" s="66"/>
      <c r="I491" s="67"/>
      <c r="J491" s="67"/>
      <c r="K491" s="31"/>
      <c r="L491" s="75">
        <v>491</v>
      </c>
      <c r="M491"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91" s="69"/>
      <c r="O491" t="s">
        <v>702</v>
      </c>
      <c r="P491" s="76">
        <v>45507.478912037041</v>
      </c>
      <c r="Q491" t="s">
        <v>1057</v>
      </c>
      <c r="R491" t="b">
        <v>0</v>
      </c>
      <c r="S491">
        <v>2</v>
      </c>
      <c r="T491">
        <v>0</v>
      </c>
      <c r="U491">
        <v>0</v>
      </c>
      <c r="V491">
        <v>0</v>
      </c>
      <c r="W491">
        <v>2</v>
      </c>
      <c r="X491" s="77" t="s">
        <v>1127</v>
      </c>
      <c r="Y491" s="78" t="str">
        <f>HYPERLINK("https://aljarafeymas.com/noticias/17495-La-Hermandad-del-Roco-de-Camas-pone-a-disposicin-del-pblico-pepones-para-contribuir-con-la-tmbola")</f>
        <v>https://aljarafeymas.com/noticias/17495-La-Hermandad-del-Roco-de-Camas-pone-a-disposicin-del-pblico-pepones-para-contribuir-con-la-tmbola</v>
      </c>
      <c r="Z491" t="s">
        <v>1202</v>
      </c>
      <c r="AA491" t="s">
        <v>1263</v>
      </c>
      <c r="AD491" s="77" t="s">
        <v>1367</v>
      </c>
      <c r="AE491" t="s">
        <v>1385</v>
      </c>
      <c r="AF491" s="78" t="str">
        <f>HYPERLINK("https://twitter.com/aljarafeymas/status/1819697127485755644")</f>
        <v>https://twitter.com/aljarafeymas/status/1819697127485755644</v>
      </c>
      <c r="AG491" s="76">
        <v>45507.478912037041</v>
      </c>
      <c r="AH491" s="80">
        <v>45507</v>
      </c>
      <c r="AI491" s="77" t="s">
        <v>1734</v>
      </c>
      <c r="AJ491" t="b">
        <v>0</v>
      </c>
      <c r="AW491" s="78" t="str">
        <f>HYPERLINK("https://pbs.twimg.com/profile_images/1354838355842920448/UV9A0B9S_normal.jpg")</f>
        <v>https://pbs.twimg.com/profile_images/1354838355842920448/UV9A0B9S_normal.jpg</v>
      </c>
      <c r="AX491" s="77" t="s">
        <v>2223</v>
      </c>
      <c r="AY491" s="77" t="s">
        <v>2223</v>
      </c>
      <c r="BA491" s="77" t="s">
        <v>2494</v>
      </c>
      <c r="BB491" s="77" t="s">
        <v>2494</v>
      </c>
      <c r="BC491" s="77" t="s">
        <v>2494</v>
      </c>
      <c r="BD491" s="77" t="s">
        <v>2223</v>
      </c>
      <c r="BE491" s="77" t="s">
        <v>2634</v>
      </c>
      <c r="BK491" s="112" t="str">
        <f>REPLACE(INDEX(GroupVertices[Group], MATCH("~"&amp;Edges[[#This Row],[Vertex 1]],GroupVertices[Vertex],0)),1,1,"")</f>
        <v>17</v>
      </c>
      <c r="BL491" s="112" t="str">
        <f>REPLACE(INDEX(GroupVertices[Group], MATCH("~"&amp;Edges[[#This Row],[Vertex 2]],GroupVertices[Vertex],0)),1,1,"")</f>
        <v>17</v>
      </c>
    </row>
    <row r="492" spans="1:64" x14ac:dyDescent="0.25">
      <c r="A492" s="61" t="s">
        <v>477</v>
      </c>
      <c r="B492" s="61" t="s">
        <v>691</v>
      </c>
      <c r="C492" s="62"/>
      <c r="D492" s="63"/>
      <c r="E492" s="64"/>
      <c r="F492" s="65"/>
      <c r="G492" s="62"/>
      <c r="H492" s="66"/>
      <c r="I492" s="67"/>
      <c r="J492" s="67"/>
      <c r="K492" s="31"/>
      <c r="L492" s="75">
        <v>492</v>
      </c>
      <c r="M492"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92" s="69"/>
      <c r="O492" t="s">
        <v>702</v>
      </c>
      <c r="P492" s="76">
        <v>45507.478912037041</v>
      </c>
      <c r="Q492" t="s">
        <v>1057</v>
      </c>
      <c r="R492" t="b">
        <v>0</v>
      </c>
      <c r="S492">
        <v>2</v>
      </c>
      <c r="T492">
        <v>0</v>
      </c>
      <c r="U492">
        <v>0</v>
      </c>
      <c r="V492">
        <v>0</v>
      </c>
      <c r="W492">
        <v>2</v>
      </c>
      <c r="X492" s="77" t="s">
        <v>1127</v>
      </c>
      <c r="Y492" s="78" t="str">
        <f>HYPERLINK("https://aljarafeymas.com/noticias/17495-La-Hermandad-del-Roco-de-Camas-pone-a-disposicin-del-pblico-pepones-para-contribuir-con-la-tmbola")</f>
        <v>https://aljarafeymas.com/noticias/17495-La-Hermandad-del-Roco-de-Camas-pone-a-disposicin-del-pblico-pepones-para-contribuir-con-la-tmbola</v>
      </c>
      <c r="Z492" t="s">
        <v>1202</v>
      </c>
      <c r="AA492" t="s">
        <v>1263</v>
      </c>
      <c r="AD492" s="77" t="s">
        <v>1367</v>
      </c>
      <c r="AE492" t="s">
        <v>1385</v>
      </c>
      <c r="AF492" s="78" t="str">
        <f>HYPERLINK("https://twitter.com/aljarafeymas/status/1819697127485755644")</f>
        <v>https://twitter.com/aljarafeymas/status/1819697127485755644</v>
      </c>
      <c r="AG492" s="76">
        <v>45507.478912037041</v>
      </c>
      <c r="AH492" s="80">
        <v>45507</v>
      </c>
      <c r="AI492" s="77" t="s">
        <v>1734</v>
      </c>
      <c r="AJ492" t="b">
        <v>0</v>
      </c>
      <c r="AW492" s="78" t="str">
        <f>HYPERLINK("https://pbs.twimg.com/profile_images/1354838355842920448/UV9A0B9S_normal.jpg")</f>
        <v>https://pbs.twimg.com/profile_images/1354838355842920448/UV9A0B9S_normal.jpg</v>
      </c>
      <c r="AX492" s="77" t="s">
        <v>2223</v>
      </c>
      <c r="AY492" s="77" t="s">
        <v>2223</v>
      </c>
      <c r="BA492" s="77" t="s">
        <v>2494</v>
      </c>
      <c r="BB492" s="77" t="s">
        <v>2494</v>
      </c>
      <c r="BC492" s="77" t="s">
        <v>2494</v>
      </c>
      <c r="BD492" s="77" t="s">
        <v>2223</v>
      </c>
      <c r="BE492" s="77" t="s">
        <v>2634</v>
      </c>
      <c r="BK492" s="112" t="str">
        <f>REPLACE(INDEX(GroupVertices[Group], MATCH("~"&amp;Edges[[#This Row],[Vertex 1]],GroupVertices[Vertex],0)),1,1,"")</f>
        <v>17</v>
      </c>
      <c r="BL492" s="112" t="str">
        <f>REPLACE(INDEX(GroupVertices[Group], MATCH("~"&amp;Edges[[#This Row],[Vertex 2]],GroupVertices[Vertex],0)),1,1,"")</f>
        <v>17</v>
      </c>
    </row>
    <row r="493" spans="1:64" x14ac:dyDescent="0.25">
      <c r="A493" s="61" t="s">
        <v>477</v>
      </c>
      <c r="B493" s="61" t="s">
        <v>692</v>
      </c>
      <c r="C493" s="62"/>
      <c r="D493" s="63"/>
      <c r="E493" s="64"/>
      <c r="F493" s="65"/>
      <c r="G493" s="62"/>
      <c r="H493" s="66"/>
      <c r="I493" s="67"/>
      <c r="J493" s="67"/>
      <c r="K493" s="31"/>
      <c r="L493" s="75">
        <v>493</v>
      </c>
      <c r="M493"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93" s="69"/>
      <c r="O493" t="s">
        <v>702</v>
      </c>
      <c r="P493" s="76">
        <v>45507.478912037041</v>
      </c>
      <c r="Q493" t="s">
        <v>1057</v>
      </c>
      <c r="R493" t="b">
        <v>0</v>
      </c>
      <c r="S493">
        <v>2</v>
      </c>
      <c r="T493">
        <v>0</v>
      </c>
      <c r="U493">
        <v>0</v>
      </c>
      <c r="V493">
        <v>0</v>
      </c>
      <c r="W493">
        <v>2</v>
      </c>
      <c r="X493" s="77" t="s">
        <v>1127</v>
      </c>
      <c r="Y493" s="78" t="str">
        <f>HYPERLINK("https://aljarafeymas.com/noticias/17495-La-Hermandad-del-Roco-de-Camas-pone-a-disposicin-del-pblico-pepones-para-contribuir-con-la-tmbola")</f>
        <v>https://aljarafeymas.com/noticias/17495-La-Hermandad-del-Roco-de-Camas-pone-a-disposicin-del-pblico-pepones-para-contribuir-con-la-tmbola</v>
      </c>
      <c r="Z493" t="s">
        <v>1202</v>
      </c>
      <c r="AA493" t="s">
        <v>1263</v>
      </c>
      <c r="AD493" s="77" t="s">
        <v>1367</v>
      </c>
      <c r="AE493" t="s">
        <v>1385</v>
      </c>
      <c r="AF493" s="78" t="str">
        <f>HYPERLINK("https://twitter.com/aljarafeymas/status/1819697127485755644")</f>
        <v>https://twitter.com/aljarafeymas/status/1819697127485755644</v>
      </c>
      <c r="AG493" s="76">
        <v>45507.478912037041</v>
      </c>
      <c r="AH493" s="80">
        <v>45507</v>
      </c>
      <c r="AI493" s="77" t="s">
        <v>1734</v>
      </c>
      <c r="AJ493" t="b">
        <v>0</v>
      </c>
      <c r="AW493" s="78" t="str">
        <f>HYPERLINK("https://pbs.twimg.com/profile_images/1354838355842920448/UV9A0B9S_normal.jpg")</f>
        <v>https://pbs.twimg.com/profile_images/1354838355842920448/UV9A0B9S_normal.jpg</v>
      </c>
      <c r="AX493" s="77" t="s">
        <v>2223</v>
      </c>
      <c r="AY493" s="77" t="s">
        <v>2223</v>
      </c>
      <c r="BA493" s="77" t="s">
        <v>2494</v>
      </c>
      <c r="BB493" s="77" t="s">
        <v>2494</v>
      </c>
      <c r="BC493" s="77" t="s">
        <v>2494</v>
      </c>
      <c r="BD493" s="77" t="s">
        <v>2223</v>
      </c>
      <c r="BE493" s="77" t="s">
        <v>2634</v>
      </c>
      <c r="BK493" s="112" t="str">
        <f>REPLACE(INDEX(GroupVertices[Group], MATCH("~"&amp;Edges[[#This Row],[Vertex 1]],GroupVertices[Vertex],0)),1,1,"")</f>
        <v>17</v>
      </c>
      <c r="BL493" s="112" t="str">
        <f>REPLACE(INDEX(GroupVertices[Group], MATCH("~"&amp;Edges[[#This Row],[Vertex 2]],GroupVertices[Vertex],0)),1,1,"")</f>
        <v>17</v>
      </c>
    </row>
    <row r="494" spans="1:64" x14ac:dyDescent="0.25">
      <c r="A494" s="61" t="s">
        <v>477</v>
      </c>
      <c r="B494" s="61" t="s">
        <v>693</v>
      </c>
      <c r="C494" s="62"/>
      <c r="D494" s="63"/>
      <c r="E494" s="64"/>
      <c r="F494" s="65"/>
      <c r="G494" s="62"/>
      <c r="H494" s="66"/>
      <c r="I494" s="67"/>
      <c r="J494" s="67"/>
      <c r="K494" s="31"/>
      <c r="L494" s="75">
        <v>494</v>
      </c>
      <c r="M494"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94" s="69"/>
      <c r="O494" t="s">
        <v>702</v>
      </c>
      <c r="P494" s="76">
        <v>45507.478912037041</v>
      </c>
      <c r="Q494" t="s">
        <v>1057</v>
      </c>
      <c r="R494" t="b">
        <v>0</v>
      </c>
      <c r="S494">
        <v>2</v>
      </c>
      <c r="T494">
        <v>0</v>
      </c>
      <c r="U494">
        <v>0</v>
      </c>
      <c r="V494">
        <v>0</v>
      </c>
      <c r="W494">
        <v>2</v>
      </c>
      <c r="X494" s="77" t="s">
        <v>1127</v>
      </c>
      <c r="Y494" s="78" t="str">
        <f>HYPERLINK("https://aljarafeymas.com/noticias/17495-La-Hermandad-del-Roco-de-Camas-pone-a-disposicin-del-pblico-pepones-para-contribuir-con-la-tmbola")</f>
        <v>https://aljarafeymas.com/noticias/17495-La-Hermandad-del-Roco-de-Camas-pone-a-disposicin-del-pblico-pepones-para-contribuir-con-la-tmbola</v>
      </c>
      <c r="Z494" t="s">
        <v>1202</v>
      </c>
      <c r="AA494" t="s">
        <v>1263</v>
      </c>
      <c r="AD494" s="77" t="s">
        <v>1367</v>
      </c>
      <c r="AE494" t="s">
        <v>1385</v>
      </c>
      <c r="AF494" s="78" t="str">
        <f>HYPERLINK("https://twitter.com/aljarafeymas/status/1819697127485755644")</f>
        <v>https://twitter.com/aljarafeymas/status/1819697127485755644</v>
      </c>
      <c r="AG494" s="76">
        <v>45507.478912037041</v>
      </c>
      <c r="AH494" s="80">
        <v>45507</v>
      </c>
      <c r="AI494" s="77" t="s">
        <v>1734</v>
      </c>
      <c r="AJ494" t="b">
        <v>0</v>
      </c>
      <c r="AW494" s="78" t="str">
        <f>HYPERLINK("https://pbs.twimg.com/profile_images/1354838355842920448/UV9A0B9S_normal.jpg")</f>
        <v>https://pbs.twimg.com/profile_images/1354838355842920448/UV9A0B9S_normal.jpg</v>
      </c>
      <c r="AX494" s="77" t="s">
        <v>2223</v>
      </c>
      <c r="AY494" s="77" t="s">
        <v>2223</v>
      </c>
      <c r="BA494" s="77" t="s">
        <v>2494</v>
      </c>
      <c r="BB494" s="77" t="s">
        <v>2494</v>
      </c>
      <c r="BC494" s="77" t="s">
        <v>2494</v>
      </c>
      <c r="BD494" s="77" t="s">
        <v>2223</v>
      </c>
      <c r="BE494" s="77" t="s">
        <v>2634</v>
      </c>
      <c r="BK494" s="112" t="str">
        <f>REPLACE(INDEX(GroupVertices[Group], MATCH("~"&amp;Edges[[#This Row],[Vertex 1]],GroupVertices[Vertex],0)),1,1,"")</f>
        <v>17</v>
      </c>
      <c r="BL494" s="112" t="str">
        <f>REPLACE(INDEX(GroupVertices[Group], MATCH("~"&amp;Edges[[#This Row],[Vertex 2]],GroupVertices[Vertex],0)),1,1,"")</f>
        <v>17</v>
      </c>
    </row>
    <row r="495" spans="1:64" x14ac:dyDescent="0.25">
      <c r="A495" s="61" t="s">
        <v>487</v>
      </c>
      <c r="B495" s="61" t="s">
        <v>593</v>
      </c>
      <c r="C495" s="62"/>
      <c r="D495" s="63"/>
      <c r="E495" s="64"/>
      <c r="F495" s="65"/>
      <c r="G495" s="62"/>
      <c r="H495" s="66"/>
      <c r="I495" s="67"/>
      <c r="J495" s="67"/>
      <c r="K495" s="31"/>
      <c r="L495" s="75">
        <v>495</v>
      </c>
      <c r="M495"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95" s="69"/>
      <c r="O495" t="s">
        <v>701</v>
      </c>
      <c r="P495" s="76">
        <v>45506.38417824074</v>
      </c>
      <c r="Q495" t="s">
        <v>1068</v>
      </c>
      <c r="R495" t="b">
        <v>0</v>
      </c>
      <c r="S495">
        <v>0</v>
      </c>
      <c r="T495">
        <v>0</v>
      </c>
      <c r="U495">
        <v>0</v>
      </c>
      <c r="V495">
        <v>0</v>
      </c>
      <c r="W495">
        <v>2</v>
      </c>
      <c r="AA495" t="s">
        <v>593</v>
      </c>
      <c r="AD495" s="77" t="s">
        <v>1367</v>
      </c>
      <c r="AE495" t="s">
        <v>1385</v>
      </c>
      <c r="AF495" s="78" t="str">
        <f>HYPERLINK("https://twitter.com/maximotova612/status/1819300412102471812")</f>
        <v>https://twitter.com/maximotova612/status/1819300412102471812</v>
      </c>
      <c r="AG495" s="76">
        <v>45506.38417824074</v>
      </c>
      <c r="AH495" s="80">
        <v>45506</v>
      </c>
      <c r="AI495" s="77" t="s">
        <v>1745</v>
      </c>
      <c r="AW495" s="78" t="str">
        <f>HYPERLINK("https://pbs.twimg.com/profile_images/1818970626020737025/HbmiNTJA_normal.jpg")</f>
        <v>https://pbs.twimg.com/profile_images/1818970626020737025/HbmiNTJA_normal.jpg</v>
      </c>
      <c r="AX495" s="77" t="s">
        <v>2234</v>
      </c>
      <c r="AY495" s="77" t="s">
        <v>2308</v>
      </c>
      <c r="AZ495" s="77" t="s">
        <v>2426</v>
      </c>
      <c r="BA495" s="77" t="s">
        <v>2308</v>
      </c>
      <c r="BB495" s="77" t="s">
        <v>2494</v>
      </c>
      <c r="BC495" s="77" t="s">
        <v>2494</v>
      </c>
      <c r="BD495" s="77" t="s">
        <v>2308</v>
      </c>
      <c r="BE495" s="77" t="s">
        <v>2636</v>
      </c>
      <c r="BK495" s="112" t="str">
        <f>REPLACE(INDEX(GroupVertices[Group], MATCH("~"&amp;Edges[[#This Row],[Vertex 1]],GroupVertices[Vertex],0)),1,1,"")</f>
        <v>18</v>
      </c>
      <c r="BL495" s="112" t="str">
        <f>REPLACE(INDEX(GroupVertices[Group], MATCH("~"&amp;Edges[[#This Row],[Vertex 2]],GroupVertices[Vertex],0)),1,1,"")</f>
        <v>18</v>
      </c>
    </row>
    <row r="496" spans="1:64" x14ac:dyDescent="0.25">
      <c r="A496" s="61" t="s">
        <v>504</v>
      </c>
      <c r="B496" s="61" t="s">
        <v>700</v>
      </c>
      <c r="C496" s="62"/>
      <c r="D496" s="63"/>
      <c r="E496" s="64"/>
      <c r="F496" s="65"/>
      <c r="G496" s="62"/>
      <c r="H496" s="66"/>
      <c r="I496" s="67"/>
      <c r="J496" s="67"/>
      <c r="K496" s="31"/>
      <c r="L496" s="75">
        <v>496</v>
      </c>
      <c r="M496"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96" s="69"/>
      <c r="O496" t="s">
        <v>701</v>
      </c>
      <c r="P496" s="76">
        <v>45508.756006944444</v>
      </c>
      <c r="Q496" t="s">
        <v>1086</v>
      </c>
      <c r="R496" t="b">
        <v>0</v>
      </c>
      <c r="S496">
        <v>0</v>
      </c>
      <c r="T496">
        <v>0</v>
      </c>
      <c r="U496">
        <v>0</v>
      </c>
      <c r="V496">
        <v>0</v>
      </c>
      <c r="W496">
        <v>2</v>
      </c>
      <c r="AA496" t="s">
        <v>700</v>
      </c>
      <c r="AD496" s="77" t="s">
        <v>1365</v>
      </c>
      <c r="AE496" t="s">
        <v>1385</v>
      </c>
      <c r="AF496" s="78" t="str">
        <f>HYPERLINK("https://twitter.com/roornu59ortiz/status/1820159930764005698")</f>
        <v>https://twitter.com/roornu59ortiz/status/1820159930764005698</v>
      </c>
      <c r="AG496" s="76">
        <v>45508.756006944444</v>
      </c>
      <c r="AH496" s="80">
        <v>45508</v>
      </c>
      <c r="AI496" s="77" t="s">
        <v>1762</v>
      </c>
      <c r="AW496" s="78" t="str">
        <f>HYPERLINK("https://pbs.twimg.com/profile_images/1576425782397870080/TzaL7SE3_normal.png")</f>
        <v>https://pbs.twimg.com/profile_images/1576425782397870080/TzaL7SE3_normal.png</v>
      </c>
      <c r="AX496" s="77" t="s">
        <v>2252</v>
      </c>
      <c r="AY496" s="77" t="s">
        <v>2369</v>
      </c>
      <c r="AZ496" s="77" t="s">
        <v>2493</v>
      </c>
      <c r="BA496" s="77" t="s">
        <v>2369</v>
      </c>
      <c r="BB496" s="77" t="s">
        <v>2494</v>
      </c>
      <c r="BC496" s="77" t="s">
        <v>2494</v>
      </c>
      <c r="BD496" s="77" t="s">
        <v>2369</v>
      </c>
      <c r="BE496" s="77" t="s">
        <v>2643</v>
      </c>
      <c r="BK496" s="112" t="str">
        <f>REPLACE(INDEX(GroupVertices[Group], MATCH("~"&amp;Edges[[#This Row],[Vertex 1]],GroupVertices[Vertex],0)),1,1,"")</f>
        <v>42</v>
      </c>
      <c r="BL496" s="112" t="str">
        <f>REPLACE(INDEX(GroupVertices[Group], MATCH("~"&amp;Edges[[#This Row],[Vertex 2]],GroupVertices[Vertex],0)),1,1,"")</f>
        <v>42</v>
      </c>
    </row>
    <row r="497" spans="1:64" x14ac:dyDescent="0.25">
      <c r="A497" s="61" t="s">
        <v>404</v>
      </c>
      <c r="B497" s="61" t="s">
        <v>403</v>
      </c>
      <c r="C497" s="62"/>
      <c r="D497" s="63"/>
      <c r="E497" s="64"/>
      <c r="F497" s="65"/>
      <c r="G497" s="62"/>
      <c r="H497" s="66"/>
      <c r="I497" s="67"/>
      <c r="J497" s="67"/>
      <c r="K497" s="31"/>
      <c r="L497" s="75">
        <v>497</v>
      </c>
      <c r="M497"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97" s="69"/>
      <c r="O497" t="s">
        <v>704</v>
      </c>
      <c r="P497" s="76">
        <v>45506.651909722219</v>
      </c>
      <c r="Q497" t="s">
        <v>972</v>
      </c>
      <c r="R497" t="b">
        <v>0</v>
      </c>
      <c r="S497">
        <v>0</v>
      </c>
      <c r="T497">
        <v>0</v>
      </c>
      <c r="U497">
        <v>0</v>
      </c>
      <c r="V497">
        <v>0</v>
      </c>
      <c r="W497">
        <v>1</v>
      </c>
      <c r="AD497" s="77" t="s">
        <v>1366</v>
      </c>
      <c r="AE497" t="s">
        <v>1385</v>
      </c>
      <c r="AF497" s="78" t="str">
        <f>HYPERLINK("https://twitter.com/simapeter/status/1819397433685623104")</f>
        <v>https://twitter.com/simapeter/status/1819397433685623104</v>
      </c>
      <c r="AG497" s="76">
        <v>45506.651909722219</v>
      </c>
      <c r="AH497" s="80">
        <v>45506</v>
      </c>
      <c r="AI497" s="77" t="s">
        <v>1652</v>
      </c>
      <c r="AW497" s="78" t="str">
        <f>HYPERLINK("https://pbs.twimg.com/profile_images/1838949615/J_Cortazar_normal.jpg")</f>
        <v>https://pbs.twimg.com/profile_images/1838949615/J_Cortazar_normal.jpg</v>
      </c>
      <c r="AX497" s="77" t="s">
        <v>2138</v>
      </c>
      <c r="AY497" s="77" t="s">
        <v>2138</v>
      </c>
      <c r="BA497" s="77" t="s">
        <v>2494</v>
      </c>
      <c r="BB497" s="77" t="s">
        <v>2137</v>
      </c>
      <c r="BC497" s="77" t="s">
        <v>2494</v>
      </c>
      <c r="BD497" s="77" t="s">
        <v>2137</v>
      </c>
      <c r="BE497">
        <v>409740584</v>
      </c>
      <c r="BK497" s="112" t="str">
        <f>REPLACE(INDEX(GroupVertices[Group], MATCH("~"&amp;Edges[[#This Row],[Vertex 1]],GroupVertices[Vertex],0)),1,1,"")</f>
        <v>41</v>
      </c>
      <c r="BL497" s="112" t="str">
        <f>REPLACE(INDEX(GroupVertices[Group], MATCH("~"&amp;Edges[[#This Row],[Vertex 2]],GroupVertices[Vertex],0)),1,1,"")</f>
        <v>41</v>
      </c>
    </row>
    <row r="498" spans="1:64" x14ac:dyDescent="0.25">
      <c r="A498" s="61" t="s">
        <v>244</v>
      </c>
      <c r="B498" s="61" t="s">
        <v>520</v>
      </c>
      <c r="C498" s="62"/>
      <c r="D498" s="63"/>
      <c r="E498" s="64"/>
      <c r="F498" s="65"/>
      <c r="G498" s="62"/>
      <c r="H498" s="66"/>
      <c r="I498" s="67"/>
      <c r="J498" s="67"/>
      <c r="K498" s="31"/>
      <c r="L498" s="75">
        <v>498</v>
      </c>
      <c r="M498"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98" s="69"/>
      <c r="O498" t="s">
        <v>703</v>
      </c>
      <c r="P498" s="76">
        <v>45507.805231481485</v>
      </c>
      <c r="Q498" t="s">
        <v>727</v>
      </c>
      <c r="R498" t="b">
        <v>0</v>
      </c>
      <c r="S498">
        <v>0</v>
      </c>
      <c r="T498">
        <v>0</v>
      </c>
      <c r="U498">
        <v>0</v>
      </c>
      <c r="V498">
        <v>0</v>
      </c>
      <c r="Y498" s="78" t="str">
        <f>HYPERLINK("https://www.eluniversal.com.mx/opinion/ricardo-homs/la-tombola-judicial/")</f>
        <v>https://www.eluniversal.com.mx/opinion/ricardo-homs/la-tombola-judicial/</v>
      </c>
      <c r="Z498" t="s">
        <v>1136</v>
      </c>
      <c r="AA498" t="s">
        <v>1212</v>
      </c>
      <c r="AD498" s="77" t="s">
        <v>1367</v>
      </c>
      <c r="AE498" t="s">
        <v>1385</v>
      </c>
      <c r="AF498" s="78" t="str">
        <f>HYPERLINK("https://twitter.com/mario68610623/status/1819815380992590029")</f>
        <v>https://twitter.com/mario68610623/status/1819815380992590029</v>
      </c>
      <c r="AG498" s="76">
        <v>45507.805231481485</v>
      </c>
      <c r="AH498" s="80">
        <v>45507</v>
      </c>
      <c r="AI498" s="77" t="s">
        <v>1409</v>
      </c>
      <c r="AJ498" t="b">
        <v>0</v>
      </c>
      <c r="AW498" s="78" t="str">
        <f>HYPERLINK("https://pbs.twimg.com/profile_images/1341850009319444481/PaXybh5p_normal.jpg")</f>
        <v>https://pbs.twimg.com/profile_images/1341850009319444481/PaXybh5p_normal.jpg</v>
      </c>
      <c r="AX498" s="77" t="s">
        <v>1893</v>
      </c>
      <c r="AY498" s="77" t="s">
        <v>2264</v>
      </c>
      <c r="AZ498" s="77" t="s">
        <v>2378</v>
      </c>
      <c r="BA498" s="77" t="s">
        <v>2264</v>
      </c>
      <c r="BB498" s="77" t="s">
        <v>2494</v>
      </c>
      <c r="BC498" s="77" t="s">
        <v>2494</v>
      </c>
      <c r="BD498" s="77" t="s">
        <v>2264</v>
      </c>
      <c r="BE498" s="77" t="s">
        <v>2541</v>
      </c>
      <c r="BK498" s="112" t="str">
        <f>REPLACE(INDEX(GroupVertices[Group], MATCH("~"&amp;Edges[[#This Row],[Vertex 1]],GroupVertices[Vertex],0)),1,1,"")</f>
        <v>10</v>
      </c>
      <c r="BL498" s="112" t="str">
        <f>REPLACE(INDEX(GroupVertices[Group], MATCH("~"&amp;Edges[[#This Row],[Vertex 2]],GroupVertices[Vertex],0)),1,1,"")</f>
        <v>10</v>
      </c>
    </row>
    <row r="499" spans="1:64" x14ac:dyDescent="0.25">
      <c r="A499" s="61" t="s">
        <v>244</v>
      </c>
      <c r="B499" s="61" t="s">
        <v>521</v>
      </c>
      <c r="C499" s="62"/>
      <c r="D499" s="63"/>
      <c r="E499" s="64"/>
      <c r="F499" s="65"/>
      <c r="G499" s="62"/>
      <c r="H499" s="66"/>
      <c r="I499" s="67"/>
      <c r="J499" s="67"/>
      <c r="K499" s="31"/>
      <c r="L499" s="75">
        <v>499</v>
      </c>
      <c r="M499"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499" s="69"/>
      <c r="O499" t="s">
        <v>703</v>
      </c>
      <c r="P499" s="76">
        <v>45507.805231481485</v>
      </c>
      <c r="Q499" t="s">
        <v>727</v>
      </c>
      <c r="R499" t="b">
        <v>0</v>
      </c>
      <c r="S499">
        <v>0</v>
      </c>
      <c r="T499">
        <v>0</v>
      </c>
      <c r="U499">
        <v>0</v>
      </c>
      <c r="V499">
        <v>0</v>
      </c>
      <c r="Y499" s="78" t="str">
        <f>HYPERLINK("https://www.eluniversal.com.mx/opinion/ricardo-homs/la-tombola-judicial/")</f>
        <v>https://www.eluniversal.com.mx/opinion/ricardo-homs/la-tombola-judicial/</v>
      </c>
      <c r="Z499" t="s">
        <v>1136</v>
      </c>
      <c r="AA499" t="s">
        <v>1212</v>
      </c>
      <c r="AD499" s="77" t="s">
        <v>1367</v>
      </c>
      <c r="AE499" t="s">
        <v>1385</v>
      </c>
      <c r="AF499" s="78" t="str">
        <f>HYPERLINK("https://twitter.com/mario68610623/status/1819815380992590029")</f>
        <v>https://twitter.com/mario68610623/status/1819815380992590029</v>
      </c>
      <c r="AG499" s="76">
        <v>45507.805231481485</v>
      </c>
      <c r="AH499" s="80">
        <v>45507</v>
      </c>
      <c r="AI499" s="77" t="s">
        <v>1409</v>
      </c>
      <c r="AJ499" t="b">
        <v>0</v>
      </c>
      <c r="AW499" s="78" t="str">
        <f>HYPERLINK("https://pbs.twimg.com/profile_images/1341850009319444481/PaXybh5p_normal.jpg")</f>
        <v>https://pbs.twimg.com/profile_images/1341850009319444481/PaXybh5p_normal.jpg</v>
      </c>
      <c r="AX499" s="77" t="s">
        <v>1893</v>
      </c>
      <c r="AY499" s="77" t="s">
        <v>2264</v>
      </c>
      <c r="AZ499" s="77" t="s">
        <v>2378</v>
      </c>
      <c r="BA499" s="77" t="s">
        <v>2264</v>
      </c>
      <c r="BB499" s="77" t="s">
        <v>2494</v>
      </c>
      <c r="BC499" s="77" t="s">
        <v>2494</v>
      </c>
      <c r="BD499" s="77" t="s">
        <v>2264</v>
      </c>
      <c r="BE499" s="77" t="s">
        <v>2541</v>
      </c>
      <c r="BK499" s="112" t="str">
        <f>REPLACE(INDEX(GroupVertices[Group], MATCH("~"&amp;Edges[[#This Row],[Vertex 1]],GroupVertices[Vertex],0)),1,1,"")</f>
        <v>10</v>
      </c>
      <c r="BL499" s="112" t="str">
        <f>REPLACE(INDEX(GroupVertices[Group], MATCH("~"&amp;Edges[[#This Row],[Vertex 2]],GroupVertices[Vertex],0)),1,1,"")</f>
        <v>10</v>
      </c>
    </row>
    <row r="500" spans="1:64" x14ac:dyDescent="0.25">
      <c r="A500" s="61" t="s">
        <v>244</v>
      </c>
      <c r="B500" s="61" t="s">
        <v>522</v>
      </c>
      <c r="C500" s="62"/>
      <c r="D500" s="63"/>
      <c r="E500" s="64"/>
      <c r="F500" s="65"/>
      <c r="G500" s="62"/>
      <c r="H500" s="66"/>
      <c r="I500" s="67"/>
      <c r="J500" s="67"/>
      <c r="K500" s="31"/>
      <c r="L500" s="75">
        <v>500</v>
      </c>
      <c r="M500" s="75" t="b">
        <f xml:space="preserve"> IF(AND(OR(NOT(ISNUMBER(Edges[[#This Row],[Relationship Date (UTC)]])), Edges[[#This Row],[Relationship Date (UTC)]] &gt;= Misc!$O$2), OR(NOT(ISNUMBER(Edges[[#This Row],[Relationship Date (UTC)]])), Edges[[#This Row],[Relationship Date (UTC)]] &lt;= Misc!$P$2),OR(NOT(ISNUMBER(Edges[[#This Row],[Retweet Count]])), Edges[[#This Row],[Retweet Count]] &gt;= Misc!$O$3), OR(NOT(ISNUMBER(Edges[[#This Row],[Retweet Count]])), Edges[[#This Row],[Retweet Count]] &lt;= Misc!$P$3),OR(NOT(ISNUMBER(Edges[[#This Row],[Favorite Count]])), Edges[[#This Row],[Favorite Count]] &gt;= Misc!$O$4), OR(NOT(ISNUMBER(Edges[[#This Row],[Favorite Count]])), Edges[[#This Row],[Favorite Count]] &lt;= Misc!$P$4),OR(NOT(ISNUMBER(Edges[[#This Row],[Reply Count]])), Edges[[#This Row],[Reply Count]] &gt;= Misc!$O$5), OR(NOT(ISNUMBER(Edges[[#This Row],[Reply Count]])), Edges[[#This Row],[Reply Count]] &lt;= Misc!$P$5),OR(NOT(ISNUMBER(Edges[[#This Row],[Quote Count]])), Edges[[#This Row],[Quote Count]] &gt;= Misc!$O$6), OR(NOT(ISNUMBER(Edges[[#This Row],[Quote Count]])), Edges[[#This Row],[Quote Count]] &lt;= Misc!$P$6),OR(NOT(ISNUMBER(Edges[[#This Row],[Impression Count]])), Edges[[#This Row],[Impression Count]] &gt;= Misc!$O$7), OR(NOT(ISNUMBER(Edges[[#This Row],[Impression Count]])), Edges[[#This Row],[Impression Count]] &lt;= Misc!$P$7),OR(NOT(ISNUMBER(Edges[[#This Row],[Tweet Date (UTC)]])), Edges[[#This Row],[Tweet Date (UTC)]] &gt;= Misc!$O$8), OR(NOT(ISNUMBER(Edges[[#This Row],[Tweet Date (UTC)]])), Edges[[#This Row],[Tweet Date (UTC)]] &lt;= Misc!$P$8),OR(NOT(ISNUMBER(Edges[[#This Row],[Date]])), Edges[[#This Row],[Date]] &gt;= Misc!$O$9), OR(NOT(ISNUMBER(Edges[[#This Row],[Date]])), Edges[[#This Row],[Date]] &lt;= Misc!$P$9),TRUE), TRUE, FALSE)</f>
        <v>1</v>
      </c>
      <c r="N500" s="69"/>
      <c r="O500" t="s">
        <v>701</v>
      </c>
      <c r="P500" s="76">
        <v>45507.805231481485</v>
      </c>
      <c r="Q500" t="s">
        <v>727</v>
      </c>
      <c r="R500" t="b">
        <v>0</v>
      </c>
      <c r="S500">
        <v>0</v>
      </c>
      <c r="T500">
        <v>0</v>
      </c>
      <c r="U500">
        <v>0</v>
      </c>
      <c r="V500">
        <v>0</v>
      </c>
      <c r="Y500" s="78" t="str">
        <f>HYPERLINK("https://www.eluniversal.com.mx/opinion/ricardo-homs/la-tombola-judicial/")</f>
        <v>https://www.eluniversal.com.mx/opinion/ricardo-homs/la-tombola-judicial/</v>
      </c>
      <c r="Z500" t="s">
        <v>1136</v>
      </c>
      <c r="AA500" t="s">
        <v>1212</v>
      </c>
      <c r="AD500" s="77" t="s">
        <v>1367</v>
      </c>
      <c r="AE500" t="s">
        <v>1385</v>
      </c>
      <c r="AF500" s="78" t="str">
        <f>HYPERLINK("https://twitter.com/mario68610623/status/1819815380992590029")</f>
        <v>https://twitter.com/mario68610623/status/1819815380992590029</v>
      </c>
      <c r="AG500" s="76">
        <v>45507.805231481485</v>
      </c>
      <c r="AH500" s="80">
        <v>45507</v>
      </c>
      <c r="AI500" s="77" t="s">
        <v>1409</v>
      </c>
      <c r="AJ500" t="b">
        <v>0</v>
      </c>
      <c r="AW500" s="78" t="str">
        <f>HYPERLINK("https://pbs.twimg.com/profile_images/1341850009319444481/PaXybh5p_normal.jpg")</f>
        <v>https://pbs.twimg.com/profile_images/1341850009319444481/PaXybh5p_normal.jpg</v>
      </c>
      <c r="AX500" s="77" t="s">
        <v>1893</v>
      </c>
      <c r="AY500" s="77" t="s">
        <v>2264</v>
      </c>
      <c r="AZ500" s="77" t="s">
        <v>2378</v>
      </c>
      <c r="BA500" s="77" t="s">
        <v>2264</v>
      </c>
      <c r="BB500" s="77" t="s">
        <v>2494</v>
      </c>
      <c r="BC500" s="77" t="s">
        <v>2494</v>
      </c>
      <c r="BD500" s="77" t="s">
        <v>2264</v>
      </c>
      <c r="BE500" s="77" t="s">
        <v>2541</v>
      </c>
      <c r="BK500" s="112" t="str">
        <f>REPLACE(INDEX(GroupVertices[Group], MATCH("~"&amp;Edges[[#This Row],[Vertex 1]],GroupVertices[Vertex],0)),1,1,"")</f>
        <v>10</v>
      </c>
      <c r="BL500" s="112" t="str">
        <f>REPLACE(INDEX(GroupVertices[Group], MATCH("~"&amp;Edges[[#This Row],[Vertex 2]],GroupVertices[Vertex],0)),1,1,"")</f>
        <v>10</v>
      </c>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500" xr:uid="{00000000-0002-0000-0000-00000000000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500" xr:uid="{00000000-0002-0000-0000-000001000000}"/>
    <dataValidation allowBlank="1" showErrorMessage="1" sqref="N2:N500" xr:uid="{00000000-0002-0000-0000-000002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500" xr:uid="{00000000-0002-0000-0000-000003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500" xr:uid="{00000000-0002-0000-0000-000004000000}"/>
    <dataValidation allowBlank="1" showInputMessage="1" promptTitle="Edge Color" prompt="To select an optional edge color, right-click and select Select Color on the right-click menu." sqref="C3:C500" xr:uid="{00000000-0002-0000-0000-000005000000}"/>
    <dataValidation allowBlank="1" showInputMessage="1" errorTitle="Invalid Edge Width" error="The optional edge width must be a whole number between 1 and 10." promptTitle="Edge Width" prompt="Enter an optional edge width between 1 and 10." sqref="D3:D500" xr:uid="{00000000-0002-0000-0000-000006000000}"/>
    <dataValidation allowBlank="1" showInputMessage="1" errorTitle="Invalid Edge Opacity" error="The optional edge opacity must be a whole number between 0 and 10." promptTitle="Edge Opacity" prompt="Enter an optional edge opacity between 0 (transparent) and 100 (opaque)." sqref="F3:F500" xr:uid="{00000000-0002-0000-0000-00000700000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500" xr:uid="{00000000-0002-0000-0000-000008000000}">
      <formula1>ValidEdgeVisibilities</formula1>
    </dataValidation>
    <dataValidation allowBlank="1" showInputMessage="1" showErrorMessage="1" promptTitle="Vertex 1 Name" prompt="Enter the name of the edge's first vertex." sqref="A3:A500" xr:uid="{00000000-0002-0000-0000-000009000000}"/>
    <dataValidation allowBlank="1" showInputMessage="1" showErrorMessage="1" promptTitle="Vertex 2 Name" prompt="Enter the name of the edge's second vertex." sqref="B3:B500" xr:uid="{00000000-0002-0000-0000-00000A000000}"/>
    <dataValidation allowBlank="1" showInputMessage="1" showErrorMessage="1" errorTitle="Invalid Edge Visibility" error="You have entered an unrecognized edge visibility.  Try selecting from the drop-down list instead." promptTitle="Edge Label" prompt="Enter an optional edge label." sqref="H3:H500" xr:uid="{00000000-0002-0000-0000-00000B00000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500" xr:uid="{00000000-0002-0000-0000-00000C00000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500" xr:uid="{00000000-0002-0000-0000-00000D000000}"/>
  </dataValidations>
  <pageMargins left="0.7" right="0.7" top="0.75" bottom="0.75" header="0.3" footer="0.3"/>
  <pageSetup orientation="portrait"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Q484"/>
  <sheetViews>
    <sheetView workbookViewId="0">
      <pane xSplit="1" ySplit="2" topLeftCell="P3" activePane="bottomRight" state="frozen"/>
      <selection pane="topRight" activeCell="B1" sqref="B1"/>
      <selection pane="bottomLeft" activeCell="A3" sqref="A3"/>
      <selection pane="bottomRight" activeCell="Y2" sqref="Y2"/>
    </sheetView>
  </sheetViews>
  <sheetFormatPr baseColWidth="10" defaultColWidth="9.140625" defaultRowHeight="15" x14ac:dyDescent="0.25"/>
  <cols>
    <col min="1" max="1" width="9.140625" style="1"/>
    <col min="2" max="2" width="7.85546875" customWidth="1"/>
    <col min="3" max="3" width="8.5703125" customWidth="1"/>
    <col min="4" max="4" width="6.7109375" customWidth="1"/>
    <col min="5" max="5" width="9.85546875" customWidth="1"/>
    <col min="6" max="6" width="7.7109375" customWidth="1"/>
    <col min="7" max="7" width="11" customWidth="1"/>
    <col min="8" max="8" width="8.5703125" customWidth="1"/>
    <col min="9" max="9" width="9.7109375" customWidth="1"/>
    <col min="10" max="10" width="10.5703125" customWidth="1"/>
    <col min="11" max="11" width="9.140625" customWidth="1"/>
    <col min="12"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customWidth="1"/>
    <col min="19" max="19" width="9.28515625" customWidth="1"/>
    <col min="20" max="20" width="9.5703125" customWidth="1"/>
    <col min="21" max="23" width="14.28515625" customWidth="1"/>
    <col min="24" max="24" width="11.85546875" customWidth="1"/>
    <col min="25" max="25" width="14.42578125" customWidth="1"/>
    <col min="26" max="26" width="18.28515625" customWidth="1"/>
    <col min="27" max="27" width="5" hidden="1" customWidth="1"/>
    <col min="28" max="28" width="16" hidden="1" customWidth="1"/>
    <col min="29" max="29" width="16" style="5" bestFit="1" customWidth="1"/>
    <col min="30" max="30" width="8.5703125" style="2" bestFit="1" customWidth="1"/>
    <col min="31" max="31" width="9.5703125" bestFit="1" customWidth="1"/>
    <col min="32" max="32" width="12" bestFit="1" customWidth="1"/>
    <col min="33" max="33" width="11.5703125" bestFit="1" customWidth="1"/>
    <col min="34" max="34" width="9.7109375" bestFit="1" customWidth="1"/>
    <col min="35" max="35" width="9" bestFit="1" customWidth="1"/>
    <col min="36" max="36" width="18.42578125" bestFit="1" customWidth="1"/>
    <col min="37" max="37" width="14.5703125" bestFit="1" customWidth="1"/>
    <col min="38" max="38" width="10.5703125" bestFit="1" customWidth="1"/>
    <col min="39" max="39" width="16.42578125" bestFit="1" customWidth="1"/>
    <col min="40" max="40" width="10.7109375" bestFit="1" customWidth="1"/>
    <col min="41" max="41" width="13.42578125" bestFit="1" customWidth="1"/>
    <col min="42" max="42" width="10.85546875" bestFit="1" customWidth="1"/>
    <col min="43" max="43" width="17" bestFit="1" customWidth="1"/>
    <col min="44" max="44" width="14.7109375" bestFit="1" customWidth="1"/>
    <col min="45" max="45" width="15.42578125" bestFit="1" customWidth="1"/>
    <col min="46" max="46" width="23.140625" bestFit="1" customWidth="1"/>
    <col min="47" max="47" width="20.85546875" bestFit="1" customWidth="1"/>
    <col min="48" max="48" width="11.140625" bestFit="1" customWidth="1"/>
    <col min="49" max="49" width="6.5703125" bestFit="1" customWidth="1"/>
    <col min="50" max="50" width="10.5703125" bestFit="1" customWidth="1"/>
    <col min="51" max="51" width="14.140625" bestFit="1" customWidth="1"/>
    <col min="52" max="52" width="12" bestFit="1" customWidth="1"/>
    <col min="53" max="53" width="10" bestFit="1" customWidth="1"/>
    <col min="54" max="54" width="13" bestFit="1" customWidth="1"/>
    <col min="55" max="55" width="10.28515625" bestFit="1" customWidth="1"/>
    <col min="56" max="56" width="16.7109375" bestFit="1" customWidth="1"/>
    <col min="57" max="58" width="14" bestFit="1" customWidth="1"/>
    <col min="59" max="59" width="11.42578125" bestFit="1" customWidth="1"/>
    <col min="60" max="60" width="13.28515625" bestFit="1" customWidth="1"/>
    <col min="61" max="61" width="19.5703125" bestFit="1" customWidth="1"/>
    <col min="62" max="62" width="12.5703125" bestFit="1" customWidth="1"/>
    <col min="63" max="63" width="11.7109375" bestFit="1" customWidth="1"/>
    <col min="64" max="64" width="11.5703125" bestFit="1" customWidth="1"/>
    <col min="65" max="65" width="15.140625" bestFit="1" customWidth="1"/>
    <col min="66" max="67" width="16" bestFit="1" customWidth="1"/>
    <col min="68" max="68" width="9.7109375" bestFit="1" customWidth="1"/>
  </cols>
  <sheetData>
    <row r="1" spans="1:69" x14ac:dyDescent="0.25">
      <c r="B1" s="21" t="s">
        <v>39</v>
      </c>
      <c r="C1" s="14"/>
      <c r="D1" s="14"/>
      <c r="E1" s="14"/>
      <c r="F1" s="14"/>
      <c r="G1" s="14"/>
      <c r="H1" s="23" t="s">
        <v>43</v>
      </c>
      <c r="I1" s="22"/>
      <c r="J1" s="22"/>
      <c r="K1" s="22"/>
      <c r="L1" s="25" t="s">
        <v>44</v>
      </c>
      <c r="M1" s="24"/>
      <c r="N1" s="24"/>
      <c r="O1" s="24"/>
      <c r="P1" s="24"/>
      <c r="Q1" s="24"/>
      <c r="R1" s="20" t="s">
        <v>42</v>
      </c>
      <c r="S1" s="17"/>
      <c r="T1" s="18"/>
      <c r="U1" s="19"/>
      <c r="V1" s="17"/>
      <c r="W1" s="17"/>
      <c r="X1" s="17"/>
      <c r="Y1" s="17"/>
      <c r="Z1" s="17"/>
      <c r="AA1" s="26" t="s">
        <v>40</v>
      </c>
      <c r="AB1" s="16"/>
      <c r="AC1" s="27" t="s">
        <v>41</v>
      </c>
      <c r="AD1"/>
    </row>
    <row r="2" spans="1:69" ht="30" customHeight="1" x14ac:dyDescent="0.25">
      <c r="A2" s="10" t="s">
        <v>5</v>
      </c>
      <c r="B2" s="7" t="s">
        <v>2</v>
      </c>
      <c r="C2" s="7" t="s">
        <v>8</v>
      </c>
      <c r="D2" s="8" t="s">
        <v>45</v>
      </c>
      <c r="E2" s="9" t="s">
        <v>4</v>
      </c>
      <c r="F2" s="7" t="s">
        <v>48</v>
      </c>
      <c r="G2" s="7" t="s">
        <v>11</v>
      </c>
      <c r="H2" s="7" t="s">
        <v>46</v>
      </c>
      <c r="I2" s="7" t="s">
        <v>47</v>
      </c>
      <c r="J2" s="7" t="s">
        <v>77</v>
      </c>
      <c r="K2" s="7" t="s">
        <v>10</v>
      </c>
      <c r="L2" s="7" t="s">
        <v>27</v>
      </c>
      <c r="M2" s="7" t="s">
        <v>15</v>
      </c>
      <c r="N2" s="7" t="s">
        <v>16</v>
      </c>
      <c r="O2" s="7" t="s">
        <v>13</v>
      </c>
      <c r="P2" s="7" t="s">
        <v>28</v>
      </c>
      <c r="Q2" s="7" t="s">
        <v>29</v>
      </c>
      <c r="R2" s="7" t="s">
        <v>31</v>
      </c>
      <c r="S2" s="7" t="s">
        <v>5081</v>
      </c>
      <c r="T2" s="7" t="s">
        <v>33</v>
      </c>
      <c r="U2" s="7" t="s">
        <v>34</v>
      </c>
      <c r="V2" s="7" t="s">
        <v>35</v>
      </c>
      <c r="W2" s="7" t="s">
        <v>36</v>
      </c>
      <c r="X2" s="7" t="s">
        <v>136</v>
      </c>
      <c r="Y2" s="7" t="s">
        <v>37</v>
      </c>
      <c r="Z2" s="7" t="s">
        <v>169</v>
      </c>
      <c r="AA2" s="10" t="s">
        <v>12</v>
      </c>
      <c r="AB2" s="10" t="s">
        <v>38</v>
      </c>
      <c r="AC2" s="7" t="s">
        <v>26</v>
      </c>
      <c r="AD2" s="7" t="s">
        <v>2648</v>
      </c>
      <c r="AE2" s="7" t="s">
        <v>2649</v>
      </c>
      <c r="AF2" s="7" t="s">
        <v>2650</v>
      </c>
      <c r="AG2" s="7" t="s">
        <v>2651</v>
      </c>
      <c r="AH2" s="7" t="s">
        <v>2652</v>
      </c>
      <c r="AI2" s="7" t="s">
        <v>2653</v>
      </c>
      <c r="AJ2" s="7" t="s">
        <v>2654</v>
      </c>
      <c r="AK2" s="7" t="s">
        <v>2655</v>
      </c>
      <c r="AL2" s="7" t="s">
        <v>2656</v>
      </c>
      <c r="AM2" s="7" t="s">
        <v>2657</v>
      </c>
      <c r="AN2" s="7" t="s">
        <v>2658</v>
      </c>
      <c r="AO2" s="7" t="s">
        <v>2659</v>
      </c>
      <c r="AP2" s="7" t="s">
        <v>2660</v>
      </c>
      <c r="AQ2" s="7" t="s">
        <v>2661</v>
      </c>
      <c r="AR2" s="7" t="s">
        <v>2662</v>
      </c>
      <c r="AS2" s="7" t="s">
        <v>2663</v>
      </c>
      <c r="AT2" s="7" t="s">
        <v>2664</v>
      </c>
      <c r="AU2" s="7" t="s">
        <v>2665</v>
      </c>
      <c r="AV2" s="7" t="s">
        <v>2666</v>
      </c>
      <c r="AW2" s="7" t="s">
        <v>2667</v>
      </c>
      <c r="AX2" s="7" t="s">
        <v>2668</v>
      </c>
      <c r="AY2" s="7" t="s">
        <v>2669</v>
      </c>
      <c r="AZ2" s="7" t="s">
        <v>2670</v>
      </c>
      <c r="BA2" s="7" t="s">
        <v>2671</v>
      </c>
      <c r="BB2" s="7" t="s">
        <v>2672</v>
      </c>
      <c r="BC2" s="7" t="s">
        <v>2673</v>
      </c>
      <c r="BD2" s="7" t="s">
        <v>2674</v>
      </c>
      <c r="BE2" s="7" t="s">
        <v>2675</v>
      </c>
      <c r="BF2" s="7" t="s">
        <v>2676</v>
      </c>
      <c r="BG2" s="7" t="s">
        <v>196</v>
      </c>
      <c r="BH2" s="7" t="s">
        <v>2677</v>
      </c>
      <c r="BI2" s="7" t="s">
        <v>2678</v>
      </c>
      <c r="BJ2" s="7" t="s">
        <v>2679</v>
      </c>
      <c r="BK2" s="7" t="s">
        <v>2680</v>
      </c>
      <c r="BL2" s="7" t="s">
        <v>2681</v>
      </c>
      <c r="BM2" s="7" t="s">
        <v>2682</v>
      </c>
      <c r="BN2" s="7" t="s">
        <v>2683</v>
      </c>
      <c r="BO2" s="7" t="s">
        <v>2684</v>
      </c>
      <c r="BP2" s="7" t="s">
        <v>5073</v>
      </c>
    </row>
    <row r="3" spans="1:69" ht="15" customHeight="1" x14ac:dyDescent="0.25">
      <c r="A3" s="61" t="s">
        <v>497</v>
      </c>
      <c r="B3" s="62"/>
      <c r="C3" s="62"/>
      <c r="D3" s="63">
        <v>10</v>
      </c>
      <c r="E3" s="65"/>
      <c r="F3" s="97" t="str">
        <f>HYPERLINK("https://pbs.twimg.com/profile_images/1838246237616615424/D1inYmre_normal.jpg")</f>
        <v>https://pbs.twimg.com/profile_images/1838246237616615424/D1inYmre_normal.jpg</v>
      </c>
      <c r="G3" s="62"/>
      <c r="H3" s="66"/>
      <c r="I3" s="67"/>
      <c r="J3" s="67"/>
      <c r="K3" s="66" t="s">
        <v>4395</v>
      </c>
      <c r="L3" s="70"/>
      <c r="M3" s="71">
        <v>3107.22998046875</v>
      </c>
      <c r="N3" s="71">
        <v>5096.015625</v>
      </c>
      <c r="O3" s="72"/>
      <c r="P3" s="73"/>
      <c r="Q3" s="73"/>
      <c r="R3" s="81"/>
      <c r="S3" s="45">
        <v>11</v>
      </c>
      <c r="T3" s="45">
        <v>1</v>
      </c>
      <c r="U3" s="46">
        <v>675</v>
      </c>
      <c r="V3" s="46">
        <v>3.7735999999999999E-2</v>
      </c>
      <c r="W3" s="47"/>
      <c r="X3" s="47"/>
      <c r="Y3" s="47"/>
      <c r="Z3" s="46"/>
      <c r="AA3" s="68">
        <v>3</v>
      </c>
      <c r="AB3"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 s="69"/>
      <c r="AD3" t="s">
        <v>2757</v>
      </c>
      <c r="AE3" s="77" t="s">
        <v>2469</v>
      </c>
      <c r="AF3">
        <v>509604</v>
      </c>
      <c r="AG3">
        <v>1746</v>
      </c>
      <c r="AH3">
        <v>40783</v>
      </c>
      <c r="AI3">
        <v>1486</v>
      </c>
      <c r="AJ3">
        <v>20462</v>
      </c>
      <c r="AK3">
        <v>15151</v>
      </c>
      <c r="AL3" t="b">
        <v>0</v>
      </c>
      <c r="AM3" s="76">
        <v>40303.919236111113</v>
      </c>
      <c r="AN3" t="s">
        <v>3400</v>
      </c>
      <c r="AO3" t="s">
        <v>3700</v>
      </c>
      <c r="AP3" s="79" t="str">
        <f>HYPERLINK("https://t.co/1elIf6bIAf")</f>
        <v>https://t.co/1elIf6bIAf</v>
      </c>
      <c r="AQ3" s="79" t="str">
        <f>HYPERLINK("http://www.mineduc.cl")</f>
        <v>http://www.mineduc.cl</v>
      </c>
      <c r="AR3" t="s">
        <v>1165</v>
      </c>
      <c r="AW3" s="79" t="str">
        <f>HYPERLINK("https://t.co/1elIf6bIAf")</f>
        <v>https://t.co/1elIf6bIAf</v>
      </c>
      <c r="AX3" t="b">
        <v>0</v>
      </c>
      <c r="AZ3" t="b">
        <v>1</v>
      </c>
      <c r="BA3" t="b">
        <v>0</v>
      </c>
      <c r="BB3" t="b">
        <v>1</v>
      </c>
      <c r="BC3" t="b">
        <v>0</v>
      </c>
      <c r="BD3" t="b">
        <v>0</v>
      </c>
      <c r="BE3" t="b">
        <v>1</v>
      </c>
      <c r="BF3" t="b">
        <v>0</v>
      </c>
      <c r="BG3" t="b">
        <v>0</v>
      </c>
      <c r="BH3" s="79" t="str">
        <f>HYPERLINK("https://pbs.twimg.com/profile_banners/140583083/1748784026")</f>
        <v>https://pbs.twimg.com/profile_banners/140583083/1748784026</v>
      </c>
      <c r="BJ3" t="s">
        <v>4320</v>
      </c>
      <c r="BK3" t="b">
        <v>1</v>
      </c>
      <c r="BM3" t="s">
        <v>66</v>
      </c>
      <c r="BN3" t="s">
        <v>4322</v>
      </c>
      <c r="BO3" s="79" t="str">
        <f>HYPERLINK("https://twitter.com/mineduc")</f>
        <v>https://twitter.com/mineduc</v>
      </c>
      <c r="BP3" s="112" t="str">
        <f>REPLACE(INDEX(GroupVertices[Group], MATCH("~"&amp;Vertices[[#This Row],[Vertex]],GroupVertices[Vertex],0)),1,1,"")</f>
        <v>1</v>
      </c>
    </row>
    <row r="4" spans="1:69" x14ac:dyDescent="0.25">
      <c r="A4" s="61" t="s">
        <v>266</v>
      </c>
      <c r="B4" s="62"/>
      <c r="C4" s="62"/>
      <c r="D4" s="63">
        <v>8.1488888888888891</v>
      </c>
      <c r="E4" s="65"/>
      <c r="F4" s="97" t="str">
        <f>HYPERLINK("https://pbs.twimg.com/profile_images/1814702908295798784/D2-qs3dC_normal.jpg")</f>
        <v>https://pbs.twimg.com/profile_images/1814702908295798784/D2-qs3dC_normal.jpg</v>
      </c>
      <c r="G4" s="62"/>
      <c r="H4" s="66"/>
      <c r="I4" s="67"/>
      <c r="J4" s="67"/>
      <c r="K4" s="66" t="s">
        <v>4406</v>
      </c>
      <c r="L4" s="70"/>
      <c r="M4" s="71">
        <v>3302.712890625</v>
      </c>
      <c r="N4" s="71">
        <v>5764.7626953125</v>
      </c>
      <c r="O4" s="72"/>
      <c r="P4" s="73"/>
      <c r="Q4" s="73"/>
      <c r="R4" s="81"/>
      <c r="S4" s="45">
        <v>2</v>
      </c>
      <c r="T4" s="45">
        <v>12</v>
      </c>
      <c r="U4" s="46">
        <v>528</v>
      </c>
      <c r="V4" s="46">
        <v>3.3101999999999999E-2</v>
      </c>
      <c r="W4" s="47"/>
      <c r="X4" s="47"/>
      <c r="Y4" s="47"/>
      <c r="Z4" s="46"/>
      <c r="AA4" s="68">
        <v>4</v>
      </c>
      <c r="AB4"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 s="69"/>
      <c r="AD4" t="s">
        <v>2768</v>
      </c>
      <c r="AE4" s="77" t="s">
        <v>2553</v>
      </c>
      <c r="AF4">
        <v>7017</v>
      </c>
      <c r="AG4">
        <v>32</v>
      </c>
      <c r="AH4">
        <v>3008</v>
      </c>
      <c r="AI4">
        <v>0</v>
      </c>
      <c r="AJ4">
        <v>379</v>
      </c>
      <c r="AK4">
        <v>399</v>
      </c>
      <c r="AL4" t="b">
        <v>0</v>
      </c>
      <c r="AM4" s="76">
        <v>43679.63071759259</v>
      </c>
      <c r="AN4" t="s">
        <v>3400</v>
      </c>
      <c r="AO4" t="s">
        <v>3710</v>
      </c>
      <c r="AP4" s="79" t="str">
        <f>HYPERLINK("https://t.co/7aVyD4mHoS")</f>
        <v>https://t.co/7aVyD4mHoS</v>
      </c>
      <c r="AQ4" s="79" t="str">
        <f>HYPERLINK("http://www.sistemadeadmisionescolar.cl")</f>
        <v>http://www.sistemadeadmisionescolar.cl</v>
      </c>
      <c r="AR4" t="s">
        <v>1137</v>
      </c>
      <c r="AW4" s="79" t="str">
        <f>HYPERLINK("https://t.co/7aVyD4mHoS")</f>
        <v>https://t.co/7aVyD4mHoS</v>
      </c>
      <c r="AX4" t="b">
        <v>0</v>
      </c>
      <c r="BA4" t="b">
        <v>1</v>
      </c>
      <c r="BB4" t="b">
        <v>1</v>
      </c>
      <c r="BC4" t="b">
        <v>1</v>
      </c>
      <c r="BD4" t="b">
        <v>0</v>
      </c>
      <c r="BE4" t="b">
        <v>0</v>
      </c>
      <c r="BF4" t="b">
        <v>0</v>
      </c>
      <c r="BG4" t="b">
        <v>0</v>
      </c>
      <c r="BH4" s="79" t="str">
        <f>HYPERLINK("https://pbs.twimg.com/profile_banners/1157307121735798785/1728922588")</f>
        <v>https://pbs.twimg.com/profile_banners/1157307121735798785/1728922588</v>
      </c>
      <c r="BJ4" t="s">
        <v>4320</v>
      </c>
      <c r="BK4" t="b">
        <v>0</v>
      </c>
      <c r="BM4" t="s">
        <v>66</v>
      </c>
      <c r="BN4" t="s">
        <v>4322</v>
      </c>
      <c r="BO4" s="79" t="str">
        <f>HYPERLINK("https://twitter.com/admisionescolar")</f>
        <v>https://twitter.com/admisionescolar</v>
      </c>
      <c r="BP4" s="112" t="str">
        <f>REPLACE(INDEX(GroupVertices[Group], MATCH("~"&amp;Vertices[[#This Row],[Vertex]],GroupVertices[Vertex],0)),1,1,"")</f>
        <v>5</v>
      </c>
      <c r="BQ4" s="2"/>
    </row>
    <row r="5" spans="1:69" x14ac:dyDescent="0.25">
      <c r="A5" s="61" t="s">
        <v>320</v>
      </c>
      <c r="B5" s="62"/>
      <c r="C5" s="62"/>
      <c r="D5" s="63">
        <v>4.068888888888889</v>
      </c>
      <c r="E5" s="65"/>
      <c r="F5" s="97" t="str">
        <f>HYPERLINK("https://pbs.twimg.com/profile_images/1848068801864036352/T3pTYtWo_normal.jpg")</f>
        <v>https://pbs.twimg.com/profile_images/1848068801864036352/T3pTYtWo_normal.jpg</v>
      </c>
      <c r="G5" s="62"/>
      <c r="H5" s="66"/>
      <c r="I5" s="67"/>
      <c r="J5" s="67"/>
      <c r="K5" s="66" t="s">
        <v>4516</v>
      </c>
      <c r="L5" s="70"/>
      <c r="M5" s="71">
        <v>7300.77978515625</v>
      </c>
      <c r="N5" s="71">
        <v>3475.7607421875</v>
      </c>
      <c r="O5" s="72"/>
      <c r="P5" s="73"/>
      <c r="Q5" s="73"/>
      <c r="R5" s="81"/>
      <c r="S5" s="45">
        <v>0</v>
      </c>
      <c r="T5" s="45">
        <v>13</v>
      </c>
      <c r="U5" s="46">
        <v>204</v>
      </c>
      <c r="V5" s="46">
        <v>2.6204999999999999E-2</v>
      </c>
      <c r="W5" s="47"/>
      <c r="X5" s="47"/>
      <c r="Y5" s="47"/>
      <c r="Z5" s="46"/>
      <c r="AA5" s="68">
        <v>5</v>
      </c>
      <c r="AB5"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5" s="69"/>
      <c r="AD5" t="s">
        <v>2876</v>
      </c>
      <c r="AE5" s="77" t="s">
        <v>3243</v>
      </c>
      <c r="AF5">
        <v>124</v>
      </c>
      <c r="AG5">
        <v>1213</v>
      </c>
      <c r="AH5">
        <v>19303</v>
      </c>
      <c r="AI5">
        <v>3</v>
      </c>
      <c r="AJ5">
        <v>9092</v>
      </c>
      <c r="AK5">
        <v>339</v>
      </c>
      <c r="AL5" t="b">
        <v>0</v>
      </c>
      <c r="AM5" s="76">
        <v>40859.680104166669</v>
      </c>
      <c r="AX5" t="b">
        <v>0</v>
      </c>
      <c r="BA5" t="b">
        <v>1</v>
      </c>
      <c r="BB5" t="b">
        <v>1</v>
      </c>
      <c r="BC5" t="b">
        <v>1</v>
      </c>
      <c r="BD5" t="b">
        <v>0</v>
      </c>
      <c r="BE5" t="b">
        <v>1</v>
      </c>
      <c r="BF5" t="b">
        <v>0</v>
      </c>
      <c r="BG5" t="b">
        <v>0</v>
      </c>
      <c r="BJ5" t="s">
        <v>4320</v>
      </c>
      <c r="BK5" t="b">
        <v>0</v>
      </c>
      <c r="BM5" t="s">
        <v>66</v>
      </c>
      <c r="BN5" t="s">
        <v>4322</v>
      </c>
      <c r="BO5" s="79" t="str">
        <f>HYPERLINK("https://twitter.com/palasrisillas")</f>
        <v>https://twitter.com/palasrisillas</v>
      </c>
      <c r="BP5" s="112" t="str">
        <f>REPLACE(INDEX(GroupVertices[Group], MATCH("~"&amp;Vertices[[#This Row],[Vertex]],GroupVertices[Vertex],0)),1,1,"")</f>
        <v>2</v>
      </c>
      <c r="BQ5" s="2"/>
    </row>
    <row r="6" spans="1:69" x14ac:dyDescent="0.25">
      <c r="A6" s="61" t="s">
        <v>398</v>
      </c>
      <c r="B6" s="62"/>
      <c r="C6" s="62"/>
      <c r="D6" s="63">
        <v>3.791851851851852</v>
      </c>
      <c r="E6" s="65"/>
      <c r="F6" s="97" t="str">
        <f>HYPERLINK("https://pbs.twimg.com/profile_images/1923063487841927168/CDPK27Dr_normal.jpg")</f>
        <v>https://pbs.twimg.com/profile_images/1923063487841927168/CDPK27Dr_normal.jpg</v>
      </c>
      <c r="G6" s="62"/>
      <c r="H6" s="66"/>
      <c r="I6" s="67"/>
      <c r="J6" s="67"/>
      <c r="K6" s="66" t="s">
        <v>4652</v>
      </c>
      <c r="L6" s="70"/>
      <c r="M6" s="71">
        <v>4726.31298828125</v>
      </c>
      <c r="N6" s="71">
        <v>6628.5234375</v>
      </c>
      <c r="O6" s="72"/>
      <c r="P6" s="73"/>
      <c r="Q6" s="73"/>
      <c r="R6" s="81"/>
      <c r="S6" s="45">
        <v>0</v>
      </c>
      <c r="T6" s="45">
        <v>14</v>
      </c>
      <c r="U6" s="46">
        <v>182</v>
      </c>
      <c r="V6" s="46">
        <v>2.9350000000000001E-2</v>
      </c>
      <c r="W6" s="47"/>
      <c r="X6" s="47"/>
      <c r="Y6" s="47"/>
      <c r="Z6" s="46"/>
      <c r="AA6" s="68">
        <v>6</v>
      </c>
      <c r="AB6"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6" s="69"/>
      <c r="AD6" t="s">
        <v>3010</v>
      </c>
      <c r="AE6" s="77" t="s">
        <v>2606</v>
      </c>
      <c r="AF6">
        <v>34</v>
      </c>
      <c r="AG6">
        <v>0</v>
      </c>
      <c r="AH6">
        <v>4040</v>
      </c>
      <c r="AI6">
        <v>2</v>
      </c>
      <c r="AJ6">
        <v>4103</v>
      </c>
      <c r="AK6">
        <v>588</v>
      </c>
      <c r="AL6" t="b">
        <v>0</v>
      </c>
      <c r="AM6" s="76">
        <v>45375.75267361111</v>
      </c>
      <c r="AN6" t="s">
        <v>1769</v>
      </c>
      <c r="AO6" t="s">
        <v>3927</v>
      </c>
      <c r="AP6" s="79" t="str">
        <f>HYPERLINK("https://t.co/Xy93OBCmYK")</f>
        <v>https://t.co/Xy93OBCmYK</v>
      </c>
      <c r="AQ6" s="79" t="str">
        <f>HYPERLINK("https://youtube.com/shorts/x8uO-CpRN9E?si=8KnR-OIOIvsipJRQ")</f>
        <v>https://youtube.com/shorts/x8uO-CpRN9E?si=8KnR-OIOIvsipJRQ</v>
      </c>
      <c r="AR6" t="s">
        <v>4186</v>
      </c>
      <c r="AW6" s="79" t="str">
        <f>HYPERLINK("https://t.co/Xy93OBCmYK")</f>
        <v>https://t.co/Xy93OBCmYK</v>
      </c>
      <c r="AX6" t="b">
        <v>0</v>
      </c>
      <c r="BA6" t="b">
        <v>0</v>
      </c>
      <c r="BB6" t="b">
        <v>1</v>
      </c>
      <c r="BC6" t="b">
        <v>1</v>
      </c>
      <c r="BD6" t="b">
        <v>0</v>
      </c>
      <c r="BE6" t="b">
        <v>0</v>
      </c>
      <c r="BF6" t="b">
        <v>0</v>
      </c>
      <c r="BG6" t="b">
        <v>0</v>
      </c>
      <c r="BH6" s="79" t="str">
        <f>HYPERLINK("https://pbs.twimg.com/profile_banners/1771960946333732864/1711304704")</f>
        <v>https://pbs.twimg.com/profile_banners/1771960946333732864/1711304704</v>
      </c>
      <c r="BJ6" t="s">
        <v>4320</v>
      </c>
      <c r="BK6" t="b">
        <v>0</v>
      </c>
      <c r="BM6" t="s">
        <v>66</v>
      </c>
      <c r="BN6" t="s">
        <v>4322</v>
      </c>
      <c r="BO6" s="79" t="str">
        <f>HYPERLINK("https://twitter.com/gonzalorguezm")</f>
        <v>https://twitter.com/gonzalorguezm</v>
      </c>
      <c r="BP6" s="112" t="str">
        <f>REPLACE(INDEX(GroupVertices[Group], MATCH("~"&amp;Vertices[[#This Row],[Vertex]],GroupVertices[Vertex],0)),1,1,"")</f>
        <v>3</v>
      </c>
      <c r="BQ6" s="2"/>
    </row>
    <row r="7" spans="1:69" x14ac:dyDescent="0.25">
      <c r="A7" s="61" t="s">
        <v>341</v>
      </c>
      <c r="B7" s="62"/>
      <c r="C7" s="62"/>
      <c r="D7" s="63">
        <v>3.6155555555555554</v>
      </c>
      <c r="E7" s="65"/>
      <c r="F7" s="97" t="str">
        <f>HYPERLINK("https://pbs.twimg.com/profile_images/1578909245700861952/0UZus3hG_normal.jpg")</f>
        <v>https://pbs.twimg.com/profile_images/1578909245700861952/0UZus3hG_normal.jpg</v>
      </c>
      <c r="G7" s="62"/>
      <c r="H7" s="66"/>
      <c r="I7" s="67"/>
      <c r="J7" s="67"/>
      <c r="K7" s="66" t="s">
        <v>4559</v>
      </c>
      <c r="L7" s="70"/>
      <c r="M7" s="71">
        <v>3618.866943359375</v>
      </c>
      <c r="N7" s="71">
        <v>3116.771728515625</v>
      </c>
      <c r="O7" s="72"/>
      <c r="P7" s="73"/>
      <c r="Q7" s="73"/>
      <c r="R7" s="81"/>
      <c r="S7" s="45">
        <v>0</v>
      </c>
      <c r="T7" s="45">
        <v>4</v>
      </c>
      <c r="U7" s="46">
        <v>168</v>
      </c>
      <c r="V7" s="46">
        <v>2.5846000000000001E-2</v>
      </c>
      <c r="W7" s="47"/>
      <c r="X7" s="47"/>
      <c r="Y7" s="47"/>
      <c r="Z7" s="46"/>
      <c r="AA7" s="68">
        <v>7</v>
      </c>
      <c r="AB7"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7" s="69"/>
      <c r="AD7" t="s">
        <v>2918</v>
      </c>
      <c r="AE7" s="77" t="s">
        <v>3272</v>
      </c>
      <c r="AF7">
        <v>509</v>
      </c>
      <c r="AG7">
        <v>1216</v>
      </c>
      <c r="AH7">
        <v>17740</v>
      </c>
      <c r="AI7">
        <v>7</v>
      </c>
      <c r="AJ7">
        <v>19012</v>
      </c>
      <c r="AK7">
        <v>1342</v>
      </c>
      <c r="AL7" t="b">
        <v>0</v>
      </c>
      <c r="AM7" s="76">
        <v>41648.04146990741</v>
      </c>
      <c r="AX7" t="b">
        <v>0</v>
      </c>
      <c r="BA7" t="b">
        <v>1</v>
      </c>
      <c r="BB7" t="b">
        <v>0</v>
      </c>
      <c r="BC7" t="b">
        <v>1</v>
      </c>
      <c r="BD7" t="b">
        <v>0</v>
      </c>
      <c r="BE7" t="b">
        <v>1</v>
      </c>
      <c r="BF7" t="b">
        <v>0</v>
      </c>
      <c r="BG7" t="b">
        <v>0</v>
      </c>
      <c r="BH7" s="79" t="str">
        <f>HYPERLINK("https://pbs.twimg.com/profile_banners/2282830267/1665276363")</f>
        <v>https://pbs.twimg.com/profile_banners/2282830267/1665276363</v>
      </c>
      <c r="BJ7" t="s">
        <v>4320</v>
      </c>
      <c r="BK7" t="b">
        <v>0</v>
      </c>
      <c r="BM7" t="s">
        <v>66</v>
      </c>
      <c r="BN7" t="s">
        <v>4322</v>
      </c>
      <c r="BO7" s="79" t="str">
        <f>HYPERLINK("https://twitter.com/claud1adiaz")</f>
        <v>https://twitter.com/claud1adiaz</v>
      </c>
      <c r="BP7" s="112" t="str">
        <f>REPLACE(INDEX(GroupVertices[Group], MATCH("~"&amp;Vertices[[#This Row],[Vertex]],GroupVertices[Vertex],0)),1,1,"")</f>
        <v>1</v>
      </c>
      <c r="BQ7" s="2"/>
    </row>
    <row r="8" spans="1:69" x14ac:dyDescent="0.25">
      <c r="A8" s="61" t="s">
        <v>260</v>
      </c>
      <c r="B8" s="62"/>
      <c r="C8" s="62"/>
      <c r="D8" s="63">
        <v>3.1286419711111115</v>
      </c>
      <c r="E8" s="65"/>
      <c r="F8" s="97" t="str">
        <f>HYPERLINK("https://pbs.twimg.com/profile_images/1893051635103838208/G65URaur_normal.jpg")</f>
        <v>https://pbs.twimg.com/profile_images/1893051635103838208/G65URaur_normal.jpg</v>
      </c>
      <c r="G8" s="62"/>
      <c r="H8" s="66"/>
      <c r="I8" s="67"/>
      <c r="J8" s="67"/>
      <c r="K8" s="66" t="s">
        <v>4392</v>
      </c>
      <c r="L8" s="70"/>
      <c r="M8" s="71">
        <v>3983.8173828125</v>
      </c>
      <c r="N8" s="71">
        <v>6419.10986328125</v>
      </c>
      <c r="O8" s="72"/>
      <c r="P8" s="73"/>
      <c r="Q8" s="73"/>
      <c r="R8" s="81"/>
      <c r="S8" s="45">
        <v>0</v>
      </c>
      <c r="T8" s="45">
        <v>4</v>
      </c>
      <c r="U8" s="46">
        <v>129.33333300000001</v>
      </c>
      <c r="V8" s="46">
        <v>2.6575000000000001E-2</v>
      </c>
      <c r="W8" s="47"/>
      <c r="X8" s="47"/>
      <c r="Y8" s="47"/>
      <c r="Z8" s="46"/>
      <c r="AA8" s="68">
        <v>8</v>
      </c>
      <c r="AB8"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8" s="69"/>
      <c r="AD8" t="s">
        <v>2754</v>
      </c>
      <c r="AE8" s="77" t="s">
        <v>2549</v>
      </c>
      <c r="AF8">
        <v>265</v>
      </c>
      <c r="AG8">
        <v>1259</v>
      </c>
      <c r="AH8">
        <v>3898</v>
      </c>
      <c r="AI8">
        <v>1</v>
      </c>
      <c r="AJ8">
        <v>5905</v>
      </c>
      <c r="AK8">
        <v>395</v>
      </c>
      <c r="AL8" t="b">
        <v>0</v>
      </c>
      <c r="AM8" s="76">
        <v>42462.801793981482</v>
      </c>
      <c r="AO8" t="s">
        <v>3697</v>
      </c>
      <c r="AX8" t="b">
        <v>0</v>
      </c>
      <c r="BA8" t="b">
        <v>1</v>
      </c>
      <c r="BB8" t="b">
        <v>0</v>
      </c>
      <c r="BC8" t="b">
        <v>1</v>
      </c>
      <c r="BD8" t="b">
        <v>0</v>
      </c>
      <c r="BE8" t="b">
        <v>1</v>
      </c>
      <c r="BF8" t="b">
        <v>0</v>
      </c>
      <c r="BG8" t="b">
        <v>0</v>
      </c>
      <c r="BH8" s="79" t="str">
        <f>HYPERLINK("https://pbs.twimg.com/profile_banners/716343086016815104/1737396522")</f>
        <v>https://pbs.twimg.com/profile_banners/716343086016815104/1737396522</v>
      </c>
      <c r="BJ8" t="s">
        <v>4320</v>
      </c>
      <c r="BK8" t="b">
        <v>0</v>
      </c>
      <c r="BM8" t="s">
        <v>66</v>
      </c>
      <c r="BN8" t="s">
        <v>4322</v>
      </c>
      <c r="BO8" s="79" t="str">
        <f>HYPERLINK("https://twitter.com/inohino365")</f>
        <v>https://twitter.com/inohino365</v>
      </c>
      <c r="BP8" s="112" t="str">
        <f>REPLACE(INDEX(GroupVertices[Group], MATCH("~"&amp;Vertices[[#This Row],[Vertex]],GroupVertices[Vertex],0)),1,1,"")</f>
        <v>1</v>
      </c>
      <c r="BQ8" s="2"/>
    </row>
    <row r="9" spans="1:69" x14ac:dyDescent="0.25">
      <c r="A9" s="61" t="s">
        <v>460</v>
      </c>
      <c r="B9" s="62"/>
      <c r="C9" s="62"/>
      <c r="D9" s="63">
        <v>2.8641975266666666</v>
      </c>
      <c r="E9" s="65"/>
      <c r="F9" s="97" t="str">
        <f>HYPERLINK("https://pbs.twimg.com/profile_images/566055001714606081/qsTff60g_normal.jpeg")</f>
        <v>https://pbs.twimg.com/profile_images/566055001714606081/qsTff60g_normal.jpeg</v>
      </c>
      <c r="G9" s="62"/>
      <c r="H9" s="66"/>
      <c r="I9" s="67"/>
      <c r="J9" s="67"/>
      <c r="K9" s="66" t="s">
        <v>4739</v>
      </c>
      <c r="L9" s="70"/>
      <c r="M9" s="71">
        <v>2944.32763671875</v>
      </c>
      <c r="N9" s="71">
        <v>5265.048828125</v>
      </c>
      <c r="O9" s="72"/>
      <c r="P9" s="73"/>
      <c r="Q9" s="73"/>
      <c r="R9" s="81"/>
      <c r="S9" s="45">
        <v>0</v>
      </c>
      <c r="T9" s="45">
        <v>4</v>
      </c>
      <c r="U9" s="46">
        <v>108.333333</v>
      </c>
      <c r="V9" s="46">
        <v>2.5846000000000001E-2</v>
      </c>
      <c r="W9" s="47"/>
      <c r="X9" s="47"/>
      <c r="Y9" s="47"/>
      <c r="Z9" s="46"/>
      <c r="AA9" s="68">
        <v>9</v>
      </c>
      <c r="AB9"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9" s="69"/>
      <c r="AD9" t="s">
        <v>3092</v>
      </c>
      <c r="AE9" s="77" t="s">
        <v>3368</v>
      </c>
      <c r="AF9">
        <v>142</v>
      </c>
      <c r="AG9">
        <v>305</v>
      </c>
      <c r="AH9">
        <v>7053</v>
      </c>
      <c r="AI9">
        <v>1</v>
      </c>
      <c r="AJ9">
        <v>9406</v>
      </c>
      <c r="AK9">
        <v>366</v>
      </c>
      <c r="AL9" t="b">
        <v>0</v>
      </c>
      <c r="AM9" s="76">
        <v>42048.043680555558</v>
      </c>
      <c r="AN9" t="s">
        <v>3603</v>
      </c>
      <c r="AO9" t="s">
        <v>4001</v>
      </c>
      <c r="AX9" t="b">
        <v>0</v>
      </c>
      <c r="BA9" t="b">
        <v>0</v>
      </c>
      <c r="BB9" t="b">
        <v>1</v>
      </c>
      <c r="BC9" t="b">
        <v>1</v>
      </c>
      <c r="BD9" t="b">
        <v>0</v>
      </c>
      <c r="BE9" t="b">
        <v>1</v>
      </c>
      <c r="BF9" t="b">
        <v>0</v>
      </c>
      <c r="BG9" t="b">
        <v>0</v>
      </c>
      <c r="BH9" s="79" t="str">
        <f>HYPERLINK("https://pbs.twimg.com/profile_banners/3033737213/1439158339")</f>
        <v>https://pbs.twimg.com/profile_banners/3033737213/1439158339</v>
      </c>
      <c r="BJ9" t="s">
        <v>4320</v>
      </c>
      <c r="BK9" t="b">
        <v>0</v>
      </c>
      <c r="BM9" t="s">
        <v>66</v>
      </c>
      <c r="BN9" t="s">
        <v>4322</v>
      </c>
      <c r="BO9" s="79" t="str">
        <f>HYPERLINK("https://twitter.com/magallaugarte")</f>
        <v>https://twitter.com/magallaugarte</v>
      </c>
      <c r="BP9" s="112" t="str">
        <f>REPLACE(INDEX(GroupVertices[Group], MATCH("~"&amp;Vertices[[#This Row],[Vertex]],GroupVertices[Vertex],0)),1,1,"")</f>
        <v>1</v>
      </c>
      <c r="BQ9" s="2"/>
    </row>
    <row r="10" spans="1:69" x14ac:dyDescent="0.25">
      <c r="A10" s="61" t="s">
        <v>506</v>
      </c>
      <c r="B10" s="62"/>
      <c r="C10" s="62"/>
      <c r="D10" s="63">
        <v>2.5325925925925925</v>
      </c>
      <c r="E10" s="65"/>
      <c r="F10" s="97" t="str">
        <f>HYPERLINK("https://pbs.twimg.com/profile_images/1290059307195670529/BniAB8VL_normal.jpg")</f>
        <v>https://pbs.twimg.com/profile_images/1290059307195670529/BniAB8VL_normal.jpg</v>
      </c>
      <c r="G10" s="62"/>
      <c r="H10" s="66"/>
      <c r="I10" s="67"/>
      <c r="J10" s="67"/>
      <c r="K10" s="66" t="s">
        <v>4351</v>
      </c>
      <c r="L10" s="70"/>
      <c r="M10" s="71">
        <v>5544.171875</v>
      </c>
      <c r="N10" s="71">
        <v>6948.521484375</v>
      </c>
      <c r="O10" s="72"/>
      <c r="P10" s="73"/>
      <c r="Q10" s="73"/>
      <c r="R10" s="81"/>
      <c r="S10" s="45">
        <v>8</v>
      </c>
      <c r="T10" s="45">
        <v>1</v>
      </c>
      <c r="U10" s="46">
        <v>82</v>
      </c>
      <c r="V10" s="46">
        <v>2.0126000000000002E-2</v>
      </c>
      <c r="W10" s="47"/>
      <c r="X10" s="47"/>
      <c r="Y10" s="47"/>
      <c r="Z10" s="46"/>
      <c r="AA10" s="68">
        <v>10</v>
      </c>
      <c r="AB10"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0" s="69"/>
      <c r="AD10" t="s">
        <v>2713</v>
      </c>
      <c r="AE10" s="77" t="s">
        <v>3170</v>
      </c>
      <c r="AF10">
        <v>8176176</v>
      </c>
      <c r="AG10">
        <v>13902</v>
      </c>
      <c r="AH10">
        <v>1469900</v>
      </c>
      <c r="AI10">
        <v>24816</v>
      </c>
      <c r="AJ10">
        <v>30436</v>
      </c>
      <c r="AK10">
        <v>321779</v>
      </c>
      <c r="AL10" t="b">
        <v>0</v>
      </c>
      <c r="AM10" s="76">
        <v>39731.006319444445</v>
      </c>
      <c r="AN10" t="s">
        <v>3421</v>
      </c>
      <c r="AO10" t="s">
        <v>3660</v>
      </c>
      <c r="AP10" s="79" t="str">
        <f>HYPERLINK("https://t.co/qbK5igI6xs")</f>
        <v>https://t.co/qbK5igI6xs</v>
      </c>
      <c r="AQ10" s="79" t="str">
        <f>HYPERLINK("http://www.eluniversal.com.mx")</f>
        <v>http://www.eluniversal.com.mx</v>
      </c>
      <c r="AR10" t="s">
        <v>4069</v>
      </c>
      <c r="AS10" s="79" t="str">
        <f>HYPERLINK("https://t.co/X0tZQ46F4p")</f>
        <v>https://t.co/X0tZQ46F4p</v>
      </c>
      <c r="AT10" s="79" t="str">
        <f>HYPERLINK("https://whatsapp.com/channel/0029Va4lfJc1CYoM1R8IT71e")</f>
        <v>https://whatsapp.com/channel/0029Va4lfJc1CYoM1R8IT71e</v>
      </c>
      <c r="AU10" t="s">
        <v>4269</v>
      </c>
      <c r="AW10" s="79" t="str">
        <f>HYPERLINK("https://t.co/qbK5igI6xs")</f>
        <v>https://t.co/qbK5igI6xs</v>
      </c>
      <c r="AX10" t="b">
        <v>1</v>
      </c>
      <c r="BA10" t="b">
        <v>0</v>
      </c>
      <c r="BB10" t="b">
        <v>1</v>
      </c>
      <c r="BC10" t="b">
        <v>0</v>
      </c>
      <c r="BD10" t="b">
        <v>0</v>
      </c>
      <c r="BE10" t="b">
        <v>1</v>
      </c>
      <c r="BF10" t="b">
        <v>0</v>
      </c>
      <c r="BG10" t="b">
        <v>0</v>
      </c>
      <c r="BH10" s="79" t="str">
        <f>HYPERLINK("https://pbs.twimg.com/profile_banners/16676396/1681503943")</f>
        <v>https://pbs.twimg.com/profile_banners/16676396/1681503943</v>
      </c>
      <c r="BJ10" t="s">
        <v>4320</v>
      </c>
      <c r="BK10" t="b">
        <v>0</v>
      </c>
      <c r="BM10" t="s">
        <v>66</v>
      </c>
      <c r="BN10" t="s">
        <v>4322</v>
      </c>
      <c r="BO10" s="79" t="str">
        <f>HYPERLINK("https://twitter.com/el_universal_mx")</f>
        <v>https://twitter.com/el_universal_mx</v>
      </c>
      <c r="BP10" s="112" t="str">
        <f>REPLACE(INDEX(GroupVertices[Group], MATCH("~"&amp;Vertices[[#This Row],[Vertex]],GroupVertices[Vertex],0)),1,1,"")</f>
        <v>4</v>
      </c>
      <c r="BQ10" s="2"/>
    </row>
    <row r="11" spans="1:69" x14ac:dyDescent="0.25">
      <c r="A11" s="61" t="s">
        <v>587</v>
      </c>
      <c r="B11" s="62"/>
      <c r="C11" s="62"/>
      <c r="D11" s="63">
        <v>2.3311111111111114</v>
      </c>
      <c r="E11" s="65"/>
      <c r="F11" s="97" t="str">
        <f>HYPERLINK("https://pbs.twimg.com/profile_images/1823144311669526528/kDy47lgA_normal.jpg")</f>
        <v>https://pbs.twimg.com/profile_images/1823144311669526528/kDy47lgA_normal.jpg</v>
      </c>
      <c r="G11" s="62"/>
      <c r="H11" s="66"/>
      <c r="I11" s="67"/>
      <c r="J11" s="67"/>
      <c r="K11" s="66" t="s">
        <v>4496</v>
      </c>
      <c r="L11" s="70"/>
      <c r="M11" s="71">
        <v>5745.09326171875</v>
      </c>
      <c r="N11" s="71">
        <v>6377.6767578125</v>
      </c>
      <c r="O11" s="72"/>
      <c r="P11" s="73"/>
      <c r="Q11" s="73"/>
      <c r="R11" s="81"/>
      <c r="S11" s="45">
        <v>8</v>
      </c>
      <c r="T11" s="45">
        <v>0</v>
      </c>
      <c r="U11" s="46">
        <v>66</v>
      </c>
      <c r="V11" s="46">
        <v>1.8867999999999999E-2</v>
      </c>
      <c r="W11" s="47"/>
      <c r="X11" s="47"/>
      <c r="Y11" s="47"/>
      <c r="Z11" s="46"/>
      <c r="AA11" s="68">
        <v>11</v>
      </c>
      <c r="AB11"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1" s="69"/>
      <c r="AD11" t="s">
        <v>2857</v>
      </c>
      <c r="AE11" s="77" t="s">
        <v>3233</v>
      </c>
      <c r="AF11">
        <v>11902</v>
      </c>
      <c r="AG11">
        <v>1446</v>
      </c>
      <c r="AH11">
        <v>25158</v>
      </c>
      <c r="AI11">
        <v>134</v>
      </c>
      <c r="AJ11">
        <v>6257</v>
      </c>
      <c r="AK11">
        <v>3607</v>
      </c>
      <c r="AL11" t="b">
        <v>0</v>
      </c>
      <c r="AM11" s="76">
        <v>40129.928182870368</v>
      </c>
      <c r="AN11" t="s">
        <v>3487</v>
      </c>
      <c r="AO11" t="s">
        <v>3785</v>
      </c>
      <c r="AP11" s="79" t="str">
        <f>HYPERLINK("https://t.co/XycjDUES2X")</f>
        <v>https://t.co/XycjDUES2X</v>
      </c>
      <c r="AQ11" s="79" t="str">
        <f>HYPERLINK("http://www.ricardohoms.com")</f>
        <v>http://www.ricardohoms.com</v>
      </c>
      <c r="AR11" t="s">
        <v>4120</v>
      </c>
      <c r="AW11" s="79" t="str">
        <f>HYPERLINK("https://t.co/XycjDUES2X")</f>
        <v>https://t.co/XycjDUES2X</v>
      </c>
      <c r="AX11" t="b">
        <v>0</v>
      </c>
      <c r="AZ11" t="b">
        <v>0</v>
      </c>
      <c r="BA11" t="b">
        <v>0</v>
      </c>
      <c r="BB11" t="b">
        <v>1</v>
      </c>
      <c r="BC11" t="b">
        <v>0</v>
      </c>
      <c r="BD11" t="b">
        <v>0</v>
      </c>
      <c r="BE11" t="b">
        <v>1</v>
      </c>
      <c r="BF11" t="b">
        <v>0</v>
      </c>
      <c r="BG11" t="b">
        <v>0</v>
      </c>
      <c r="BH11" s="79" t="str">
        <f>HYPERLINK("https://pbs.twimg.com/profile_banners/89555842/1508827217")</f>
        <v>https://pbs.twimg.com/profile_banners/89555842/1508827217</v>
      </c>
      <c r="BJ11" t="s">
        <v>4320</v>
      </c>
      <c r="BK11" t="b">
        <v>0</v>
      </c>
      <c r="BM11" t="s">
        <v>65</v>
      </c>
      <c r="BN11" t="s">
        <v>4322</v>
      </c>
      <c r="BO11" s="79" t="str">
        <f>HYPERLINK("https://twitter.com/homsricardo")</f>
        <v>https://twitter.com/homsricardo</v>
      </c>
      <c r="BP11" s="112" t="str">
        <f>REPLACE(INDEX(GroupVertices[Group], MATCH("~"&amp;Vertices[[#This Row],[Vertex]],GroupVertices[Vertex],0)),1,1,"")</f>
        <v>4</v>
      </c>
      <c r="BQ11" s="2"/>
    </row>
    <row r="12" spans="1:69" x14ac:dyDescent="0.25">
      <c r="A12" s="61" t="s">
        <v>322</v>
      </c>
      <c r="B12" s="62"/>
      <c r="C12" s="62"/>
      <c r="D12" s="63">
        <v>2.2303703703703706</v>
      </c>
      <c r="E12" s="65"/>
      <c r="F12" s="97" t="str">
        <f>HYPERLINK("https://pbs.twimg.com/profile_images/1500979201897164800/tfDltMA9_normal.jpg")</f>
        <v>https://pbs.twimg.com/profile_images/1500979201897164800/tfDltMA9_normal.jpg</v>
      </c>
      <c r="G12" s="62"/>
      <c r="H12" s="66"/>
      <c r="I12" s="67"/>
      <c r="J12" s="67"/>
      <c r="K12" s="66" t="s">
        <v>4531</v>
      </c>
      <c r="L12" s="70"/>
      <c r="M12" s="71">
        <v>4357.05712890625</v>
      </c>
      <c r="N12" s="71">
        <v>4451.96484375</v>
      </c>
      <c r="O12" s="72"/>
      <c r="P12" s="73"/>
      <c r="Q12" s="73"/>
      <c r="R12" s="81"/>
      <c r="S12" s="45">
        <v>0</v>
      </c>
      <c r="T12" s="45">
        <v>2</v>
      </c>
      <c r="U12" s="46">
        <v>58</v>
      </c>
      <c r="V12" s="46">
        <v>2.4504000000000001E-2</v>
      </c>
      <c r="W12" s="47"/>
      <c r="X12" s="47"/>
      <c r="Y12" s="47"/>
      <c r="Z12" s="46"/>
      <c r="AA12" s="68">
        <v>12</v>
      </c>
      <c r="AB12"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2" s="69"/>
      <c r="AD12" t="s">
        <v>2891</v>
      </c>
      <c r="AE12" s="77" t="s">
        <v>3257</v>
      </c>
      <c r="AF12">
        <v>618</v>
      </c>
      <c r="AG12">
        <v>253</v>
      </c>
      <c r="AH12">
        <v>105943</v>
      </c>
      <c r="AI12">
        <v>7</v>
      </c>
      <c r="AJ12">
        <v>36479</v>
      </c>
      <c r="AK12">
        <v>4728</v>
      </c>
      <c r="AL12" t="b">
        <v>0</v>
      </c>
      <c r="AM12" s="76">
        <v>40017.055567129632</v>
      </c>
      <c r="AN12" t="s">
        <v>3503</v>
      </c>
      <c r="AO12" t="s">
        <v>3816</v>
      </c>
      <c r="AV12">
        <v>1.56504682163793E+18</v>
      </c>
      <c r="AX12" t="b">
        <v>0</v>
      </c>
      <c r="BA12" t="b">
        <v>1</v>
      </c>
      <c r="BB12" t="b">
        <v>0</v>
      </c>
      <c r="BC12" t="b">
        <v>0</v>
      </c>
      <c r="BD12" t="b">
        <v>0</v>
      </c>
      <c r="BE12" t="b">
        <v>1</v>
      </c>
      <c r="BF12" t="b">
        <v>0</v>
      </c>
      <c r="BG12" t="b">
        <v>0</v>
      </c>
      <c r="BH12" s="79" t="str">
        <f>HYPERLINK("https://pbs.twimg.com/profile_banners/59316426/1705109056")</f>
        <v>https://pbs.twimg.com/profile_banners/59316426/1705109056</v>
      </c>
      <c r="BJ12" t="s">
        <v>4320</v>
      </c>
      <c r="BK12" t="b">
        <v>0</v>
      </c>
      <c r="BM12" t="s">
        <v>66</v>
      </c>
      <c r="BN12" t="s">
        <v>4322</v>
      </c>
      <c r="BO12" s="79" t="str">
        <f>HYPERLINK("https://twitter.com/_mpez")</f>
        <v>https://twitter.com/_mpez</v>
      </c>
      <c r="BP12" s="112" t="str">
        <f>REPLACE(INDEX(GroupVertices[Group], MATCH("~"&amp;Vertices[[#This Row],[Vertex]],GroupVertices[Vertex],0)),1,1,"")</f>
        <v>1</v>
      </c>
      <c r="BQ12" s="2"/>
    </row>
    <row r="13" spans="1:69" x14ac:dyDescent="0.25">
      <c r="A13" s="61" t="s">
        <v>514</v>
      </c>
      <c r="B13" s="62"/>
      <c r="C13" s="62"/>
      <c r="D13" s="63">
        <v>2.2051851851851851</v>
      </c>
      <c r="E13" s="65"/>
      <c r="F13" s="97" t="str">
        <f>HYPERLINK("https://pbs.twimg.com/profile_images/1836005459905404928/mLfsEp1O_normal.jpg")</f>
        <v>https://pbs.twimg.com/profile_images/1836005459905404928/mLfsEp1O_normal.jpg</v>
      </c>
      <c r="G13" s="62"/>
      <c r="H13" s="66"/>
      <c r="I13" s="67"/>
      <c r="J13" s="67"/>
      <c r="K13" s="66" t="s">
        <v>4323</v>
      </c>
      <c r="L13" s="70"/>
      <c r="M13" s="71">
        <v>6373.78125</v>
      </c>
      <c r="N13" s="71">
        <v>4677.568359375</v>
      </c>
      <c r="O13" s="72"/>
      <c r="P13" s="73"/>
      <c r="Q13" s="73"/>
      <c r="R13" s="81"/>
      <c r="S13" s="45">
        <v>8</v>
      </c>
      <c r="T13" s="45">
        <v>0</v>
      </c>
      <c r="U13" s="46">
        <v>56</v>
      </c>
      <c r="V13" s="46">
        <v>1.6771000000000001E-2</v>
      </c>
      <c r="W13" s="47"/>
      <c r="X13" s="47"/>
      <c r="Y13" s="47"/>
      <c r="Z13" s="46"/>
      <c r="AA13" s="68">
        <v>13</v>
      </c>
      <c r="AB13"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3" s="69"/>
      <c r="AD13" t="s">
        <v>2685</v>
      </c>
      <c r="AE13" s="77" t="s">
        <v>2373</v>
      </c>
      <c r="AF13">
        <v>4790482</v>
      </c>
      <c r="AG13">
        <v>14851</v>
      </c>
      <c r="AH13">
        <v>1076561</v>
      </c>
      <c r="AI13">
        <v>10421</v>
      </c>
      <c r="AJ13">
        <v>11560</v>
      </c>
      <c r="AK13">
        <v>211969</v>
      </c>
      <c r="AL13" t="b">
        <v>0</v>
      </c>
      <c r="AM13" s="76">
        <v>39571.63548611111</v>
      </c>
      <c r="AN13" t="s">
        <v>3400</v>
      </c>
      <c r="AO13" t="s">
        <v>3635</v>
      </c>
      <c r="AP13" s="79" t="str">
        <f>HYPERLINK("https://t.co/TZZ7k8ybd9")</f>
        <v>https://t.co/TZZ7k8ybd9</v>
      </c>
      <c r="AQ13" s="79" t="str">
        <f>HYPERLINK("http://www.biobiochile.cl")</f>
        <v>http://www.biobiochile.cl</v>
      </c>
      <c r="AR13" t="s">
        <v>4057</v>
      </c>
      <c r="AW13" s="79" t="str">
        <f>HYPERLINK("https://t.co/TZZ7k8ybd9")</f>
        <v>https://t.co/TZZ7k8ybd9</v>
      </c>
      <c r="AX13" t="b">
        <v>1</v>
      </c>
      <c r="AZ13" t="b">
        <v>1</v>
      </c>
      <c r="BA13" t="b">
        <v>0</v>
      </c>
      <c r="BB13" t="b">
        <v>1</v>
      </c>
      <c r="BC13" t="b">
        <v>0</v>
      </c>
      <c r="BD13" t="b">
        <v>0</v>
      </c>
      <c r="BE13" t="b">
        <v>1</v>
      </c>
      <c r="BF13" t="b">
        <v>0</v>
      </c>
      <c r="BG13" t="b">
        <v>0</v>
      </c>
      <c r="BH13" s="79" t="str">
        <f>HYPERLINK("https://pbs.twimg.com/profile_banners/14638581/1748873153")</f>
        <v>https://pbs.twimg.com/profile_banners/14638581/1748873153</v>
      </c>
      <c r="BJ13" t="s">
        <v>4320</v>
      </c>
      <c r="BK13" t="b">
        <v>1</v>
      </c>
      <c r="BM13" t="s">
        <v>65</v>
      </c>
      <c r="BN13" t="s">
        <v>4322</v>
      </c>
      <c r="BO13" s="79" t="str">
        <f>HYPERLINK("https://twitter.com/biobio")</f>
        <v>https://twitter.com/biobio</v>
      </c>
      <c r="BP13" s="112" t="str">
        <f>REPLACE(INDEX(GroupVertices[Group], MATCH("~"&amp;Vertices[[#This Row],[Vertex]],GroupVertices[Vertex],0)),1,1,"")</f>
        <v>7</v>
      </c>
      <c r="BQ13" s="2"/>
    </row>
    <row r="14" spans="1:69" x14ac:dyDescent="0.25">
      <c r="A14" s="61" t="s">
        <v>288</v>
      </c>
      <c r="B14" s="62"/>
      <c r="C14" s="62"/>
      <c r="D14" s="63">
        <v>2.2051851851851851</v>
      </c>
      <c r="E14" s="65"/>
      <c r="F14" s="97" t="str">
        <f>HYPERLINK("https://pbs.twimg.com/profile_images/1787466031830585344/rmOMQzGH_normal.jpg")</f>
        <v>https://pbs.twimg.com/profile_images/1787466031830585344/rmOMQzGH_normal.jpg</v>
      </c>
      <c r="G14" s="62"/>
      <c r="H14" s="66"/>
      <c r="I14" s="67"/>
      <c r="J14" s="67"/>
      <c r="K14" s="66" t="s">
        <v>4449</v>
      </c>
      <c r="L14" s="70"/>
      <c r="M14" s="71">
        <v>5319.05810546875</v>
      </c>
      <c r="N14" s="71">
        <v>6768.14453125</v>
      </c>
      <c r="O14" s="72"/>
      <c r="P14" s="73"/>
      <c r="Q14" s="73"/>
      <c r="R14" s="81"/>
      <c r="S14" s="45">
        <v>1</v>
      </c>
      <c r="T14" s="45">
        <v>9</v>
      </c>
      <c r="U14" s="46">
        <v>56</v>
      </c>
      <c r="V14" s="46">
        <v>1.6771000000000001E-2</v>
      </c>
      <c r="W14" s="47"/>
      <c r="X14" s="47"/>
      <c r="Y14" s="47"/>
      <c r="Z14" s="46"/>
      <c r="AA14" s="68">
        <v>14</v>
      </c>
      <c r="AB14"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4" s="69"/>
      <c r="AD14" t="s">
        <v>2810</v>
      </c>
      <c r="AE14" s="77" t="s">
        <v>3207</v>
      </c>
      <c r="AF14">
        <v>250</v>
      </c>
      <c r="AG14">
        <v>192</v>
      </c>
      <c r="AH14">
        <v>7861</v>
      </c>
      <c r="AI14">
        <v>1</v>
      </c>
      <c r="AJ14">
        <v>9351</v>
      </c>
      <c r="AK14">
        <v>691</v>
      </c>
      <c r="AL14" t="b">
        <v>0</v>
      </c>
      <c r="AM14" s="76">
        <v>40649.290902777779</v>
      </c>
      <c r="AN14" t="s">
        <v>3464</v>
      </c>
      <c r="AO14" t="s">
        <v>3743</v>
      </c>
      <c r="AX14" t="b">
        <v>0</v>
      </c>
      <c r="BA14" t="b">
        <v>0</v>
      </c>
      <c r="BB14" t="b">
        <v>1</v>
      </c>
      <c r="BC14" t="b">
        <v>0</v>
      </c>
      <c r="BD14" t="b">
        <v>0</v>
      </c>
      <c r="BE14" t="b">
        <v>1</v>
      </c>
      <c r="BF14" t="b">
        <v>0</v>
      </c>
      <c r="BG14" t="b">
        <v>0</v>
      </c>
      <c r="BH14" s="79" t="str">
        <f>HYPERLINK("https://pbs.twimg.com/profile_banners/282930614/1631107189")</f>
        <v>https://pbs.twimg.com/profile_banners/282930614/1631107189</v>
      </c>
      <c r="BJ14" t="s">
        <v>4320</v>
      </c>
      <c r="BK14" t="b">
        <v>0</v>
      </c>
      <c r="BM14" t="s">
        <v>66</v>
      </c>
      <c r="BN14" t="s">
        <v>4322</v>
      </c>
      <c r="BO14" s="79" t="str">
        <f>HYPERLINK("https://twitter.com/alex_alic")</f>
        <v>https://twitter.com/alex_alic</v>
      </c>
      <c r="BP14" s="112" t="str">
        <f>REPLACE(INDEX(GroupVertices[Group], MATCH("~"&amp;Vertices[[#This Row],[Vertex]],GroupVertices[Vertex],0)),1,1,"")</f>
        <v>8</v>
      </c>
      <c r="BQ14" s="2"/>
    </row>
    <row r="15" spans="1:69" x14ac:dyDescent="0.25">
      <c r="A15" s="61" t="s">
        <v>516</v>
      </c>
      <c r="B15" s="62"/>
      <c r="C15" s="62"/>
      <c r="D15" s="63">
        <v>2.1674074074074072</v>
      </c>
      <c r="E15" s="65"/>
      <c r="F15" s="97" t="str">
        <f>HYPERLINK("https://pbs.twimg.com/profile_images/1433234061691084800/8TUii2rl_normal.jpg")</f>
        <v>https://pbs.twimg.com/profile_images/1433234061691084800/8TUii2rl_normal.jpg</v>
      </c>
      <c r="G15" s="62"/>
      <c r="H15" s="66"/>
      <c r="I15" s="67"/>
      <c r="J15" s="67"/>
      <c r="K15" s="66" t="s">
        <v>4344</v>
      </c>
      <c r="L15" s="70"/>
      <c r="M15" s="71">
        <v>6722.3955078125</v>
      </c>
      <c r="N15" s="71">
        <v>6399.50244140625</v>
      </c>
      <c r="O15" s="72"/>
      <c r="P15" s="73"/>
      <c r="Q15" s="73"/>
      <c r="R15" s="81"/>
      <c r="S15" s="45">
        <v>8</v>
      </c>
      <c r="T15" s="45">
        <v>0</v>
      </c>
      <c r="U15" s="46">
        <v>53</v>
      </c>
      <c r="V15" s="46">
        <v>1.7469999999999999E-2</v>
      </c>
      <c r="W15" s="47"/>
      <c r="X15" s="47"/>
      <c r="Y15" s="47"/>
      <c r="Z15" s="46"/>
      <c r="AA15" s="68">
        <v>15</v>
      </c>
      <c r="AB15"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5" s="69"/>
      <c r="AD15" t="s">
        <v>2706</v>
      </c>
      <c r="AE15" s="77" t="s">
        <v>3166</v>
      </c>
      <c r="AF15">
        <v>11154237</v>
      </c>
      <c r="AG15">
        <v>2</v>
      </c>
      <c r="AH15">
        <v>7657</v>
      </c>
      <c r="AI15">
        <v>11331</v>
      </c>
      <c r="AJ15">
        <v>92</v>
      </c>
      <c r="AK15">
        <v>2027</v>
      </c>
      <c r="AL15" t="b">
        <v>0</v>
      </c>
      <c r="AM15" s="76">
        <v>40099.644456018519</v>
      </c>
      <c r="AN15" t="s">
        <v>3415</v>
      </c>
      <c r="AO15" t="s">
        <v>3654</v>
      </c>
      <c r="AP15" s="79" t="str">
        <f>HYPERLINK("https://t.co/7FdVkEwGIe")</f>
        <v>https://t.co/7FdVkEwGIe</v>
      </c>
      <c r="AQ15" s="79" t="str">
        <f>HYPERLINK("https://amlo.presidente.gob.mx/")</f>
        <v>https://amlo.presidente.gob.mx/</v>
      </c>
      <c r="AR15" t="s">
        <v>4067</v>
      </c>
      <c r="AW15" s="79" t="str">
        <f>HYPERLINK("https://t.co/7FdVkEwGIe")</f>
        <v>https://t.co/7FdVkEwGIe</v>
      </c>
      <c r="AX15" t="b">
        <v>1</v>
      </c>
      <c r="AZ15" t="b">
        <v>0</v>
      </c>
      <c r="BA15" t="b">
        <v>0</v>
      </c>
      <c r="BB15" t="b">
        <v>0</v>
      </c>
      <c r="BC15" t="b">
        <v>0</v>
      </c>
      <c r="BD15" t="b">
        <v>0</v>
      </c>
      <c r="BE15" t="b">
        <v>0</v>
      </c>
      <c r="BF15" t="b">
        <v>0</v>
      </c>
      <c r="BG15" t="b">
        <v>0</v>
      </c>
      <c r="BH15" s="79" t="str">
        <f>HYPERLINK("https://pbs.twimg.com/profile_banners/82119937/1674777233")</f>
        <v>https://pbs.twimg.com/profile_banners/82119937/1674777233</v>
      </c>
      <c r="BJ15" t="s">
        <v>4320</v>
      </c>
      <c r="BK15" t="b">
        <v>0</v>
      </c>
      <c r="BM15" t="s">
        <v>65</v>
      </c>
      <c r="BN15" t="s">
        <v>4322</v>
      </c>
      <c r="BO15" s="79" t="str">
        <f>HYPERLINK("https://twitter.com/lopezobrador_")</f>
        <v>https://twitter.com/lopezobrador_</v>
      </c>
      <c r="BP15" s="112" t="str">
        <f>REPLACE(INDEX(GroupVertices[Group], MATCH("~"&amp;Vertices[[#This Row],[Vertex]],GroupVertices[Vertex],0)),1,1,"")</f>
        <v>6</v>
      </c>
      <c r="BQ15" s="2"/>
    </row>
    <row r="16" spans="1:69" x14ac:dyDescent="0.25">
      <c r="A16" s="61" t="s">
        <v>606</v>
      </c>
      <c r="B16" s="62"/>
      <c r="C16" s="62"/>
      <c r="D16" s="63">
        <v>2.1548148148148147</v>
      </c>
      <c r="E16" s="65"/>
      <c r="F16" s="97" t="str">
        <f>HYPERLINK("https://pbs.twimg.com/profile_images/1915656041884196864/86HsPGP1_normal.jpg")</f>
        <v>https://pbs.twimg.com/profile_images/1915656041884196864/86HsPGP1_normal.jpg</v>
      </c>
      <c r="G16" s="62"/>
      <c r="H16" s="66"/>
      <c r="I16" s="67"/>
      <c r="J16" s="67"/>
      <c r="K16" s="66" t="s">
        <v>4529</v>
      </c>
      <c r="L16" s="70"/>
      <c r="M16" s="71">
        <v>8205.037109375</v>
      </c>
      <c r="N16" s="71">
        <v>4370.61279296875</v>
      </c>
      <c r="O16" s="72"/>
      <c r="P16" s="73"/>
      <c r="Q16" s="73"/>
      <c r="R16" s="81"/>
      <c r="S16" s="45">
        <v>2</v>
      </c>
      <c r="T16" s="45">
        <v>0</v>
      </c>
      <c r="U16" s="46">
        <v>52</v>
      </c>
      <c r="V16" s="46">
        <v>1.6846E-2</v>
      </c>
      <c r="W16" s="47"/>
      <c r="X16" s="47"/>
      <c r="Y16" s="47"/>
      <c r="Z16" s="46"/>
      <c r="AA16" s="68">
        <v>16</v>
      </c>
      <c r="AB16"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6" s="69"/>
      <c r="AD16" t="s">
        <v>2889</v>
      </c>
      <c r="AE16" s="77" t="s">
        <v>3255</v>
      </c>
      <c r="AF16">
        <v>1994253</v>
      </c>
      <c r="AG16">
        <v>5709</v>
      </c>
      <c r="AH16">
        <v>34408</v>
      </c>
      <c r="AI16">
        <v>7456</v>
      </c>
      <c r="AJ16">
        <v>4942</v>
      </c>
      <c r="AK16">
        <v>10072</v>
      </c>
      <c r="AL16" t="b">
        <v>0</v>
      </c>
      <c r="AM16" s="76">
        <v>40050.698564814818</v>
      </c>
      <c r="AO16" t="s">
        <v>3815</v>
      </c>
      <c r="AP16" s="79" t="str">
        <f>HYPERLINK("https://t.co/h8b36qazCM")</f>
        <v>https://t.co/h8b36qazCM</v>
      </c>
      <c r="AQ16" s="79" t="str">
        <f>HYPERLINK("http://www.lamoncloa.gob.es")</f>
        <v>http://www.lamoncloa.gob.es</v>
      </c>
      <c r="AR16" t="s">
        <v>4135</v>
      </c>
      <c r="AW16" s="79" t="str">
        <f>HYPERLINK("https://t.co/h8b36qazCM")</f>
        <v>https://t.co/h8b36qazCM</v>
      </c>
      <c r="AX16" t="b">
        <v>1</v>
      </c>
      <c r="AZ16" t="b">
        <v>0</v>
      </c>
      <c r="BA16" t="b">
        <v>0</v>
      </c>
      <c r="BB16" t="b">
        <v>0</v>
      </c>
      <c r="BC16" t="b">
        <v>0</v>
      </c>
      <c r="BD16" t="b">
        <v>0</v>
      </c>
      <c r="BE16" t="b">
        <v>1</v>
      </c>
      <c r="BF16" t="b">
        <v>0</v>
      </c>
      <c r="BG16" t="b">
        <v>0</v>
      </c>
      <c r="BH16" s="79" t="str">
        <f>HYPERLINK("https://pbs.twimg.com/profile_banners/68740712/1744032374")</f>
        <v>https://pbs.twimg.com/profile_banners/68740712/1744032374</v>
      </c>
      <c r="BJ16" t="s">
        <v>4320</v>
      </c>
      <c r="BK16" t="b">
        <v>0</v>
      </c>
      <c r="BM16" t="s">
        <v>65</v>
      </c>
      <c r="BN16" t="s">
        <v>4322</v>
      </c>
      <c r="BO16" s="79" t="str">
        <f>HYPERLINK("https://twitter.com/sanchezcastejon")</f>
        <v>https://twitter.com/sanchezcastejon</v>
      </c>
      <c r="BP16" s="112" t="str">
        <f>REPLACE(INDEX(GroupVertices[Group], MATCH("~"&amp;Vertices[[#This Row],[Vertex]],GroupVertices[Vertex],0)),1,1,"")</f>
        <v>2</v>
      </c>
      <c r="BQ16" s="2"/>
    </row>
    <row r="17" spans="1:69" x14ac:dyDescent="0.25">
      <c r="A17" s="61" t="s">
        <v>469</v>
      </c>
      <c r="B17" s="62"/>
      <c r="C17" s="62"/>
      <c r="D17" s="63">
        <v>1.8525925925925926</v>
      </c>
      <c r="E17" s="65"/>
      <c r="F17" s="97" t="str">
        <f>HYPERLINK("https://pbs.twimg.com/profile_images/1857497328690630656/L0Lq2BQD_normal.jpg")</f>
        <v>https://pbs.twimg.com/profile_images/1857497328690630656/L0Lq2BQD_normal.jpg</v>
      </c>
      <c r="G17" s="62"/>
      <c r="H17" s="66"/>
      <c r="I17" s="67"/>
      <c r="J17" s="67"/>
      <c r="K17" s="66" t="s">
        <v>4753</v>
      </c>
      <c r="L17" s="70"/>
      <c r="M17" s="71">
        <v>5992.59521484375</v>
      </c>
      <c r="N17" s="71">
        <v>4031.712158203125</v>
      </c>
      <c r="O17" s="72"/>
      <c r="P17" s="73"/>
      <c r="Q17" s="73"/>
      <c r="R17" s="81"/>
      <c r="S17" s="45">
        <v>0</v>
      </c>
      <c r="T17" s="45">
        <v>2</v>
      </c>
      <c r="U17" s="46">
        <v>28</v>
      </c>
      <c r="V17" s="46">
        <v>1.1792E-2</v>
      </c>
      <c r="W17" s="47"/>
      <c r="X17" s="47"/>
      <c r="Y17" s="47"/>
      <c r="Z17" s="46"/>
      <c r="AA17" s="68">
        <v>17</v>
      </c>
      <c r="AB17"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7" s="69"/>
      <c r="AD17" t="s">
        <v>3106</v>
      </c>
      <c r="AE17" s="77" t="s">
        <v>3372</v>
      </c>
      <c r="AF17">
        <v>2717</v>
      </c>
      <c r="AG17">
        <v>1874</v>
      </c>
      <c r="AH17">
        <v>264514</v>
      </c>
      <c r="AI17">
        <v>0</v>
      </c>
      <c r="AJ17">
        <v>72274</v>
      </c>
      <c r="AK17">
        <v>35073</v>
      </c>
      <c r="AL17" t="b">
        <v>0</v>
      </c>
      <c r="AM17" s="76">
        <v>42084.327303240738</v>
      </c>
      <c r="AO17" t="s">
        <v>4012</v>
      </c>
      <c r="AV17">
        <v>1.92917582941985E+18</v>
      </c>
      <c r="AX17" t="b">
        <v>0</v>
      </c>
      <c r="BA17" t="b">
        <v>0</v>
      </c>
      <c r="BB17" t="b">
        <v>1</v>
      </c>
      <c r="BC17" t="b">
        <v>1</v>
      </c>
      <c r="BD17" t="b">
        <v>0</v>
      </c>
      <c r="BE17" t="b">
        <v>1</v>
      </c>
      <c r="BF17" t="b">
        <v>0</v>
      </c>
      <c r="BG17" t="b">
        <v>0</v>
      </c>
      <c r="BH17" s="79" t="str">
        <f>HYPERLINK("https://pbs.twimg.com/profile_banners/3101233043/1667615805")</f>
        <v>https://pbs.twimg.com/profile_banners/3101233043/1667615805</v>
      </c>
      <c r="BJ17" t="s">
        <v>4320</v>
      </c>
      <c r="BK17" t="b">
        <v>0</v>
      </c>
      <c r="BM17" t="s">
        <v>66</v>
      </c>
      <c r="BN17" t="s">
        <v>4322</v>
      </c>
      <c r="BO17" s="79" t="str">
        <f>HYPERLINK("https://twitter.com/mlucilarg")</f>
        <v>https://twitter.com/mlucilarg</v>
      </c>
      <c r="BP17" s="112" t="str">
        <f>REPLACE(INDEX(GroupVertices[Group], MATCH("~"&amp;Vertices[[#This Row],[Vertex]],GroupVertices[Vertex],0)),1,1,"")</f>
        <v>2</v>
      </c>
      <c r="BQ17" s="2"/>
    </row>
    <row r="18" spans="1:69" x14ac:dyDescent="0.25">
      <c r="A18" s="61" t="s">
        <v>459</v>
      </c>
      <c r="B18" s="62"/>
      <c r="C18" s="62"/>
      <c r="D18" s="63">
        <v>1.8022222222222222</v>
      </c>
      <c r="E18" s="65"/>
      <c r="F18" s="97" t="str">
        <f>HYPERLINK("https://pbs.twimg.com/profile_images/1765800763131912192/wCQhumEX_normal.jpg")</f>
        <v>https://pbs.twimg.com/profile_images/1765800763131912192/wCQhumEX_normal.jpg</v>
      </c>
      <c r="G18" s="62"/>
      <c r="H18" s="66"/>
      <c r="I18" s="67"/>
      <c r="J18" s="67"/>
      <c r="K18" s="66" t="s">
        <v>4396</v>
      </c>
      <c r="L18" s="70"/>
      <c r="M18" s="71">
        <v>4056.1025390625</v>
      </c>
      <c r="N18" s="71">
        <v>5893.298828125</v>
      </c>
      <c r="O18" s="72"/>
      <c r="P18" s="73"/>
      <c r="Q18" s="73"/>
      <c r="R18" s="81"/>
      <c r="S18" s="45">
        <v>3</v>
      </c>
      <c r="T18" s="45">
        <v>2</v>
      </c>
      <c r="U18" s="46">
        <v>24</v>
      </c>
      <c r="V18" s="46">
        <v>2.0508999999999999E-2</v>
      </c>
      <c r="W18" s="47"/>
      <c r="X18" s="47"/>
      <c r="Y18" s="47"/>
      <c r="Z18" s="46"/>
      <c r="AA18" s="68">
        <v>18</v>
      </c>
      <c r="AB18"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8" s="69"/>
      <c r="AD18" t="s">
        <v>2758</v>
      </c>
      <c r="AE18" s="77" t="s">
        <v>2477</v>
      </c>
      <c r="AF18">
        <v>17653</v>
      </c>
      <c r="AG18">
        <v>844</v>
      </c>
      <c r="AH18">
        <v>3610</v>
      </c>
      <c r="AI18">
        <v>66</v>
      </c>
      <c r="AJ18">
        <v>4074</v>
      </c>
      <c r="AK18">
        <v>635</v>
      </c>
      <c r="AL18" t="b">
        <v>0</v>
      </c>
      <c r="AM18" s="76">
        <v>40311.816030092596</v>
      </c>
      <c r="AN18" t="s">
        <v>3400</v>
      </c>
      <c r="AO18" t="s">
        <v>3701</v>
      </c>
      <c r="AP18" s="79" t="str">
        <f>HYPERLINK("https://t.co/JqcnPc09vC")</f>
        <v>https://t.co/JqcnPc09vC</v>
      </c>
      <c r="AQ18" s="79" t="str">
        <f>HYPERLINK("http://www.mineduc.cl")</f>
        <v>http://www.mineduc.cl</v>
      </c>
      <c r="AR18" t="s">
        <v>1165</v>
      </c>
      <c r="AV18">
        <v>1.89401907010353E+18</v>
      </c>
      <c r="AW18" s="79" t="str">
        <f>HYPERLINK("https://t.co/JqcnPc09vC")</f>
        <v>https://t.co/JqcnPc09vC</v>
      </c>
      <c r="AX18" t="b">
        <v>1</v>
      </c>
      <c r="BA18" t="b">
        <v>0</v>
      </c>
      <c r="BB18" t="b">
        <v>0</v>
      </c>
      <c r="BC18" t="b">
        <v>0</v>
      </c>
      <c r="BD18" t="b">
        <v>0</v>
      </c>
      <c r="BE18" t="b">
        <v>1</v>
      </c>
      <c r="BF18" t="b">
        <v>0</v>
      </c>
      <c r="BG18" t="b">
        <v>0</v>
      </c>
      <c r="BH18" s="79" t="str">
        <f>HYPERLINK("https://pbs.twimg.com/profile_banners/143547941/1740403923")</f>
        <v>https://pbs.twimg.com/profile_banners/143547941/1740403923</v>
      </c>
      <c r="BJ18" t="s">
        <v>4320</v>
      </c>
      <c r="BK18" t="b">
        <v>0</v>
      </c>
      <c r="BM18" t="s">
        <v>66</v>
      </c>
      <c r="BN18" t="s">
        <v>4322</v>
      </c>
      <c r="BO18" s="79" t="str">
        <f>HYPERLINK("https://twitter.com/nico_cataldo")</f>
        <v>https://twitter.com/nico_cataldo</v>
      </c>
      <c r="BP18" s="112" t="str">
        <f>REPLACE(INDEX(GroupVertices[Group], MATCH("~"&amp;Vertices[[#This Row],[Vertex]],GroupVertices[Vertex],0)),1,1,"")</f>
        <v>1</v>
      </c>
      <c r="BQ18" s="2"/>
    </row>
    <row r="19" spans="1:69" x14ac:dyDescent="0.25">
      <c r="A19" s="61" t="s">
        <v>539</v>
      </c>
      <c r="B19" s="62"/>
      <c r="C19" s="62"/>
      <c r="D19" s="63">
        <v>1.7644444444444445</v>
      </c>
      <c r="E19" s="65"/>
      <c r="F19" s="97" t="str">
        <f>HYPERLINK("https://pbs.twimg.com/profile_images/1747359744476561408/W2gJBB0d_normal.jpg")</f>
        <v>https://pbs.twimg.com/profile_images/1747359744476561408/W2gJBB0d_normal.jpg</v>
      </c>
      <c r="G19" s="62"/>
      <c r="H19" s="66"/>
      <c r="I19" s="67"/>
      <c r="J19" s="67"/>
      <c r="K19" s="66" t="s">
        <v>4400</v>
      </c>
      <c r="L19" s="70"/>
      <c r="M19" s="71">
        <v>6563.51220703125</v>
      </c>
      <c r="N19" s="71">
        <v>6055.99609375</v>
      </c>
      <c r="O19" s="72"/>
      <c r="P19" s="73"/>
      <c r="Q19" s="73"/>
      <c r="R19" s="81"/>
      <c r="S19" s="45">
        <v>7</v>
      </c>
      <c r="T19" s="45">
        <v>0</v>
      </c>
      <c r="U19" s="46">
        <v>21</v>
      </c>
      <c r="V19" s="46">
        <v>1.3103E-2</v>
      </c>
      <c r="W19" s="47"/>
      <c r="X19" s="47"/>
      <c r="Y19" s="47"/>
      <c r="Z19" s="46"/>
      <c r="AA19" s="68">
        <v>19</v>
      </c>
      <c r="AB19"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9" s="69"/>
      <c r="AD19" t="s">
        <v>2762</v>
      </c>
      <c r="AE19" s="77" t="s">
        <v>2390</v>
      </c>
      <c r="AF19">
        <v>4688334</v>
      </c>
      <c r="AG19">
        <v>1257</v>
      </c>
      <c r="AH19">
        <v>117808</v>
      </c>
      <c r="AI19">
        <v>7124</v>
      </c>
      <c r="AJ19">
        <v>106648</v>
      </c>
      <c r="AK19">
        <v>7736</v>
      </c>
      <c r="AL19" t="b">
        <v>0</v>
      </c>
      <c r="AM19" s="76">
        <v>40889.928506944445</v>
      </c>
      <c r="AN19" t="s">
        <v>3441</v>
      </c>
      <c r="AO19" t="s">
        <v>3705</v>
      </c>
      <c r="AP19" s="79" t="str">
        <f>HYPERLINK("https://t.co/kyINCLtevd")</f>
        <v>https://t.co/kyINCLtevd</v>
      </c>
      <c r="AQ19" s="79" t="str">
        <f>HYPERLINK("http://denisedresser.com/")</f>
        <v>http://denisedresser.com/</v>
      </c>
      <c r="AR19" t="s">
        <v>4086</v>
      </c>
      <c r="AV19">
        <v>1.8267275667426099E+18</v>
      </c>
      <c r="AW19" s="79" t="str">
        <f>HYPERLINK("https://t.co/kyINCLtevd")</f>
        <v>https://t.co/kyINCLtevd</v>
      </c>
      <c r="AX19" t="b">
        <v>1</v>
      </c>
      <c r="AZ19" t="b">
        <v>0</v>
      </c>
      <c r="BA19" t="b">
        <v>1</v>
      </c>
      <c r="BB19" t="b">
        <v>0</v>
      </c>
      <c r="BC19" t="b">
        <v>1</v>
      </c>
      <c r="BD19" t="b">
        <v>0</v>
      </c>
      <c r="BE19" t="b">
        <v>1</v>
      </c>
      <c r="BF19" t="b">
        <v>0</v>
      </c>
      <c r="BG19" t="b">
        <v>0</v>
      </c>
      <c r="BH19" s="79" t="str">
        <f>HYPERLINK("https://pbs.twimg.com/profile_banners/435299501/1705438064")</f>
        <v>https://pbs.twimg.com/profile_banners/435299501/1705438064</v>
      </c>
      <c r="BJ19" t="s">
        <v>4320</v>
      </c>
      <c r="BK19" t="b">
        <v>0</v>
      </c>
      <c r="BM19" t="s">
        <v>65</v>
      </c>
      <c r="BN19" t="s">
        <v>4322</v>
      </c>
      <c r="BO19" s="79" t="str">
        <f>HYPERLINK("https://twitter.com/denisedresserg")</f>
        <v>https://twitter.com/denisedresserg</v>
      </c>
      <c r="BP19" s="112" t="str">
        <f>REPLACE(INDEX(GroupVertices[Group], MATCH("~"&amp;Vertices[[#This Row],[Vertex]],GroupVertices[Vertex],0)),1,1,"")</f>
        <v>6</v>
      </c>
      <c r="BQ19" s="2"/>
    </row>
    <row r="20" spans="1:69" x14ac:dyDescent="0.25">
      <c r="A20" s="61" t="s">
        <v>244</v>
      </c>
      <c r="B20" s="62"/>
      <c r="C20" s="62"/>
      <c r="D20" s="63">
        <v>1.7518518518518518</v>
      </c>
      <c r="E20" s="65"/>
      <c r="F20" s="97" t="str">
        <f>HYPERLINK("https://pbs.twimg.com/profile_images/1341850009319444481/PaXybh5p_normal.jpg")</f>
        <v>https://pbs.twimg.com/profile_images/1341850009319444481/PaXybh5p_normal.jpg</v>
      </c>
      <c r="G20" s="62"/>
      <c r="H20" s="66"/>
      <c r="I20" s="67"/>
      <c r="J20" s="67"/>
      <c r="K20" s="66" t="s">
        <v>4358</v>
      </c>
      <c r="L20" s="70"/>
      <c r="M20" s="71">
        <v>5200.4736328125</v>
      </c>
      <c r="N20" s="71">
        <v>4333.41259765625</v>
      </c>
      <c r="O20" s="72"/>
      <c r="P20" s="73"/>
      <c r="Q20" s="73"/>
      <c r="R20" s="81"/>
      <c r="S20" s="45">
        <v>0</v>
      </c>
      <c r="T20" s="45">
        <v>5</v>
      </c>
      <c r="U20" s="46">
        <v>20</v>
      </c>
      <c r="V20" s="46">
        <v>1.0482E-2</v>
      </c>
      <c r="W20" s="47"/>
      <c r="X20" s="47"/>
      <c r="Y20" s="47"/>
      <c r="Z20" s="46"/>
      <c r="AA20" s="68">
        <v>20</v>
      </c>
      <c r="AB20"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0" s="69"/>
      <c r="AD20" t="s">
        <v>2720</v>
      </c>
      <c r="AE20" s="77" t="s">
        <v>2541</v>
      </c>
      <c r="AF20">
        <v>129</v>
      </c>
      <c r="AG20">
        <v>442</v>
      </c>
      <c r="AH20">
        <v>73608</v>
      </c>
      <c r="AI20">
        <v>3</v>
      </c>
      <c r="AJ20">
        <v>28069</v>
      </c>
      <c r="AK20">
        <v>13532</v>
      </c>
      <c r="AL20" t="b">
        <v>0</v>
      </c>
      <c r="AM20" s="76">
        <v>44188.857743055552</v>
      </c>
      <c r="AX20" t="b">
        <v>0</v>
      </c>
      <c r="BA20" t="b">
        <v>0</v>
      </c>
      <c r="BB20" t="b">
        <v>1</v>
      </c>
      <c r="BC20" t="b">
        <v>1</v>
      </c>
      <c r="BD20" t="b">
        <v>0</v>
      </c>
      <c r="BE20" t="b">
        <v>0</v>
      </c>
      <c r="BF20" t="b">
        <v>0</v>
      </c>
      <c r="BG20" t="b">
        <v>0</v>
      </c>
      <c r="BJ20" t="s">
        <v>4320</v>
      </c>
      <c r="BK20" t="b">
        <v>0</v>
      </c>
      <c r="BM20" t="s">
        <v>66</v>
      </c>
      <c r="BN20" t="s">
        <v>4322</v>
      </c>
      <c r="BO20" s="79" t="str">
        <f>HYPERLINK("https://twitter.com/mario68610623")</f>
        <v>https://twitter.com/mario68610623</v>
      </c>
      <c r="BP20" s="112" t="str">
        <f>REPLACE(INDEX(GroupVertices[Group], MATCH("~"&amp;Vertices[[#This Row],[Vertex]],GroupVertices[Vertex],0)),1,1,"")</f>
        <v>10</v>
      </c>
      <c r="BQ20" s="2"/>
    </row>
    <row r="21" spans="1:69" x14ac:dyDescent="0.25">
      <c r="A21" s="61" t="s">
        <v>235</v>
      </c>
      <c r="B21" s="62"/>
      <c r="C21" s="62"/>
      <c r="D21" s="63">
        <v>1.7266666666666666</v>
      </c>
      <c r="E21" s="65"/>
      <c r="F21" s="97" t="str">
        <f>HYPERLINK("https://pbs.twimg.com/profile_images/1202614708639014912/jIZ-xkQC_normal.jpg")</f>
        <v>https://pbs.twimg.com/profile_images/1202614708639014912/jIZ-xkQC_normal.jpg</v>
      </c>
      <c r="G21" s="62"/>
      <c r="H21" s="66"/>
      <c r="I21" s="67"/>
      <c r="J21" s="67"/>
      <c r="K21" s="66" t="s">
        <v>4342</v>
      </c>
      <c r="L21" s="70"/>
      <c r="M21" s="71">
        <v>4637.8330078125</v>
      </c>
      <c r="N21" s="71">
        <v>6670.56640625</v>
      </c>
      <c r="O21" s="72"/>
      <c r="P21" s="73"/>
      <c r="Q21" s="73"/>
      <c r="R21" s="81"/>
      <c r="S21" s="45">
        <v>0</v>
      </c>
      <c r="T21" s="45">
        <v>2</v>
      </c>
      <c r="U21" s="46">
        <v>18</v>
      </c>
      <c r="V21" s="46">
        <v>1.1034E-2</v>
      </c>
      <c r="W21" s="47"/>
      <c r="X21" s="47"/>
      <c r="Y21" s="47"/>
      <c r="Z21" s="46"/>
      <c r="AA21" s="68">
        <v>21</v>
      </c>
      <c r="AB21"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1" s="69"/>
      <c r="AD21" t="s">
        <v>2704</v>
      </c>
      <c r="AE21" s="77" t="s">
        <v>3165</v>
      </c>
      <c r="AF21">
        <v>734</v>
      </c>
      <c r="AG21">
        <v>768</v>
      </c>
      <c r="AH21">
        <v>43133</v>
      </c>
      <c r="AI21">
        <v>6</v>
      </c>
      <c r="AJ21">
        <v>65994</v>
      </c>
      <c r="AK21">
        <v>386</v>
      </c>
      <c r="AL21" t="b">
        <v>0</v>
      </c>
      <c r="AM21" s="76">
        <v>40493.725902777776</v>
      </c>
      <c r="AO21" t="s">
        <v>3652</v>
      </c>
      <c r="AX21" t="b">
        <v>0</v>
      </c>
      <c r="BA21" t="b">
        <v>0</v>
      </c>
      <c r="BB21" t="b">
        <v>1</v>
      </c>
      <c r="BC21" t="b">
        <v>0</v>
      </c>
      <c r="BD21" t="b">
        <v>0</v>
      </c>
      <c r="BE21" t="b">
        <v>0</v>
      </c>
      <c r="BF21" t="b">
        <v>0</v>
      </c>
      <c r="BG21" t="b">
        <v>0</v>
      </c>
      <c r="BH21" s="79" t="str">
        <f>HYPERLINK("https://pbs.twimg.com/profile_banners/214549002/1564434885")</f>
        <v>https://pbs.twimg.com/profile_banners/214549002/1564434885</v>
      </c>
      <c r="BJ21" t="s">
        <v>4320</v>
      </c>
      <c r="BK21" t="b">
        <v>0</v>
      </c>
      <c r="BM21" t="s">
        <v>66</v>
      </c>
      <c r="BN21" t="s">
        <v>4322</v>
      </c>
      <c r="BO21" s="79" t="str">
        <f>HYPERLINK("https://twitter.com/sapelach")</f>
        <v>https://twitter.com/sapelach</v>
      </c>
      <c r="BP21" s="112" t="str">
        <f>REPLACE(INDEX(GroupVertices[Group], MATCH("~"&amp;Vertices[[#This Row],[Vertex]],GroupVertices[Vertex],0)),1,1,"")</f>
        <v>6</v>
      </c>
      <c r="BQ21" s="2"/>
    </row>
    <row r="22" spans="1:69" x14ac:dyDescent="0.25">
      <c r="A22" s="61" t="s">
        <v>360</v>
      </c>
      <c r="B22" s="62"/>
      <c r="C22" s="62"/>
      <c r="D22" s="63">
        <v>1.6930864155555556</v>
      </c>
      <c r="E22" s="65"/>
      <c r="F22" s="97" t="str">
        <f>HYPERLINK("https://pbs.twimg.com/profile_images/1555384736754929673/ajPOWKtc_normal.jpg")</f>
        <v>https://pbs.twimg.com/profile_images/1555384736754929673/ajPOWKtc_normal.jpg</v>
      </c>
      <c r="G22" s="62"/>
      <c r="H22" s="66"/>
      <c r="I22" s="67"/>
      <c r="J22" s="67"/>
      <c r="K22" s="66" t="s">
        <v>4586</v>
      </c>
      <c r="L22" s="70"/>
      <c r="M22" s="71">
        <v>4543.34814453125</v>
      </c>
      <c r="N22" s="71">
        <v>7859.2119140625</v>
      </c>
      <c r="O22" s="72"/>
      <c r="P22" s="73"/>
      <c r="Q22" s="73"/>
      <c r="R22" s="81"/>
      <c r="S22" s="45">
        <v>1</v>
      </c>
      <c r="T22" s="45">
        <v>3</v>
      </c>
      <c r="U22" s="46">
        <v>15.333333</v>
      </c>
      <c r="V22" s="46">
        <v>2.5156999999999999E-2</v>
      </c>
      <c r="W22" s="47"/>
      <c r="X22" s="47"/>
      <c r="Y22" s="47"/>
      <c r="Z22" s="46"/>
      <c r="AA22" s="68">
        <v>22</v>
      </c>
      <c r="AB22"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2" s="69"/>
      <c r="AD22" t="s">
        <v>2945</v>
      </c>
      <c r="AE22" s="77" t="s">
        <v>3283</v>
      </c>
      <c r="AF22">
        <v>25000</v>
      </c>
      <c r="AG22">
        <v>7280</v>
      </c>
      <c r="AH22">
        <v>138646</v>
      </c>
      <c r="AI22">
        <v>143</v>
      </c>
      <c r="AJ22">
        <v>47301</v>
      </c>
      <c r="AK22">
        <v>5004</v>
      </c>
      <c r="AL22" t="b">
        <v>0</v>
      </c>
      <c r="AM22" s="76">
        <v>40720.701469907406</v>
      </c>
      <c r="AN22" t="s">
        <v>3400</v>
      </c>
      <c r="AO22" t="s">
        <v>3865</v>
      </c>
      <c r="AP22" s="79" t="str">
        <f>HYPERLINK("https://t.co/kYxmj2QJhM")</f>
        <v>https://t.co/kYxmj2QJhM</v>
      </c>
      <c r="AQ22" s="79" t="str">
        <f>HYPERLINK("http://radionuevomundo.cl")</f>
        <v>http://radionuevomundo.cl</v>
      </c>
      <c r="AR22" t="s">
        <v>1170</v>
      </c>
      <c r="AS22" s="79" t="str">
        <f>HYPERLINK("https://t.co/gBVg40gYol")</f>
        <v>https://t.co/gBVg40gYol</v>
      </c>
      <c r="AT22" s="79" t="str">
        <f>HYPERLINK("http://t.me/RadioNuevoMundo")</f>
        <v>http://t.me/RadioNuevoMundo</v>
      </c>
      <c r="AU22" t="s">
        <v>4301</v>
      </c>
      <c r="AW22" s="79" t="str">
        <f>HYPERLINK("https://t.co/kYxmj2QJhM")</f>
        <v>https://t.co/kYxmj2QJhM</v>
      </c>
      <c r="AX22" t="b">
        <v>0</v>
      </c>
      <c r="BA22" t="b">
        <v>0</v>
      </c>
      <c r="BB22" t="b">
        <v>1</v>
      </c>
      <c r="BC22" t="b">
        <v>1</v>
      </c>
      <c r="BD22" t="b">
        <v>0</v>
      </c>
      <c r="BE22" t="b">
        <v>1</v>
      </c>
      <c r="BF22" t="b">
        <v>0</v>
      </c>
      <c r="BG22" t="b">
        <v>0</v>
      </c>
      <c r="BH22" s="79" t="str">
        <f>HYPERLINK("https://pbs.twimg.com/profile_banners/324447694/1659668228")</f>
        <v>https://pbs.twimg.com/profile_banners/324447694/1659668228</v>
      </c>
      <c r="BJ22" t="s">
        <v>4320</v>
      </c>
      <c r="BK22" t="b">
        <v>0</v>
      </c>
      <c r="BM22" t="s">
        <v>66</v>
      </c>
      <c r="BN22" t="s">
        <v>4322</v>
      </c>
      <c r="BO22" s="79" t="str">
        <f>HYPERLINK("https://twitter.com/rnuevomundo")</f>
        <v>https://twitter.com/rnuevomundo</v>
      </c>
      <c r="BP22" s="112" t="str">
        <f>REPLACE(INDEX(GroupVertices[Group], MATCH("~"&amp;Vertices[[#This Row],[Vertex]],GroupVertices[Vertex],0)),1,1,"")</f>
        <v>1</v>
      </c>
      <c r="BQ22" s="2"/>
    </row>
    <row r="23" spans="1:69" x14ac:dyDescent="0.25">
      <c r="A23" s="61" t="s">
        <v>292</v>
      </c>
      <c r="B23" s="62"/>
      <c r="C23" s="62"/>
      <c r="D23" s="63">
        <v>1.6511111111111112</v>
      </c>
      <c r="E23" s="65"/>
      <c r="F23" s="97" t="str">
        <f>HYPERLINK("https://pbs.twimg.com/profile_images/1497222336470298628/AOSxZ6NT_normal.jpg")</f>
        <v>https://pbs.twimg.com/profile_images/1497222336470298628/AOSxZ6NT_normal.jpg</v>
      </c>
      <c r="G23" s="62"/>
      <c r="H23" s="66"/>
      <c r="I23" s="67"/>
      <c r="J23" s="67"/>
      <c r="K23" s="66" t="s">
        <v>4464</v>
      </c>
      <c r="L23" s="70"/>
      <c r="M23" s="71">
        <v>6153.27392578125</v>
      </c>
      <c r="N23" s="71">
        <v>6734.9130859375</v>
      </c>
      <c r="O23" s="72"/>
      <c r="P23" s="73"/>
      <c r="Q23" s="73"/>
      <c r="R23" s="81"/>
      <c r="S23" s="45">
        <v>1</v>
      </c>
      <c r="T23" s="45">
        <v>5</v>
      </c>
      <c r="U23" s="46">
        <v>12</v>
      </c>
      <c r="V23" s="46">
        <v>8.3859999999999994E-3</v>
      </c>
      <c r="W23" s="47"/>
      <c r="X23" s="47"/>
      <c r="Y23" s="47"/>
      <c r="Z23" s="46"/>
      <c r="AA23" s="68">
        <v>23</v>
      </c>
      <c r="AB23"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3" s="69"/>
      <c r="AD23" t="s">
        <v>2825</v>
      </c>
      <c r="AE23" s="77" t="s">
        <v>2565</v>
      </c>
      <c r="AF23">
        <v>768</v>
      </c>
      <c r="AG23">
        <v>3143</v>
      </c>
      <c r="AH23">
        <v>32794</v>
      </c>
      <c r="AI23">
        <v>0</v>
      </c>
      <c r="AJ23">
        <v>31032</v>
      </c>
      <c r="AK23">
        <v>751</v>
      </c>
      <c r="AL23" t="b">
        <v>0</v>
      </c>
      <c r="AM23" s="76">
        <v>44341.82640046296</v>
      </c>
      <c r="AX23" t="b">
        <v>0</v>
      </c>
      <c r="BA23" t="b">
        <v>1</v>
      </c>
      <c r="BB23" t="b">
        <v>0</v>
      </c>
      <c r="BC23" t="b">
        <v>1</v>
      </c>
      <c r="BD23" t="b">
        <v>0</v>
      </c>
      <c r="BE23" t="b">
        <v>1</v>
      </c>
      <c r="BF23" t="b">
        <v>0</v>
      </c>
      <c r="BG23" t="b">
        <v>0</v>
      </c>
      <c r="BH23" s="79" t="str">
        <f>HYPERLINK("https://pbs.twimg.com/profile_banners/1397278745539629063/1714246727")</f>
        <v>https://pbs.twimg.com/profile_banners/1397278745539629063/1714246727</v>
      </c>
      <c r="BJ23" t="s">
        <v>4320</v>
      </c>
      <c r="BK23" t="b">
        <v>0</v>
      </c>
      <c r="BM23" t="s">
        <v>66</v>
      </c>
      <c r="BN23" t="s">
        <v>4322</v>
      </c>
      <c r="BO23" s="79" t="str">
        <f>HYPERLINK("https://twitter.com/atologocito1")</f>
        <v>https://twitter.com/atologocito1</v>
      </c>
      <c r="BP23" s="112" t="str">
        <f>REPLACE(INDEX(GroupVertices[Group], MATCH("~"&amp;Vertices[[#This Row],[Vertex]],GroupVertices[Vertex],0)),1,1,"")</f>
        <v>13</v>
      </c>
      <c r="BQ23" s="2"/>
    </row>
    <row r="24" spans="1:69" x14ac:dyDescent="0.25">
      <c r="A24" s="61" t="s">
        <v>302</v>
      </c>
      <c r="B24" s="62"/>
      <c r="C24" s="62"/>
      <c r="D24" s="63">
        <v>1.6511111111111112</v>
      </c>
      <c r="E24" s="65"/>
      <c r="F24" s="97" t="str">
        <f>HYPERLINK("https://pbs.twimg.com/profile_images/1730311539767308288/CaxoP5Rn_normal.jpg")</f>
        <v>https://pbs.twimg.com/profile_images/1730311539767308288/CaxoP5Rn_normal.jpg</v>
      </c>
      <c r="G24" s="62"/>
      <c r="H24" s="66"/>
      <c r="I24" s="67"/>
      <c r="J24" s="67"/>
      <c r="K24" s="66" t="s">
        <v>4482</v>
      </c>
      <c r="L24" s="70"/>
      <c r="M24" s="71">
        <v>2693.34716796875</v>
      </c>
      <c r="N24" s="71">
        <v>3618.84326171875</v>
      </c>
      <c r="O24" s="72"/>
      <c r="P24" s="73"/>
      <c r="Q24" s="73"/>
      <c r="R24" s="81"/>
      <c r="S24" s="45">
        <v>0</v>
      </c>
      <c r="T24" s="45">
        <v>4</v>
      </c>
      <c r="U24" s="46">
        <v>12</v>
      </c>
      <c r="V24" s="46">
        <v>8.3859999999999994E-3</v>
      </c>
      <c r="W24" s="47"/>
      <c r="X24" s="47"/>
      <c r="Y24" s="47"/>
      <c r="Z24" s="46"/>
      <c r="AA24" s="68">
        <v>24</v>
      </c>
      <c r="AB24"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4" s="69"/>
      <c r="AD24" t="s">
        <v>2843</v>
      </c>
      <c r="AE24" s="77" t="s">
        <v>2569</v>
      </c>
      <c r="AF24">
        <v>137</v>
      </c>
      <c r="AG24">
        <v>483</v>
      </c>
      <c r="AH24">
        <v>10157</v>
      </c>
      <c r="AI24">
        <v>5</v>
      </c>
      <c r="AJ24">
        <v>7206</v>
      </c>
      <c r="AK24">
        <v>2599</v>
      </c>
      <c r="AL24" t="b">
        <v>0</v>
      </c>
      <c r="AM24" s="76">
        <v>45056.077245370368</v>
      </c>
      <c r="AN24" t="s">
        <v>3410</v>
      </c>
      <c r="AO24" t="s">
        <v>3772</v>
      </c>
      <c r="AX24" t="b">
        <v>0</v>
      </c>
      <c r="BA24" t="b">
        <v>1</v>
      </c>
      <c r="BB24" t="b">
        <v>1</v>
      </c>
      <c r="BC24" t="b">
        <v>1</v>
      </c>
      <c r="BD24" t="b">
        <v>0</v>
      </c>
      <c r="BE24" t="b">
        <v>0</v>
      </c>
      <c r="BF24" t="b">
        <v>0</v>
      </c>
      <c r="BG24" t="b">
        <v>0</v>
      </c>
      <c r="BH24" s="79" t="str">
        <f>HYPERLINK("https://pbs.twimg.com/profile_banners/1656114300350615552/1700947594")</f>
        <v>https://pbs.twimg.com/profile_banners/1656114300350615552/1700947594</v>
      </c>
      <c r="BJ24" t="s">
        <v>4320</v>
      </c>
      <c r="BK24" t="b">
        <v>0</v>
      </c>
      <c r="BM24" t="s">
        <v>66</v>
      </c>
      <c r="BN24" t="s">
        <v>4322</v>
      </c>
      <c r="BO24" s="79" t="str">
        <f>HYPERLINK("https://twitter.com/ctorrety55512")</f>
        <v>https://twitter.com/ctorrety55512</v>
      </c>
      <c r="BP24" s="112" t="str">
        <f>REPLACE(INDEX(GroupVertices[Group], MATCH("~"&amp;Vertices[[#This Row],[Vertex]],GroupVertices[Vertex],0)),1,1,"")</f>
        <v>12</v>
      </c>
      <c r="BQ24" s="2"/>
    </row>
    <row r="25" spans="1:69" x14ac:dyDescent="0.25">
      <c r="A25" s="61" t="s">
        <v>305</v>
      </c>
      <c r="B25" s="62"/>
      <c r="C25" s="62"/>
      <c r="D25" s="63">
        <v>1.6511111111111112</v>
      </c>
      <c r="E25" s="65"/>
      <c r="F25" s="97" t="str">
        <f>HYPERLINK("https://pbs.twimg.com/profile_images/1344288738319458305/pxvBdi3D_normal.jpg")</f>
        <v>https://pbs.twimg.com/profile_images/1344288738319458305/pxvBdi3D_normal.jpg</v>
      </c>
      <c r="G25" s="62"/>
      <c r="H25" s="66"/>
      <c r="I25" s="67"/>
      <c r="J25" s="67"/>
      <c r="K25" s="66" t="s">
        <v>4490</v>
      </c>
      <c r="L25" s="70"/>
      <c r="M25" s="71">
        <v>7492.4970703125</v>
      </c>
      <c r="N25" s="71">
        <v>5705.32958984375</v>
      </c>
      <c r="O25" s="72"/>
      <c r="P25" s="73"/>
      <c r="Q25" s="73"/>
      <c r="R25" s="81"/>
      <c r="S25" s="45">
        <v>0</v>
      </c>
      <c r="T25" s="45">
        <v>4</v>
      </c>
      <c r="U25" s="46">
        <v>12</v>
      </c>
      <c r="V25" s="46">
        <v>8.3859999999999994E-3</v>
      </c>
      <c r="W25" s="47"/>
      <c r="X25" s="47"/>
      <c r="Y25" s="47"/>
      <c r="Z25" s="46"/>
      <c r="AA25" s="68">
        <v>25</v>
      </c>
      <c r="AB25"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5" s="69"/>
      <c r="AD25" t="s">
        <v>2851</v>
      </c>
      <c r="AE25" s="77" t="s">
        <v>2570</v>
      </c>
      <c r="AF25">
        <v>48</v>
      </c>
      <c r="AG25">
        <v>428</v>
      </c>
      <c r="AH25">
        <v>534</v>
      </c>
      <c r="AI25">
        <v>0</v>
      </c>
      <c r="AJ25">
        <v>15171</v>
      </c>
      <c r="AK25">
        <v>58</v>
      </c>
      <c r="AL25" t="b">
        <v>0</v>
      </c>
      <c r="AM25" s="76">
        <v>44193.025578703702</v>
      </c>
      <c r="AN25" t="s">
        <v>3484</v>
      </c>
      <c r="AO25" t="s">
        <v>3780</v>
      </c>
      <c r="AX25" t="b">
        <v>0</v>
      </c>
      <c r="BA25" t="b">
        <v>0</v>
      </c>
      <c r="BB25" t="b">
        <v>1</v>
      </c>
      <c r="BC25" t="b">
        <v>1</v>
      </c>
      <c r="BD25" t="b">
        <v>0</v>
      </c>
      <c r="BE25" t="b">
        <v>1</v>
      </c>
      <c r="BF25" t="b">
        <v>0</v>
      </c>
      <c r="BG25" t="b">
        <v>0</v>
      </c>
      <c r="BH25" s="79" t="str">
        <f>HYPERLINK("https://pbs.twimg.com/profile_banners/1343355062605721600/1609338385")</f>
        <v>https://pbs.twimg.com/profile_banners/1343355062605721600/1609338385</v>
      </c>
      <c r="BJ25" t="s">
        <v>4320</v>
      </c>
      <c r="BK25" t="b">
        <v>0</v>
      </c>
      <c r="BM25" t="s">
        <v>66</v>
      </c>
      <c r="BN25" t="s">
        <v>4322</v>
      </c>
      <c r="BO25" s="79" t="str">
        <f>HYPERLINK("https://twitter.com/mdinyer1")</f>
        <v>https://twitter.com/mdinyer1</v>
      </c>
      <c r="BP25" s="112" t="str">
        <f>REPLACE(INDEX(GroupVertices[Group], MATCH("~"&amp;Vertices[[#This Row],[Vertex]],GroupVertices[Vertex],0)),1,1,"")</f>
        <v>15</v>
      </c>
      <c r="BQ25" s="2"/>
    </row>
    <row r="26" spans="1:69" x14ac:dyDescent="0.25">
      <c r="A26" s="61" t="s">
        <v>373</v>
      </c>
      <c r="B26" s="62"/>
      <c r="C26" s="62"/>
      <c r="D26" s="63">
        <v>1.6511111111111112</v>
      </c>
      <c r="E26" s="65"/>
      <c r="F26" s="97" t="str">
        <f>HYPERLINK("https://pbs.twimg.com/profile_images/1786446168077000704/mysFHcV0_normal.jpg")</f>
        <v>https://pbs.twimg.com/profile_images/1786446168077000704/mysFHcV0_normal.jpg</v>
      </c>
      <c r="G26" s="62"/>
      <c r="H26" s="66"/>
      <c r="I26" s="67"/>
      <c r="J26" s="67"/>
      <c r="K26" s="66" t="s">
        <v>4600</v>
      </c>
      <c r="L26" s="70"/>
      <c r="M26" s="71">
        <v>6537.48779296875</v>
      </c>
      <c r="N26" s="71">
        <v>5278.6103515625</v>
      </c>
      <c r="O26" s="72"/>
      <c r="P26" s="73"/>
      <c r="Q26" s="73"/>
      <c r="R26" s="81"/>
      <c r="S26" s="45">
        <v>0</v>
      </c>
      <c r="T26" s="45">
        <v>4</v>
      </c>
      <c r="U26" s="46">
        <v>12</v>
      </c>
      <c r="V26" s="46">
        <v>8.3859999999999994E-3</v>
      </c>
      <c r="W26" s="47"/>
      <c r="X26" s="47"/>
      <c r="Y26" s="47"/>
      <c r="Z26" s="46"/>
      <c r="AA26" s="68">
        <v>26</v>
      </c>
      <c r="AB26"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6" s="69"/>
      <c r="AD26" t="s">
        <v>2959</v>
      </c>
      <c r="AE26" s="77" t="s">
        <v>2595</v>
      </c>
      <c r="AF26">
        <v>470</v>
      </c>
      <c r="AG26">
        <v>425</v>
      </c>
      <c r="AH26">
        <v>24838</v>
      </c>
      <c r="AI26">
        <v>1</v>
      </c>
      <c r="AJ26">
        <v>102141</v>
      </c>
      <c r="AK26">
        <v>6262</v>
      </c>
      <c r="AL26" t="b">
        <v>0</v>
      </c>
      <c r="AM26" s="76">
        <v>44711.498993055553</v>
      </c>
      <c r="AN26" t="s">
        <v>3540</v>
      </c>
      <c r="AO26" t="s">
        <v>3879</v>
      </c>
      <c r="AV26">
        <v>1.92657706622222E+18</v>
      </c>
      <c r="AX26" t="b">
        <v>0</v>
      </c>
      <c r="BA26" t="b">
        <v>0</v>
      </c>
      <c r="BB26" t="b">
        <v>1</v>
      </c>
      <c r="BC26" t="b">
        <v>1</v>
      </c>
      <c r="BD26" t="b">
        <v>0</v>
      </c>
      <c r="BE26" t="b">
        <v>1</v>
      </c>
      <c r="BF26" t="b">
        <v>0</v>
      </c>
      <c r="BG26" t="b">
        <v>0</v>
      </c>
      <c r="BH26" s="79" t="str">
        <f>HYPERLINK("https://pbs.twimg.com/profile_banners/1531243363328049154/1681464047")</f>
        <v>https://pbs.twimg.com/profile_banners/1531243363328049154/1681464047</v>
      </c>
      <c r="BJ26" t="s">
        <v>4320</v>
      </c>
      <c r="BK26" t="b">
        <v>0</v>
      </c>
      <c r="BM26" t="s">
        <v>66</v>
      </c>
      <c r="BN26" t="s">
        <v>4322</v>
      </c>
      <c r="BO26" s="79" t="str">
        <f>HYPERLINK("https://twitter.com/mjoseabad1")</f>
        <v>https://twitter.com/mjoseabad1</v>
      </c>
      <c r="BP26" s="112" t="str">
        <f>REPLACE(INDEX(GroupVertices[Group], MATCH("~"&amp;Vertices[[#This Row],[Vertex]],GroupVertices[Vertex],0)),1,1,"")</f>
        <v>11</v>
      </c>
      <c r="BQ26" s="2"/>
    </row>
    <row r="27" spans="1:69" x14ac:dyDescent="0.25">
      <c r="A27" s="61" t="s">
        <v>477</v>
      </c>
      <c r="B27" s="62"/>
      <c r="C27" s="62"/>
      <c r="D27" s="63">
        <v>1.6511111111111112</v>
      </c>
      <c r="E27" s="65"/>
      <c r="F27" s="97" t="str">
        <f>HYPERLINK("https://pbs.twimg.com/profile_images/1354838355842920448/UV9A0B9S_normal.jpg")</f>
        <v>https://pbs.twimg.com/profile_images/1354838355842920448/UV9A0B9S_normal.jpg</v>
      </c>
      <c r="G27" s="62"/>
      <c r="H27" s="66"/>
      <c r="I27" s="67"/>
      <c r="J27" s="67"/>
      <c r="K27" s="66" t="s">
        <v>4764</v>
      </c>
      <c r="L27" s="70"/>
      <c r="M27" s="71">
        <v>6296.85595703125</v>
      </c>
      <c r="N27" s="71">
        <v>1945.6201171875</v>
      </c>
      <c r="O27" s="72"/>
      <c r="P27" s="73"/>
      <c r="Q27" s="73"/>
      <c r="R27" s="81"/>
      <c r="S27" s="45">
        <v>0</v>
      </c>
      <c r="T27" s="45">
        <v>4</v>
      </c>
      <c r="U27" s="46">
        <v>12</v>
      </c>
      <c r="V27" s="46">
        <v>8.3859999999999994E-3</v>
      </c>
      <c r="W27" s="47"/>
      <c r="X27" s="47"/>
      <c r="Y27" s="47"/>
      <c r="Z27" s="46"/>
      <c r="AA27" s="68">
        <v>27</v>
      </c>
      <c r="AB27"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7" s="69"/>
      <c r="AD27" t="s">
        <v>3116</v>
      </c>
      <c r="AE27" s="77" t="s">
        <v>2634</v>
      </c>
      <c r="AF27">
        <v>1809</v>
      </c>
      <c r="AG27">
        <v>578</v>
      </c>
      <c r="AH27">
        <v>42035</v>
      </c>
      <c r="AI27">
        <v>19</v>
      </c>
      <c r="AJ27">
        <v>1534</v>
      </c>
      <c r="AK27">
        <v>316</v>
      </c>
      <c r="AL27" t="b">
        <v>0</v>
      </c>
      <c r="AM27" s="76">
        <v>44195.737430555557</v>
      </c>
      <c r="AN27" t="s">
        <v>3613</v>
      </c>
      <c r="AO27" t="s">
        <v>4022</v>
      </c>
      <c r="AP27" s="79" t="str">
        <f>HYPERLINK("https://t.co/IepCxaLeOn")</f>
        <v>https://t.co/IepCxaLeOn</v>
      </c>
      <c r="AQ27" s="79" t="str">
        <f>HYPERLINK("http://www.aljarafeymas.com")</f>
        <v>http://www.aljarafeymas.com</v>
      </c>
      <c r="AR27" t="s">
        <v>1202</v>
      </c>
      <c r="AS27" s="79" t="str">
        <f>HYPERLINK("https://t.co/xx6qMNvK0s")</f>
        <v>https://t.co/xx6qMNvK0s</v>
      </c>
      <c r="AT27" s="79" t="str">
        <f>HYPERLINK("http://sevillaymas.com")</f>
        <v>http://sevillaymas.com</v>
      </c>
      <c r="AU27" t="s">
        <v>4314</v>
      </c>
      <c r="AW27" s="79" t="str">
        <f>HYPERLINK("https://t.co/IepCxaLeOn")</f>
        <v>https://t.co/IepCxaLeOn</v>
      </c>
      <c r="AX27" t="b">
        <v>0</v>
      </c>
      <c r="BA27" t="b">
        <v>0</v>
      </c>
      <c r="BB27" t="b">
        <v>1</v>
      </c>
      <c r="BC27" t="b">
        <v>1</v>
      </c>
      <c r="BD27" t="b">
        <v>0</v>
      </c>
      <c r="BE27" t="b">
        <v>1</v>
      </c>
      <c r="BF27" t="b">
        <v>0</v>
      </c>
      <c r="BG27" t="b">
        <v>0</v>
      </c>
      <c r="BH27" s="79" t="str">
        <f>HYPERLINK("https://pbs.twimg.com/profile_banners/1344337895797235713/1611853653")</f>
        <v>https://pbs.twimg.com/profile_banners/1344337895797235713/1611853653</v>
      </c>
      <c r="BJ27" t="s">
        <v>4320</v>
      </c>
      <c r="BK27" t="b">
        <v>0</v>
      </c>
      <c r="BM27" t="s">
        <v>66</v>
      </c>
      <c r="BN27" t="s">
        <v>4322</v>
      </c>
      <c r="BO27" s="79" t="str">
        <f>HYPERLINK("https://twitter.com/aljarafeymas")</f>
        <v>https://twitter.com/aljarafeymas</v>
      </c>
      <c r="BP27" s="112" t="str">
        <f>REPLACE(INDEX(GroupVertices[Group], MATCH("~"&amp;Vertices[[#This Row],[Vertex]],GroupVertices[Vertex],0)),1,1,"")</f>
        <v>17</v>
      </c>
      <c r="BQ27" s="2"/>
    </row>
    <row r="28" spans="1:69" x14ac:dyDescent="0.25">
      <c r="A28" s="61" t="s">
        <v>414</v>
      </c>
      <c r="B28" s="62"/>
      <c r="C28" s="62"/>
      <c r="D28" s="63">
        <v>1.6322222222222222</v>
      </c>
      <c r="E28" s="65"/>
      <c r="F28" s="97" t="str">
        <f>HYPERLINK("https://pbs.twimg.com/profile_images/1891280462506536960/yokonhgd_normal.jpg")</f>
        <v>https://pbs.twimg.com/profile_images/1891280462506536960/yokonhgd_normal.jpg</v>
      </c>
      <c r="G28" s="62"/>
      <c r="H28" s="66"/>
      <c r="I28" s="67"/>
      <c r="J28" s="67"/>
      <c r="K28" s="66" t="s">
        <v>4687</v>
      </c>
      <c r="L28" s="70"/>
      <c r="M28" s="71">
        <v>3584.343994140625</v>
      </c>
      <c r="N28" s="71">
        <v>7765.78466796875</v>
      </c>
      <c r="O28" s="72"/>
      <c r="P28" s="73"/>
      <c r="Q28" s="73"/>
      <c r="R28" s="81"/>
      <c r="S28" s="45">
        <v>0</v>
      </c>
      <c r="T28" s="45">
        <v>3</v>
      </c>
      <c r="U28" s="46">
        <v>10.5</v>
      </c>
      <c r="V28" s="46">
        <v>8.3859999999999994E-3</v>
      </c>
      <c r="W28" s="47"/>
      <c r="X28" s="47"/>
      <c r="Y28" s="47"/>
      <c r="Z28" s="46"/>
      <c r="AA28" s="68">
        <v>28</v>
      </c>
      <c r="AB28"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8" s="69"/>
      <c r="AD28" t="s">
        <v>3044</v>
      </c>
      <c r="AE28" s="77" t="s">
        <v>2610</v>
      </c>
      <c r="AF28">
        <v>72</v>
      </c>
      <c r="AG28">
        <v>245</v>
      </c>
      <c r="AH28">
        <v>699</v>
      </c>
      <c r="AI28">
        <v>0</v>
      </c>
      <c r="AJ28">
        <v>1251</v>
      </c>
      <c r="AK28">
        <v>36</v>
      </c>
      <c r="AL28" t="b">
        <v>0</v>
      </c>
      <c r="AM28" s="76">
        <v>43666.619699074072</v>
      </c>
      <c r="AN28" t="s">
        <v>3572</v>
      </c>
      <c r="AO28" t="s">
        <v>3954</v>
      </c>
      <c r="AX28" t="b">
        <v>0</v>
      </c>
      <c r="BA28" t="b">
        <v>0</v>
      </c>
      <c r="BB28" t="b">
        <v>0</v>
      </c>
      <c r="BC28" t="b">
        <v>1</v>
      </c>
      <c r="BD28" t="b">
        <v>0</v>
      </c>
      <c r="BE28" t="b">
        <v>0</v>
      </c>
      <c r="BF28" t="b">
        <v>0</v>
      </c>
      <c r="BG28" t="b">
        <v>0</v>
      </c>
      <c r="BH28" s="79" t="str">
        <f>HYPERLINK("https://pbs.twimg.com/profile_banners/1152592088967651330/1634136800")</f>
        <v>https://pbs.twimg.com/profile_banners/1152592088967651330/1634136800</v>
      </c>
      <c r="BJ28" t="s">
        <v>4320</v>
      </c>
      <c r="BK28" t="b">
        <v>0</v>
      </c>
      <c r="BM28" t="s">
        <v>66</v>
      </c>
      <c r="BN28" t="s">
        <v>4322</v>
      </c>
      <c r="BO28" s="79" t="str">
        <f>HYPERLINK("https://twitter.com/claudiaea")</f>
        <v>https://twitter.com/claudiaea</v>
      </c>
      <c r="BP28" s="112" t="str">
        <f>REPLACE(INDEX(GroupVertices[Group], MATCH("~"&amp;Vertices[[#This Row],[Vertex]],GroupVertices[Vertex],0)),1,1,"")</f>
        <v>9</v>
      </c>
      <c r="BQ28" s="2"/>
    </row>
    <row r="29" spans="1:69" x14ac:dyDescent="0.25">
      <c r="A29" s="61" t="s">
        <v>555</v>
      </c>
      <c r="B29" s="62"/>
      <c r="C29" s="62"/>
      <c r="D29" s="63">
        <v>1.6133333333333333</v>
      </c>
      <c r="E29" s="65"/>
      <c r="F29" s="97" t="str">
        <f>HYPERLINK("https://pbs.twimg.com/profile_images/1874797771527528448/f5hXTB3I_normal.jpg")</f>
        <v>https://pbs.twimg.com/profile_images/1874797771527528448/f5hXTB3I_normal.jpg</v>
      </c>
      <c r="G29" s="62"/>
      <c r="H29" s="66"/>
      <c r="I29" s="67"/>
      <c r="J29" s="67"/>
      <c r="K29" s="66" t="s">
        <v>4432</v>
      </c>
      <c r="L29" s="70"/>
      <c r="M29" s="71">
        <v>4776.0322265625</v>
      </c>
      <c r="N29" s="71">
        <v>6322.21826171875</v>
      </c>
      <c r="O29" s="72"/>
      <c r="P29" s="73"/>
      <c r="Q29" s="73"/>
      <c r="R29" s="81"/>
      <c r="S29" s="45">
        <v>4</v>
      </c>
      <c r="T29" s="45">
        <v>0</v>
      </c>
      <c r="U29" s="46">
        <v>9</v>
      </c>
      <c r="V29" s="46">
        <v>9.4339999999999997E-3</v>
      </c>
      <c r="W29" s="47"/>
      <c r="X29" s="47"/>
      <c r="Y29" s="47"/>
      <c r="Z29" s="46"/>
      <c r="AA29" s="68">
        <v>29</v>
      </c>
      <c r="AB29"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9" s="69"/>
      <c r="AD29" t="s">
        <v>2793</v>
      </c>
      <c r="AE29" s="77" t="s">
        <v>3199</v>
      </c>
      <c r="AF29">
        <v>16016</v>
      </c>
      <c r="AG29">
        <v>534</v>
      </c>
      <c r="AH29">
        <v>12852</v>
      </c>
      <c r="AI29">
        <v>20</v>
      </c>
      <c r="AJ29">
        <v>1679</v>
      </c>
      <c r="AK29">
        <v>5235</v>
      </c>
      <c r="AL29" t="b">
        <v>0</v>
      </c>
      <c r="AM29" s="76">
        <v>40812.87195601852</v>
      </c>
      <c r="AN29" t="s">
        <v>3453</v>
      </c>
      <c r="AO29" t="s">
        <v>3727</v>
      </c>
      <c r="AP29" s="79" t="str">
        <f>HYPERLINK("https://t.co/YucrEj9KMO")</f>
        <v>https://t.co/YucrEj9KMO</v>
      </c>
      <c r="AQ29" s="79" t="str">
        <f>HYPERLINK("http://www.cmds.cl")</f>
        <v>http://www.cmds.cl</v>
      </c>
      <c r="AR29" t="s">
        <v>4095</v>
      </c>
      <c r="AW29" s="79" t="str">
        <f>HYPERLINK("https://t.co/YucrEj9KMO")</f>
        <v>https://t.co/YucrEj9KMO</v>
      </c>
      <c r="AX29" t="b">
        <v>0</v>
      </c>
      <c r="AZ29" t="b">
        <v>0</v>
      </c>
      <c r="BA29" t="b">
        <v>1</v>
      </c>
      <c r="BB29" t="b">
        <v>0</v>
      </c>
      <c r="BC29" t="b">
        <v>0</v>
      </c>
      <c r="BD29" t="b">
        <v>0</v>
      </c>
      <c r="BE29" t="b">
        <v>0</v>
      </c>
      <c r="BF29" t="b">
        <v>0</v>
      </c>
      <c r="BG29" t="b">
        <v>0</v>
      </c>
      <c r="BH29" s="79" t="str">
        <f>HYPERLINK("https://pbs.twimg.com/profile_banners/380552427/1737130710")</f>
        <v>https://pbs.twimg.com/profile_banners/380552427/1737130710</v>
      </c>
      <c r="BJ29" t="s">
        <v>4320</v>
      </c>
      <c r="BK29" t="b">
        <v>0</v>
      </c>
      <c r="BM29" t="s">
        <v>65</v>
      </c>
      <c r="BN29" t="s">
        <v>4322</v>
      </c>
      <c r="BO29" s="79" t="str">
        <f>HYPERLINK("https://twitter.com/cmds_antof")</f>
        <v>https://twitter.com/cmds_antof</v>
      </c>
      <c r="BP29" s="112" t="str">
        <f>REPLACE(INDEX(GroupVertices[Group], MATCH("~"&amp;Vertices[[#This Row],[Vertex]],GroupVertices[Vertex],0)),1,1,"")</f>
        <v>9</v>
      </c>
      <c r="BQ29" s="2"/>
    </row>
    <row r="30" spans="1:69" x14ac:dyDescent="0.25">
      <c r="A30" s="61" t="s">
        <v>556</v>
      </c>
      <c r="B30" s="62"/>
      <c r="C30" s="62"/>
      <c r="D30" s="63">
        <v>1.6133333333333333</v>
      </c>
      <c r="E30" s="65"/>
      <c r="F30" s="97" t="str">
        <f>HYPERLINK("https://pbs.twimg.com/profile_images/1901807607851155456/TDc39y92_normal.jpg")</f>
        <v>https://pbs.twimg.com/profile_images/1901807607851155456/TDc39y92_normal.jpg</v>
      </c>
      <c r="G30" s="62"/>
      <c r="H30" s="66"/>
      <c r="I30" s="67"/>
      <c r="J30" s="67"/>
      <c r="K30" s="66" t="s">
        <v>4433</v>
      </c>
      <c r="L30" s="70"/>
      <c r="M30" s="71">
        <v>5415.611328125</v>
      </c>
      <c r="N30" s="71">
        <v>7701.09228515625</v>
      </c>
      <c r="O30" s="72"/>
      <c r="P30" s="73"/>
      <c r="Q30" s="73"/>
      <c r="R30" s="81"/>
      <c r="S30" s="45">
        <v>4</v>
      </c>
      <c r="T30" s="45">
        <v>0</v>
      </c>
      <c r="U30" s="46">
        <v>9</v>
      </c>
      <c r="V30" s="46">
        <v>9.4339999999999997E-3</v>
      </c>
      <c r="W30" s="47"/>
      <c r="X30" s="47"/>
      <c r="Y30" s="47"/>
      <c r="Z30" s="46"/>
      <c r="AA30" s="68">
        <v>30</v>
      </c>
      <c r="AB30"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0" s="69"/>
      <c r="AD30" t="s">
        <v>2794</v>
      </c>
      <c r="AE30" s="77" t="s">
        <v>2403</v>
      </c>
      <c r="AF30">
        <v>25285</v>
      </c>
      <c r="AG30">
        <v>21694</v>
      </c>
      <c r="AH30">
        <v>39496</v>
      </c>
      <c r="AI30">
        <v>9</v>
      </c>
      <c r="AJ30">
        <v>56110</v>
      </c>
      <c r="AK30">
        <v>7621</v>
      </c>
      <c r="AL30" t="b">
        <v>0</v>
      </c>
      <c r="AM30" s="76">
        <v>44694.465509259258</v>
      </c>
      <c r="AO30" t="s">
        <v>3728</v>
      </c>
      <c r="AV30">
        <v>1.90809640030432E+18</v>
      </c>
      <c r="AX30" t="b">
        <v>0</v>
      </c>
      <c r="AZ30" t="b">
        <v>0</v>
      </c>
      <c r="BA30" t="b">
        <v>0</v>
      </c>
      <c r="BB30" t="b">
        <v>0</v>
      </c>
      <c r="BC30" t="b">
        <v>1</v>
      </c>
      <c r="BD30" t="b">
        <v>0</v>
      </c>
      <c r="BE30" t="b">
        <v>1</v>
      </c>
      <c r="BF30" t="b">
        <v>0</v>
      </c>
      <c r="BG30" t="b">
        <v>0</v>
      </c>
      <c r="BH30" s="79" t="str">
        <f>HYPERLINK("https://pbs.twimg.com/profile_banners/1525070877552943104/1678273271")</f>
        <v>https://pbs.twimg.com/profile_banners/1525070877552943104/1678273271</v>
      </c>
      <c r="BJ30" t="s">
        <v>4320</v>
      </c>
      <c r="BK30" t="b">
        <v>0</v>
      </c>
      <c r="BM30" t="s">
        <v>65</v>
      </c>
      <c r="BN30" t="s">
        <v>4322</v>
      </c>
      <c r="BO30" s="79" t="str">
        <f>HYPERLINK("https://twitter.com/antofaopina2022")</f>
        <v>https://twitter.com/antofaopina2022</v>
      </c>
      <c r="BP30" s="112" t="str">
        <f>REPLACE(INDEX(GroupVertices[Group], MATCH("~"&amp;Vertices[[#This Row],[Vertex]],GroupVertices[Vertex],0)),1,1,"")</f>
        <v>9</v>
      </c>
      <c r="BQ30" s="2"/>
    </row>
    <row r="31" spans="1:69" x14ac:dyDescent="0.25">
      <c r="A31" s="61" t="s">
        <v>422</v>
      </c>
      <c r="B31" s="62"/>
      <c r="C31" s="62"/>
      <c r="D31" s="63">
        <v>1.5881481481481481</v>
      </c>
      <c r="E31" s="65"/>
      <c r="F31" s="97" t="str">
        <f>HYPERLINK("https://pbs.twimg.com/profile_images/1580467556971945985/--qy7433_normal.jpg")</f>
        <v>https://pbs.twimg.com/profile_images/1580467556971945985/--qy7433_normal.jpg</v>
      </c>
      <c r="G31" s="62"/>
      <c r="H31" s="66"/>
      <c r="I31" s="67"/>
      <c r="J31" s="67"/>
      <c r="K31" s="66" t="s">
        <v>4697</v>
      </c>
      <c r="L31" s="70"/>
      <c r="M31" s="71">
        <v>1949.9080810546875</v>
      </c>
      <c r="N31" s="71">
        <v>4666.10205078125</v>
      </c>
      <c r="O31" s="72"/>
      <c r="P31" s="73"/>
      <c r="Q31" s="73"/>
      <c r="R31" s="81"/>
      <c r="S31" s="45">
        <v>0</v>
      </c>
      <c r="T31" s="45">
        <v>3</v>
      </c>
      <c r="U31" s="46">
        <v>7</v>
      </c>
      <c r="V31" s="46">
        <v>6.7089999999999997E-3</v>
      </c>
      <c r="W31" s="47"/>
      <c r="X31" s="47"/>
      <c r="Y31" s="47"/>
      <c r="Z31" s="46"/>
      <c r="AA31" s="68">
        <v>31</v>
      </c>
      <c r="AB31"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1" s="69"/>
      <c r="AD31" t="s">
        <v>3054</v>
      </c>
      <c r="AE31" s="77" t="s">
        <v>3348</v>
      </c>
      <c r="AF31">
        <v>3528</v>
      </c>
      <c r="AG31">
        <v>3408</v>
      </c>
      <c r="AH31">
        <v>35246</v>
      </c>
      <c r="AI31">
        <v>32</v>
      </c>
      <c r="AJ31">
        <v>2611</v>
      </c>
      <c r="AK31">
        <v>5911</v>
      </c>
      <c r="AL31" t="b">
        <v>0</v>
      </c>
      <c r="AM31" s="76">
        <v>41285.494363425925</v>
      </c>
      <c r="AN31" t="s">
        <v>3577</v>
      </c>
      <c r="AO31" t="s">
        <v>3964</v>
      </c>
      <c r="AP31" s="79" t="str">
        <f>HYPERLINK("https://t.co/z7Z4yUgx2o")</f>
        <v>https://t.co/z7Z4yUgx2o</v>
      </c>
      <c r="AQ31" s="79" t="str">
        <f>HYPERLINK("http://www.campinadigital.me")</f>
        <v>http://www.campinadigital.me</v>
      </c>
      <c r="AR31" t="s">
        <v>1186</v>
      </c>
      <c r="AW31" s="79" t="str">
        <f>HYPERLINK("https://t.co/z7Z4yUgx2o")</f>
        <v>https://t.co/z7Z4yUgx2o</v>
      </c>
      <c r="AX31" t="b">
        <v>1</v>
      </c>
      <c r="BA31" t="b">
        <v>0</v>
      </c>
      <c r="BB31" t="b">
        <v>1</v>
      </c>
      <c r="BC31" t="b">
        <v>1</v>
      </c>
      <c r="BD31" t="b">
        <v>0</v>
      </c>
      <c r="BE31" t="b">
        <v>0</v>
      </c>
      <c r="BF31" t="b">
        <v>0</v>
      </c>
      <c r="BG31" t="b">
        <v>0</v>
      </c>
      <c r="BH31" s="79" t="str">
        <f>HYPERLINK("https://pbs.twimg.com/profile_banners/1079405406/1665647805")</f>
        <v>https://pbs.twimg.com/profile_banners/1079405406/1665647805</v>
      </c>
      <c r="BJ31" t="s">
        <v>4320</v>
      </c>
      <c r="BK31" t="b">
        <v>0</v>
      </c>
      <c r="BM31" t="s">
        <v>66</v>
      </c>
      <c r="BN31" t="s">
        <v>4322</v>
      </c>
      <c r="BO31" s="79" t="str">
        <f>HYPERLINK("https://twitter.com/campinadigital")</f>
        <v>https://twitter.com/campinadigital</v>
      </c>
      <c r="BP31" s="112" t="str">
        <f>REPLACE(INDEX(GroupVertices[Group], MATCH("~"&amp;Vertices[[#This Row],[Vertex]],GroupVertices[Vertex],0)),1,1,"")</f>
        <v>14</v>
      </c>
      <c r="BQ31" s="2"/>
    </row>
    <row r="32" spans="1:69" x14ac:dyDescent="0.25">
      <c r="A32" s="61" t="s">
        <v>247</v>
      </c>
      <c r="B32" s="62"/>
      <c r="C32" s="62"/>
      <c r="D32" s="63">
        <v>1.5755555555555556</v>
      </c>
      <c r="E32" s="65"/>
      <c r="F32" s="97" t="str">
        <f>HYPERLINK("https://pbs.twimg.com/profile_images/1579580968574279708/f-HheTly_normal.png")</f>
        <v>https://pbs.twimg.com/profile_images/1579580968574279708/f-HheTly_normal.png</v>
      </c>
      <c r="G32" s="62"/>
      <c r="H32" s="66"/>
      <c r="I32" s="67"/>
      <c r="J32" s="67"/>
      <c r="K32" s="66" t="s">
        <v>4367</v>
      </c>
      <c r="L32" s="70"/>
      <c r="M32" s="71">
        <v>703.0263671875</v>
      </c>
      <c r="N32" s="71">
        <v>5436.3828125</v>
      </c>
      <c r="O32" s="72"/>
      <c r="P32" s="73"/>
      <c r="Q32" s="73"/>
      <c r="R32" s="81"/>
      <c r="S32" s="45">
        <v>0</v>
      </c>
      <c r="T32" s="45">
        <v>3</v>
      </c>
      <c r="U32" s="46">
        <v>6</v>
      </c>
      <c r="V32" s="46">
        <v>6.2890000000000003E-3</v>
      </c>
      <c r="W32" s="47"/>
      <c r="X32" s="47"/>
      <c r="Y32" s="47"/>
      <c r="Z32" s="46"/>
      <c r="AA32" s="68">
        <v>32</v>
      </c>
      <c r="AB32"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2" s="69"/>
      <c r="AD32" t="s">
        <v>2729</v>
      </c>
      <c r="AE32" s="77" t="s">
        <v>2543</v>
      </c>
      <c r="AF32">
        <v>43</v>
      </c>
      <c r="AG32">
        <v>427</v>
      </c>
      <c r="AH32">
        <v>2937</v>
      </c>
      <c r="AI32">
        <v>0</v>
      </c>
      <c r="AJ32">
        <v>32308</v>
      </c>
      <c r="AK32">
        <v>252</v>
      </c>
      <c r="AL32" t="b">
        <v>0</v>
      </c>
      <c r="AM32" s="76">
        <v>44844.88453703704</v>
      </c>
      <c r="AX32" t="b">
        <v>0</v>
      </c>
      <c r="BA32" t="b">
        <v>0</v>
      </c>
      <c r="BB32" t="b">
        <v>1</v>
      </c>
      <c r="BC32" t="b">
        <v>1</v>
      </c>
      <c r="BD32" t="b">
        <v>0</v>
      </c>
      <c r="BE32" t="b">
        <v>0</v>
      </c>
      <c r="BF32" t="b">
        <v>0</v>
      </c>
      <c r="BG32" t="b">
        <v>0</v>
      </c>
      <c r="BJ32" t="s">
        <v>4320</v>
      </c>
      <c r="BK32" t="b">
        <v>0</v>
      </c>
      <c r="BM32" t="s">
        <v>66</v>
      </c>
      <c r="BN32" t="s">
        <v>4322</v>
      </c>
      <c r="BO32" s="79" t="str">
        <f>HYPERLINK("https://twitter.com/vinibelli15")</f>
        <v>https://twitter.com/vinibelli15</v>
      </c>
      <c r="BP32" s="112" t="str">
        <f>REPLACE(INDEX(GroupVertices[Group], MATCH("~"&amp;Vertices[[#This Row],[Vertex]],GroupVertices[Vertex],0)),1,1,"")</f>
        <v>23</v>
      </c>
      <c r="BQ32" s="2"/>
    </row>
    <row r="33" spans="1:69" x14ac:dyDescent="0.25">
      <c r="A33" s="61" t="s">
        <v>248</v>
      </c>
      <c r="B33" s="62"/>
      <c r="C33" s="62"/>
      <c r="D33" s="63">
        <v>1.5755555555555556</v>
      </c>
      <c r="E33" s="65"/>
      <c r="F33" s="97" t="str">
        <f>HYPERLINK("https://pbs.twimg.com/profile_images/2859753093/2c543100ac860383fc1bd0a2e94aa1b6_normal.png")</f>
        <v>https://pbs.twimg.com/profile_images/2859753093/2c543100ac860383fc1bd0a2e94aa1b6_normal.png</v>
      </c>
      <c r="G33" s="62"/>
      <c r="H33" s="66"/>
      <c r="I33" s="67"/>
      <c r="J33" s="67"/>
      <c r="K33" s="66" t="s">
        <v>4371</v>
      </c>
      <c r="L33" s="70"/>
      <c r="M33" s="71">
        <v>5292.55126953125</v>
      </c>
      <c r="N33" s="71">
        <v>3832.387451171875</v>
      </c>
      <c r="O33" s="72"/>
      <c r="P33" s="73"/>
      <c r="Q33" s="73"/>
      <c r="R33" s="81"/>
      <c r="S33" s="45">
        <v>0</v>
      </c>
      <c r="T33" s="45">
        <v>3</v>
      </c>
      <c r="U33" s="46">
        <v>6</v>
      </c>
      <c r="V33" s="46">
        <v>6.2890000000000003E-3</v>
      </c>
      <c r="W33" s="47"/>
      <c r="X33" s="47"/>
      <c r="Y33" s="47"/>
      <c r="Z33" s="46"/>
      <c r="AA33" s="68">
        <v>33</v>
      </c>
      <c r="AB33"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3" s="69"/>
      <c r="AD33" t="s">
        <v>2733</v>
      </c>
      <c r="AE33" s="77" t="s">
        <v>3179</v>
      </c>
      <c r="AF33">
        <v>2533</v>
      </c>
      <c r="AG33">
        <v>2563</v>
      </c>
      <c r="AH33">
        <v>109378</v>
      </c>
      <c r="AI33">
        <v>45</v>
      </c>
      <c r="AJ33">
        <v>255940</v>
      </c>
      <c r="AK33">
        <v>1288</v>
      </c>
      <c r="AL33" t="b">
        <v>0</v>
      </c>
      <c r="AM33" s="76">
        <v>40732.921747685185</v>
      </c>
      <c r="AN33" t="s">
        <v>3430</v>
      </c>
      <c r="AO33" t="s">
        <v>3678</v>
      </c>
      <c r="AX33" t="b">
        <v>0</v>
      </c>
      <c r="BA33" t="b">
        <v>0</v>
      </c>
      <c r="BB33" t="b">
        <v>1</v>
      </c>
      <c r="BC33" t="b">
        <v>1</v>
      </c>
      <c r="BD33" t="b">
        <v>0</v>
      </c>
      <c r="BE33" t="b">
        <v>1</v>
      </c>
      <c r="BF33" t="b">
        <v>0</v>
      </c>
      <c r="BG33" t="b">
        <v>0</v>
      </c>
      <c r="BJ33" t="s">
        <v>4320</v>
      </c>
      <c r="BK33" t="b">
        <v>0</v>
      </c>
      <c r="BM33" t="s">
        <v>66</v>
      </c>
      <c r="BN33" t="s">
        <v>4322</v>
      </c>
      <c r="BO33" s="79" t="str">
        <f>HYPERLINK("https://twitter.com/ggilsanz")</f>
        <v>https://twitter.com/ggilsanz</v>
      </c>
      <c r="BP33" s="112" t="str">
        <f>REPLACE(INDEX(GroupVertices[Group], MATCH("~"&amp;Vertices[[#This Row],[Vertex]],GroupVertices[Vertex],0)),1,1,"")</f>
        <v>26</v>
      </c>
      <c r="BQ33" s="2"/>
    </row>
    <row r="34" spans="1:69" x14ac:dyDescent="0.25">
      <c r="A34" s="61" t="s">
        <v>362</v>
      </c>
      <c r="B34" s="62"/>
      <c r="C34" s="62"/>
      <c r="D34" s="63">
        <v>1.5755555555555556</v>
      </c>
      <c r="E34" s="65"/>
      <c r="F34" s="97" t="str">
        <f>HYPERLINK("https://pbs.twimg.com/profile_images/1551196062169399297/iCZF-ruv_normal.jpg")</f>
        <v>https://pbs.twimg.com/profile_images/1551196062169399297/iCZF-ruv_normal.jpg</v>
      </c>
      <c r="G34" s="62"/>
      <c r="H34" s="66"/>
      <c r="I34" s="67"/>
      <c r="J34" s="67"/>
      <c r="K34" s="66" t="s">
        <v>4420</v>
      </c>
      <c r="L34" s="70"/>
      <c r="M34" s="71">
        <v>6140.51708984375</v>
      </c>
      <c r="N34" s="71">
        <v>2582.4404296875</v>
      </c>
      <c r="O34" s="72"/>
      <c r="P34" s="73"/>
      <c r="Q34" s="73"/>
      <c r="R34" s="81"/>
      <c r="S34" s="45">
        <v>2</v>
      </c>
      <c r="T34" s="45">
        <v>2</v>
      </c>
      <c r="U34" s="46">
        <v>6</v>
      </c>
      <c r="V34" s="46">
        <v>8.3859999999999994E-3</v>
      </c>
      <c r="W34" s="47"/>
      <c r="X34" s="47"/>
      <c r="Y34" s="47"/>
      <c r="Z34" s="46"/>
      <c r="AA34" s="68">
        <v>34</v>
      </c>
      <c r="AB34"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4" s="69"/>
      <c r="AD34" t="s">
        <v>2781</v>
      </c>
      <c r="AE34" s="77" t="s">
        <v>2466</v>
      </c>
      <c r="AF34">
        <v>478</v>
      </c>
      <c r="AG34">
        <v>2297</v>
      </c>
      <c r="AH34">
        <v>2458</v>
      </c>
      <c r="AI34">
        <v>2</v>
      </c>
      <c r="AJ34">
        <v>1907</v>
      </c>
      <c r="AK34">
        <v>26</v>
      </c>
      <c r="AL34" t="b">
        <v>0</v>
      </c>
      <c r="AM34" s="76">
        <v>44766.554537037038</v>
      </c>
      <c r="AX34" t="b">
        <v>0</v>
      </c>
      <c r="BA34" t="b">
        <v>0</v>
      </c>
      <c r="BB34" t="b">
        <v>1</v>
      </c>
      <c r="BC34" t="b">
        <v>1</v>
      </c>
      <c r="BD34" t="b">
        <v>0</v>
      </c>
      <c r="BE34" t="b">
        <v>1</v>
      </c>
      <c r="BF34" t="b">
        <v>0</v>
      </c>
      <c r="BG34" t="b">
        <v>0</v>
      </c>
      <c r="BH34" s="79" t="str">
        <f>HYPERLINK("https://pbs.twimg.com/profile_banners/1551195061483872258/1689256554")</f>
        <v>https://pbs.twimg.com/profile_banners/1551195061483872258/1689256554</v>
      </c>
      <c r="BJ34" t="s">
        <v>4320</v>
      </c>
      <c r="BK34" t="b">
        <v>0</v>
      </c>
      <c r="BM34" t="s">
        <v>66</v>
      </c>
      <c r="BN34" t="s">
        <v>4322</v>
      </c>
      <c r="BO34" s="79" t="str">
        <f>HYPERLINK("https://twitter.com/butaca131")</f>
        <v>https://twitter.com/butaca131</v>
      </c>
      <c r="BP34" s="112" t="str">
        <f>REPLACE(INDEX(GroupVertices[Group], MATCH("~"&amp;Vertices[[#This Row],[Vertex]],GroupVertices[Vertex],0)),1,1,"")</f>
        <v>16</v>
      </c>
      <c r="BQ34" s="2"/>
    </row>
    <row r="35" spans="1:69" x14ac:dyDescent="0.25">
      <c r="A35" s="61" t="s">
        <v>289</v>
      </c>
      <c r="B35" s="62"/>
      <c r="C35" s="62"/>
      <c r="D35" s="63">
        <v>1.5755555555555556</v>
      </c>
      <c r="E35" s="65"/>
      <c r="F35" s="97" t="str">
        <f>HYPERLINK("https://pbs.twimg.com/profile_images/775194868989698053/yPzyAWi2_normal.jpg")</f>
        <v>https://pbs.twimg.com/profile_images/775194868989698053/yPzyAWi2_normal.jpg</v>
      </c>
      <c r="G35" s="62"/>
      <c r="H35" s="66"/>
      <c r="I35" s="67"/>
      <c r="J35" s="67"/>
      <c r="K35" s="66" t="s">
        <v>4458</v>
      </c>
      <c r="L35" s="70"/>
      <c r="M35" s="71">
        <v>8041.57421875</v>
      </c>
      <c r="N35" s="71">
        <v>2272.30712890625</v>
      </c>
      <c r="O35" s="72"/>
      <c r="P35" s="73"/>
      <c r="Q35" s="73"/>
      <c r="R35" s="81"/>
      <c r="S35" s="45">
        <v>0</v>
      </c>
      <c r="T35" s="45">
        <v>3</v>
      </c>
      <c r="U35" s="46">
        <v>6</v>
      </c>
      <c r="V35" s="46">
        <v>6.2890000000000003E-3</v>
      </c>
      <c r="W35" s="47"/>
      <c r="X35" s="47"/>
      <c r="Y35" s="47"/>
      <c r="Z35" s="46"/>
      <c r="AA35" s="68">
        <v>35</v>
      </c>
      <c r="AB35"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5" s="69"/>
      <c r="AD35" t="s">
        <v>2819</v>
      </c>
      <c r="AE35" s="77" t="s">
        <v>3211</v>
      </c>
      <c r="AF35">
        <v>359</v>
      </c>
      <c r="AG35">
        <v>310</v>
      </c>
      <c r="AH35">
        <v>15596</v>
      </c>
      <c r="AI35">
        <v>67</v>
      </c>
      <c r="AJ35">
        <v>5585</v>
      </c>
      <c r="AK35">
        <v>1013</v>
      </c>
      <c r="AL35" t="b">
        <v>0</v>
      </c>
      <c r="AM35" s="76">
        <v>40872.654456018521</v>
      </c>
      <c r="AN35" t="s">
        <v>3470</v>
      </c>
      <c r="AO35" t="s">
        <v>3751</v>
      </c>
      <c r="AP35" s="79" t="str">
        <f>HYPERLINK("https://t.co/5vpnPeG2U1")</f>
        <v>https://t.co/5vpnPeG2U1</v>
      </c>
      <c r="AQ35" s="79" t="str">
        <f>HYPERLINK("http://www.ultreia.es")</f>
        <v>http://www.ultreia.es</v>
      </c>
      <c r="AR35" t="s">
        <v>4102</v>
      </c>
      <c r="AS35" s="79" t="str">
        <f>HYPERLINK("https://t.co/1tNPk2VbIe")</f>
        <v>https://t.co/1tNPk2VbIe</v>
      </c>
      <c r="AT35" s="79" t="str">
        <f>HYPERLINK("https://astrodon.social/@ediazcomellas")</f>
        <v>https://astrodon.social/@ediazcomellas</v>
      </c>
      <c r="AU35" t="s">
        <v>4282</v>
      </c>
      <c r="AW35" s="79" t="str">
        <f>HYPERLINK("https://t.co/5vpnPeG2U1")</f>
        <v>https://t.co/5vpnPeG2U1</v>
      </c>
      <c r="AX35" t="b">
        <v>0</v>
      </c>
      <c r="BA35" t="b">
        <v>1</v>
      </c>
      <c r="BB35" t="b">
        <v>0</v>
      </c>
      <c r="BC35" t="b">
        <v>1</v>
      </c>
      <c r="BD35" t="b">
        <v>0</v>
      </c>
      <c r="BE35" t="b">
        <v>1</v>
      </c>
      <c r="BF35" t="b">
        <v>0</v>
      </c>
      <c r="BG35" t="b">
        <v>0</v>
      </c>
      <c r="BJ35" t="s">
        <v>4320</v>
      </c>
      <c r="BK35" t="b">
        <v>0</v>
      </c>
      <c r="BM35" t="s">
        <v>66</v>
      </c>
      <c r="BN35" t="s">
        <v>4322</v>
      </c>
      <c r="BO35" s="79" t="str">
        <f>HYPERLINK("https://twitter.com/ediazcomellas")</f>
        <v>https://twitter.com/ediazcomellas</v>
      </c>
      <c r="BP35" s="112" t="str">
        <f>REPLACE(INDEX(GroupVertices[Group], MATCH("~"&amp;Vertices[[#This Row],[Vertex]],GroupVertices[Vertex],0)),1,1,"")</f>
        <v>24</v>
      </c>
      <c r="BQ35" s="2"/>
    </row>
    <row r="36" spans="1:69" x14ac:dyDescent="0.25">
      <c r="A36" s="61" t="s">
        <v>593</v>
      </c>
      <c r="B36" s="62"/>
      <c r="C36" s="62"/>
      <c r="D36" s="63">
        <v>1.5755555555555556</v>
      </c>
      <c r="E36" s="65"/>
      <c r="F36" s="97" t="str">
        <f>HYPERLINK("https://pbs.twimg.com/profile_images/1082787530091548672/tQxy1Vvx_normal.jpg")</f>
        <v>https://pbs.twimg.com/profile_images/1082787530091548672/tQxy1Vvx_normal.jpg</v>
      </c>
      <c r="G36" s="62"/>
      <c r="H36" s="66"/>
      <c r="I36" s="67"/>
      <c r="J36" s="67"/>
      <c r="K36" s="66" t="s">
        <v>4514</v>
      </c>
      <c r="L36" s="70"/>
      <c r="M36" s="71">
        <v>5191.103515625</v>
      </c>
      <c r="N36" s="71">
        <v>4083.02099609375</v>
      </c>
      <c r="O36" s="72"/>
      <c r="P36" s="73"/>
      <c r="Q36" s="73"/>
      <c r="R36" s="81"/>
      <c r="S36" s="45">
        <v>3</v>
      </c>
      <c r="T36" s="45">
        <v>0</v>
      </c>
      <c r="U36" s="46">
        <v>6</v>
      </c>
      <c r="V36" s="46">
        <v>6.2890000000000003E-3</v>
      </c>
      <c r="W36" s="47"/>
      <c r="X36" s="47"/>
      <c r="Y36" s="47"/>
      <c r="Z36" s="46"/>
      <c r="AA36" s="68">
        <v>36</v>
      </c>
      <c r="AB36"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6" s="69"/>
      <c r="AD36" t="s">
        <v>2874</v>
      </c>
      <c r="AE36" s="77" t="s">
        <v>2426</v>
      </c>
      <c r="AF36">
        <v>3934726</v>
      </c>
      <c r="AG36">
        <v>143</v>
      </c>
      <c r="AH36">
        <v>591948</v>
      </c>
      <c r="AI36">
        <v>12460</v>
      </c>
      <c r="AJ36">
        <v>475</v>
      </c>
      <c r="AK36">
        <v>124227</v>
      </c>
      <c r="AL36" t="b">
        <v>0</v>
      </c>
      <c r="AM36" s="76">
        <v>39902.813067129631</v>
      </c>
      <c r="AN36" t="s">
        <v>3495</v>
      </c>
      <c r="AO36" t="s">
        <v>3801</v>
      </c>
      <c r="AP36" s="79" t="str">
        <f>HYPERLINK("https://t.co/6nnpG9bgeB")</f>
        <v>https://t.co/6nnpG9bgeB</v>
      </c>
      <c r="AQ36" s="79" t="str">
        <f>HYPERLINK("http://www.reforma.com")</f>
        <v>http://www.reforma.com</v>
      </c>
      <c r="AR36" t="s">
        <v>4128</v>
      </c>
      <c r="AV36">
        <v>1.9298860284388401E+18</v>
      </c>
      <c r="AW36" s="79" t="str">
        <f>HYPERLINK("https://t.co/6nnpG9bgeB")</f>
        <v>https://t.co/6nnpG9bgeB</v>
      </c>
      <c r="AX36" t="b">
        <v>1</v>
      </c>
      <c r="AZ36" t="b">
        <v>0</v>
      </c>
      <c r="BA36" t="b">
        <v>1</v>
      </c>
      <c r="BB36" t="b">
        <v>1</v>
      </c>
      <c r="BC36" t="b">
        <v>0</v>
      </c>
      <c r="BD36" t="b">
        <v>0</v>
      </c>
      <c r="BE36" t="b">
        <v>1</v>
      </c>
      <c r="BF36" t="b">
        <v>0</v>
      </c>
      <c r="BG36" t="b">
        <v>0</v>
      </c>
      <c r="BH36" s="79" t="str">
        <f>HYPERLINK("https://pbs.twimg.com/profile_banners/27708897/1498611464")</f>
        <v>https://pbs.twimg.com/profile_banners/27708897/1498611464</v>
      </c>
      <c r="BJ36" t="s">
        <v>4320</v>
      </c>
      <c r="BK36" t="b">
        <v>0</v>
      </c>
      <c r="BM36" t="s">
        <v>65</v>
      </c>
      <c r="BN36" t="s">
        <v>4322</v>
      </c>
      <c r="BO36" s="79" t="str">
        <f>HYPERLINK("https://twitter.com/reforma")</f>
        <v>https://twitter.com/reforma</v>
      </c>
      <c r="BP36" s="112" t="str">
        <f>REPLACE(INDEX(GroupVertices[Group], MATCH("~"&amp;Vertices[[#This Row],[Vertex]],GroupVertices[Vertex],0)),1,1,"")</f>
        <v>18</v>
      </c>
      <c r="BQ36" s="2"/>
    </row>
    <row r="37" spans="1:69" x14ac:dyDescent="0.25">
      <c r="A37" s="61" t="s">
        <v>376</v>
      </c>
      <c r="B37" s="62"/>
      <c r="C37" s="62"/>
      <c r="D37" s="63">
        <v>1.5755555555555556</v>
      </c>
      <c r="E37" s="65"/>
      <c r="F37" s="97" t="str">
        <f>HYPERLINK("https://pbs.twimg.com/profile_images/1905814570419015680/Xqb5xQ2c_normal.jpg")</f>
        <v>https://pbs.twimg.com/profile_images/1905814570419015680/Xqb5xQ2c_normal.jpg</v>
      </c>
      <c r="G37" s="62"/>
      <c r="H37" s="66"/>
      <c r="I37" s="67"/>
      <c r="J37" s="67"/>
      <c r="K37" s="66" t="s">
        <v>4610</v>
      </c>
      <c r="L37" s="70"/>
      <c r="M37" s="71">
        <v>3084.0380859375</v>
      </c>
      <c r="N37" s="71">
        <v>8388.9169921875</v>
      </c>
      <c r="O37" s="72"/>
      <c r="P37" s="73"/>
      <c r="Q37" s="73"/>
      <c r="R37" s="81"/>
      <c r="S37" s="45">
        <v>0</v>
      </c>
      <c r="T37" s="45">
        <v>3</v>
      </c>
      <c r="U37" s="46">
        <v>6</v>
      </c>
      <c r="V37" s="46">
        <v>6.2890000000000003E-3</v>
      </c>
      <c r="W37" s="47"/>
      <c r="X37" s="47"/>
      <c r="Y37" s="47"/>
      <c r="Z37" s="46"/>
      <c r="AA37" s="68">
        <v>37</v>
      </c>
      <c r="AB37"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7" s="69"/>
      <c r="AD37" t="s">
        <v>2969</v>
      </c>
      <c r="AE37" s="77" t="s">
        <v>3296</v>
      </c>
      <c r="AF37">
        <v>784</v>
      </c>
      <c r="AG37">
        <v>805</v>
      </c>
      <c r="AH37">
        <v>84036</v>
      </c>
      <c r="AI37">
        <v>12</v>
      </c>
      <c r="AJ37">
        <v>96086</v>
      </c>
      <c r="AK37">
        <v>4245</v>
      </c>
      <c r="AL37" t="b">
        <v>0</v>
      </c>
      <c r="AM37" s="76">
        <v>40665.866122685184</v>
      </c>
      <c r="AN37" t="s">
        <v>3543</v>
      </c>
      <c r="AO37" t="s">
        <v>3888</v>
      </c>
      <c r="AX37" t="b">
        <v>0</v>
      </c>
      <c r="BA37" t="b">
        <v>0</v>
      </c>
      <c r="BB37" t="b">
        <v>0</v>
      </c>
      <c r="BC37" t="b">
        <v>0</v>
      </c>
      <c r="BD37" t="b">
        <v>0</v>
      </c>
      <c r="BE37" t="b">
        <v>1</v>
      </c>
      <c r="BF37" t="b">
        <v>0</v>
      </c>
      <c r="BG37" t="b">
        <v>0</v>
      </c>
      <c r="BH37" s="79" t="str">
        <f>HYPERLINK("https://pbs.twimg.com/profile_banners/291924619/1743216666")</f>
        <v>https://pbs.twimg.com/profile_banners/291924619/1743216666</v>
      </c>
      <c r="BJ37" t="s">
        <v>4320</v>
      </c>
      <c r="BK37" t="b">
        <v>0</v>
      </c>
      <c r="BM37" t="s">
        <v>66</v>
      </c>
      <c r="BN37" t="s">
        <v>4322</v>
      </c>
      <c r="BO37" s="79" t="str">
        <f>HYPERLINK("https://twitter.com/checharquintero")</f>
        <v>https://twitter.com/checharquintero</v>
      </c>
      <c r="BP37" s="112" t="str">
        <f>REPLACE(INDEX(GroupVertices[Group], MATCH("~"&amp;Vertices[[#This Row],[Vertex]],GroupVertices[Vertex],0)),1,1,"")</f>
        <v>28</v>
      </c>
      <c r="BQ37" s="2"/>
    </row>
    <row r="38" spans="1:69" x14ac:dyDescent="0.25">
      <c r="A38" s="61" t="s">
        <v>385</v>
      </c>
      <c r="B38" s="62"/>
      <c r="C38" s="62"/>
      <c r="D38" s="63">
        <v>1.5755555555555556</v>
      </c>
      <c r="E38" s="65"/>
      <c r="F38" s="97" t="str">
        <f>HYPERLINK("https://pbs.twimg.com/profile_images/1881285387382853632/wyInioZ5_normal.jpg")</f>
        <v>https://pbs.twimg.com/profile_images/1881285387382853632/wyInioZ5_normal.jpg</v>
      </c>
      <c r="G38" s="62"/>
      <c r="H38" s="66"/>
      <c r="I38" s="67"/>
      <c r="J38" s="67"/>
      <c r="K38" s="66" t="s">
        <v>4626</v>
      </c>
      <c r="L38" s="70"/>
      <c r="M38" s="71">
        <v>3888.26611328125</v>
      </c>
      <c r="N38" s="71">
        <v>5708.154296875</v>
      </c>
      <c r="O38" s="72"/>
      <c r="P38" s="73"/>
      <c r="Q38" s="73"/>
      <c r="R38" s="81"/>
      <c r="S38" s="45">
        <v>0</v>
      </c>
      <c r="T38" s="45">
        <v>3</v>
      </c>
      <c r="U38" s="46">
        <v>6</v>
      </c>
      <c r="V38" s="46">
        <v>6.2890000000000003E-3</v>
      </c>
      <c r="W38" s="47"/>
      <c r="X38" s="47"/>
      <c r="Y38" s="47"/>
      <c r="Z38" s="46"/>
      <c r="AA38" s="68">
        <v>38</v>
      </c>
      <c r="AB38"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8" s="69"/>
      <c r="AD38" t="s">
        <v>2985</v>
      </c>
      <c r="AE38" s="77" t="s">
        <v>3306</v>
      </c>
      <c r="AF38">
        <v>11975</v>
      </c>
      <c r="AG38">
        <v>13118</v>
      </c>
      <c r="AH38">
        <v>19175</v>
      </c>
      <c r="AI38">
        <v>25</v>
      </c>
      <c r="AJ38">
        <v>56997</v>
      </c>
      <c r="AK38">
        <v>1120</v>
      </c>
      <c r="AL38" t="b">
        <v>0</v>
      </c>
      <c r="AM38" s="76">
        <v>40856.042858796296</v>
      </c>
      <c r="AN38" t="s">
        <v>3415</v>
      </c>
      <c r="AO38" t="s">
        <v>3902</v>
      </c>
      <c r="AV38">
        <v>1.8519982349205601E+18</v>
      </c>
      <c r="AX38" t="b">
        <v>0</v>
      </c>
      <c r="BA38" t="b">
        <v>1</v>
      </c>
      <c r="BB38" t="b">
        <v>0</v>
      </c>
      <c r="BC38" t="b">
        <v>0</v>
      </c>
      <c r="BD38" t="b">
        <v>0</v>
      </c>
      <c r="BE38" t="b">
        <v>1</v>
      </c>
      <c r="BF38" t="b">
        <v>0</v>
      </c>
      <c r="BG38" t="b">
        <v>0</v>
      </c>
      <c r="BJ38" t="s">
        <v>4320</v>
      </c>
      <c r="BK38" t="b">
        <v>0</v>
      </c>
      <c r="BM38" t="s">
        <v>66</v>
      </c>
      <c r="BN38" t="s">
        <v>4322</v>
      </c>
      <c r="BO38" s="79" t="str">
        <f>HYPERLINK("https://twitter.com/ramirodaniel_")</f>
        <v>https://twitter.com/ramirodaniel_</v>
      </c>
      <c r="BP38" s="112" t="str">
        <f>REPLACE(INDEX(GroupVertices[Group], MATCH("~"&amp;Vertices[[#This Row],[Vertex]],GroupVertices[Vertex],0)),1,1,"")</f>
        <v>21</v>
      </c>
      <c r="BQ38" s="2"/>
    </row>
    <row r="39" spans="1:69" x14ac:dyDescent="0.25">
      <c r="A39" s="61" t="s">
        <v>387</v>
      </c>
      <c r="B39" s="62"/>
      <c r="C39" s="62"/>
      <c r="D39" s="63">
        <v>1.5755555555555556</v>
      </c>
      <c r="E39" s="65"/>
      <c r="F39" s="97" t="str">
        <f>HYPERLINK("https://pbs.twimg.com/profile_images/1731081920212037632/Ap3FTY_q_normal.jpg")</f>
        <v>https://pbs.twimg.com/profile_images/1731081920212037632/Ap3FTY_q_normal.jpg</v>
      </c>
      <c r="G39" s="62"/>
      <c r="H39" s="66"/>
      <c r="I39" s="67"/>
      <c r="J39" s="67"/>
      <c r="K39" s="66" t="s">
        <v>4631</v>
      </c>
      <c r="L39" s="70"/>
      <c r="M39" s="71">
        <v>5427.63037109375</v>
      </c>
      <c r="N39" s="71">
        <v>3290.78955078125</v>
      </c>
      <c r="O39" s="72"/>
      <c r="P39" s="73"/>
      <c r="Q39" s="73"/>
      <c r="R39" s="81"/>
      <c r="S39" s="45">
        <v>0</v>
      </c>
      <c r="T39" s="45">
        <v>3</v>
      </c>
      <c r="U39" s="46">
        <v>6</v>
      </c>
      <c r="V39" s="46">
        <v>6.2890000000000003E-3</v>
      </c>
      <c r="W39" s="47"/>
      <c r="X39" s="47"/>
      <c r="Y39" s="47"/>
      <c r="Z39" s="46"/>
      <c r="AA39" s="68">
        <v>39</v>
      </c>
      <c r="AB39"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9" s="69"/>
      <c r="AD39" t="s">
        <v>2990</v>
      </c>
      <c r="AE39" s="77" t="s">
        <v>2602</v>
      </c>
      <c r="AF39">
        <v>2248</v>
      </c>
      <c r="AG39">
        <v>3691</v>
      </c>
      <c r="AH39">
        <v>45574</v>
      </c>
      <c r="AI39">
        <v>5</v>
      </c>
      <c r="AJ39">
        <v>48841</v>
      </c>
      <c r="AK39">
        <v>582</v>
      </c>
      <c r="AL39" t="b">
        <v>0</v>
      </c>
      <c r="AM39" s="76">
        <v>44420.97724537037</v>
      </c>
      <c r="AO39" t="s">
        <v>3906</v>
      </c>
      <c r="AX39" t="b">
        <v>0</v>
      </c>
      <c r="BA39" t="b">
        <v>0</v>
      </c>
      <c r="BB39" t="b">
        <v>0</v>
      </c>
      <c r="BC39" t="b">
        <v>1</v>
      </c>
      <c r="BD39" t="b">
        <v>0</v>
      </c>
      <c r="BE39" t="b">
        <v>1</v>
      </c>
      <c r="BF39" t="b">
        <v>0</v>
      </c>
      <c r="BG39" t="b">
        <v>0</v>
      </c>
      <c r="BH39" s="79" t="str">
        <f>HYPERLINK("https://pbs.twimg.com/profile_banners/1425961839138156549/1643570843")</f>
        <v>https://pbs.twimg.com/profile_banners/1425961839138156549/1643570843</v>
      </c>
      <c r="BJ39" t="s">
        <v>4320</v>
      </c>
      <c r="BK39" t="b">
        <v>0</v>
      </c>
      <c r="BM39" t="s">
        <v>66</v>
      </c>
      <c r="BN39" t="s">
        <v>4322</v>
      </c>
      <c r="BO39" s="79" t="str">
        <f>HYPERLINK("https://twitter.com/meta_morfica")</f>
        <v>https://twitter.com/meta_morfica</v>
      </c>
      <c r="BP39" s="112" t="str">
        <f>REPLACE(INDEX(GroupVertices[Group], MATCH("~"&amp;Vertices[[#This Row],[Vertex]],GroupVertices[Vertex],0)),1,1,"")</f>
        <v>19</v>
      </c>
      <c r="BQ39" s="2"/>
    </row>
    <row r="40" spans="1:69" x14ac:dyDescent="0.25">
      <c r="A40" s="61" t="s">
        <v>408</v>
      </c>
      <c r="B40" s="62"/>
      <c r="C40" s="62"/>
      <c r="D40" s="63">
        <v>1.5755555555555556</v>
      </c>
      <c r="E40" s="65"/>
      <c r="F40" s="97" t="str">
        <f>HYPERLINK("https://pbs.twimg.com/profile_images/1224015179878404097/HzO8t6K4_normal.jpg")</f>
        <v>https://pbs.twimg.com/profile_images/1224015179878404097/HzO8t6K4_normal.jpg</v>
      </c>
      <c r="G40" s="62"/>
      <c r="H40" s="66"/>
      <c r="I40" s="67"/>
      <c r="J40" s="67"/>
      <c r="K40" s="66" t="s">
        <v>4678</v>
      </c>
      <c r="L40" s="70"/>
      <c r="M40" s="71">
        <v>3184.62939453125</v>
      </c>
      <c r="N40" s="71">
        <v>562.791748046875</v>
      </c>
      <c r="O40" s="72"/>
      <c r="P40" s="73"/>
      <c r="Q40" s="73"/>
      <c r="R40" s="81"/>
      <c r="S40" s="45">
        <v>0</v>
      </c>
      <c r="T40" s="45">
        <v>3</v>
      </c>
      <c r="U40" s="46">
        <v>6</v>
      </c>
      <c r="V40" s="46">
        <v>6.2890000000000003E-3</v>
      </c>
      <c r="W40" s="47"/>
      <c r="X40" s="47"/>
      <c r="Y40" s="47"/>
      <c r="Z40" s="46"/>
      <c r="AA40" s="68">
        <v>40</v>
      </c>
      <c r="AB40"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0" s="69"/>
      <c r="AD40" t="s">
        <v>3036</v>
      </c>
      <c r="AE40" s="77" t="s">
        <v>3337</v>
      </c>
      <c r="AF40">
        <v>77</v>
      </c>
      <c r="AG40">
        <v>309</v>
      </c>
      <c r="AH40">
        <v>2327</v>
      </c>
      <c r="AI40">
        <v>1</v>
      </c>
      <c r="AJ40">
        <v>41224</v>
      </c>
      <c r="AK40">
        <v>13</v>
      </c>
      <c r="AL40" t="b">
        <v>0</v>
      </c>
      <c r="AM40" s="76">
        <v>40964.55127314815</v>
      </c>
      <c r="AX40" t="b">
        <v>0</v>
      </c>
      <c r="BA40" t="b">
        <v>0</v>
      </c>
      <c r="BB40" t="b">
        <v>1</v>
      </c>
      <c r="BC40" t="b">
        <v>1</v>
      </c>
      <c r="BD40" t="b">
        <v>0</v>
      </c>
      <c r="BE40" t="b">
        <v>1</v>
      </c>
      <c r="BF40" t="b">
        <v>0</v>
      </c>
      <c r="BG40" t="b">
        <v>0</v>
      </c>
      <c r="BJ40" t="s">
        <v>4320</v>
      </c>
      <c r="BK40" t="b">
        <v>0</v>
      </c>
      <c r="BM40" t="s">
        <v>66</v>
      </c>
      <c r="BN40" t="s">
        <v>4322</v>
      </c>
      <c r="BO40" s="79" t="str">
        <f>HYPERLINK("https://twitter.com/misfon")</f>
        <v>https://twitter.com/misfon</v>
      </c>
      <c r="BP40" s="112" t="str">
        <f>REPLACE(INDEX(GroupVertices[Group], MATCH("~"&amp;Vertices[[#This Row],[Vertex]],GroupVertices[Vertex],0)),1,1,"")</f>
        <v>25</v>
      </c>
      <c r="BQ40" s="2"/>
    </row>
    <row r="41" spans="1:69" x14ac:dyDescent="0.25">
      <c r="A41" s="61" t="s">
        <v>496</v>
      </c>
      <c r="B41" s="62"/>
      <c r="C41" s="62"/>
      <c r="D41" s="63">
        <v>1.5755555555555556</v>
      </c>
      <c r="E41" s="65"/>
      <c r="F41" s="97" t="str">
        <f>HYPERLINK("https://pbs.twimg.com/profile_images/1904996390553403393/oVNqQFL__normal.jpg")</f>
        <v>https://pbs.twimg.com/profile_images/1904996390553403393/oVNqQFL__normal.jpg</v>
      </c>
      <c r="G41" s="62"/>
      <c r="H41" s="66"/>
      <c r="I41" s="67"/>
      <c r="J41" s="67"/>
      <c r="K41" s="66" t="s">
        <v>4786</v>
      </c>
      <c r="L41" s="70"/>
      <c r="M41" s="71">
        <v>3791.2578125</v>
      </c>
      <c r="N41" s="71">
        <v>3931.08203125</v>
      </c>
      <c r="O41" s="72"/>
      <c r="P41" s="73"/>
      <c r="Q41" s="73"/>
      <c r="R41" s="81"/>
      <c r="S41" s="45">
        <v>1</v>
      </c>
      <c r="T41" s="45">
        <v>4</v>
      </c>
      <c r="U41" s="46">
        <v>6</v>
      </c>
      <c r="V41" s="46">
        <v>6.2890000000000003E-3</v>
      </c>
      <c r="W41" s="47"/>
      <c r="X41" s="47"/>
      <c r="Y41" s="47"/>
      <c r="Z41" s="46"/>
      <c r="AA41" s="68">
        <v>41</v>
      </c>
      <c r="AB41"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1" s="69"/>
      <c r="AD41" t="s">
        <v>3137</v>
      </c>
      <c r="AE41" s="77" t="s">
        <v>2491</v>
      </c>
      <c r="AF41">
        <v>2293</v>
      </c>
      <c r="AG41">
        <v>1031</v>
      </c>
      <c r="AH41">
        <v>228846</v>
      </c>
      <c r="AI41">
        <v>42</v>
      </c>
      <c r="AJ41">
        <v>6189</v>
      </c>
      <c r="AK41">
        <v>4354</v>
      </c>
      <c r="AL41" t="b">
        <v>0</v>
      </c>
      <c r="AM41" s="76">
        <v>40655.645567129628</v>
      </c>
      <c r="AN41" t="s">
        <v>3626</v>
      </c>
      <c r="AO41" t="s">
        <v>4042</v>
      </c>
      <c r="AP41" s="79" t="str">
        <f>HYPERLINK("https://t.co/llYF8psvKi")</f>
        <v>https://t.co/llYF8psvKi</v>
      </c>
      <c r="AQ41" s="79" t="str">
        <f>HYPERLINK("https://gab.com/Florecica")</f>
        <v>https://gab.com/Florecica</v>
      </c>
      <c r="AR41" t="s">
        <v>4230</v>
      </c>
      <c r="AV41">
        <v>9.6716893186892096E+17</v>
      </c>
      <c r="AW41" s="79" t="str">
        <f>HYPERLINK("https://t.co/llYF8psvKi")</f>
        <v>https://t.co/llYF8psvKi</v>
      </c>
      <c r="AX41" t="b">
        <v>0</v>
      </c>
      <c r="BA41" t="b">
        <v>0</v>
      </c>
      <c r="BB41" t="b">
        <v>0</v>
      </c>
      <c r="BC41" t="b">
        <v>0</v>
      </c>
      <c r="BD41" t="b">
        <v>0</v>
      </c>
      <c r="BE41" t="b">
        <v>1</v>
      </c>
      <c r="BF41" t="b">
        <v>0</v>
      </c>
      <c r="BG41" t="b">
        <v>0</v>
      </c>
      <c r="BH41" s="79" t="str">
        <f>HYPERLINK("https://pbs.twimg.com/profile_banners/286215534/1742934730")</f>
        <v>https://pbs.twimg.com/profile_banners/286215534/1742934730</v>
      </c>
      <c r="BJ41" t="s">
        <v>4320</v>
      </c>
      <c r="BK41" t="b">
        <v>0</v>
      </c>
      <c r="BM41" t="s">
        <v>66</v>
      </c>
      <c r="BN41" t="s">
        <v>4322</v>
      </c>
      <c r="BO41" s="79" t="str">
        <f>HYPERLINK("https://twitter.com/florecicadabril")</f>
        <v>https://twitter.com/florecicadabril</v>
      </c>
      <c r="BP41" s="112" t="str">
        <f>REPLACE(INDEX(GroupVertices[Group], MATCH("~"&amp;Vertices[[#This Row],[Vertex]],GroupVertices[Vertex],0)),1,1,"")</f>
        <v>20</v>
      </c>
      <c r="BQ41" s="2"/>
    </row>
    <row r="42" spans="1:69" x14ac:dyDescent="0.25">
      <c r="A42" s="61" t="s">
        <v>273</v>
      </c>
      <c r="B42" s="62"/>
      <c r="C42" s="62"/>
      <c r="D42" s="63">
        <v>1.5503703703703704</v>
      </c>
      <c r="E42" s="65"/>
      <c r="F42" s="97" t="str">
        <f>HYPERLINK("https://pbs.twimg.com/profile_images/1786077831551688704/okXZiD3i_normal.jpg")</f>
        <v>https://pbs.twimg.com/profile_images/1786077831551688704/okXZiD3i_normal.jpg</v>
      </c>
      <c r="G42" s="62"/>
      <c r="H42" s="66"/>
      <c r="I42" s="67"/>
      <c r="J42" s="67"/>
      <c r="K42" s="66" t="s">
        <v>4426</v>
      </c>
      <c r="L42" s="70"/>
      <c r="M42" s="71">
        <v>5849.17041015625</v>
      </c>
      <c r="N42" s="71">
        <v>5476.2177734375</v>
      </c>
      <c r="O42" s="72"/>
      <c r="P42" s="73"/>
      <c r="Q42" s="73"/>
      <c r="R42" s="81"/>
      <c r="S42" s="45">
        <v>0</v>
      </c>
      <c r="T42" s="45">
        <v>2</v>
      </c>
      <c r="U42" s="46">
        <v>4</v>
      </c>
      <c r="V42" s="46">
        <v>4.7169999999999998E-3</v>
      </c>
      <c r="W42" s="47"/>
      <c r="X42" s="47"/>
      <c r="Y42" s="47"/>
      <c r="Z42" s="46"/>
      <c r="AA42" s="68">
        <v>42</v>
      </c>
      <c r="AB42"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2" s="69"/>
      <c r="AD42" t="s">
        <v>2787</v>
      </c>
      <c r="AE42" s="77" t="s">
        <v>2557</v>
      </c>
      <c r="AF42">
        <v>10070</v>
      </c>
      <c r="AG42">
        <v>614</v>
      </c>
      <c r="AH42">
        <v>17090</v>
      </c>
      <c r="AI42">
        <v>40</v>
      </c>
      <c r="AJ42">
        <v>14820</v>
      </c>
      <c r="AK42">
        <v>7109</v>
      </c>
      <c r="AL42" t="b">
        <v>0</v>
      </c>
      <c r="AM42" s="76">
        <v>43224.553877314815</v>
      </c>
      <c r="AO42" t="s">
        <v>3721</v>
      </c>
      <c r="AP42" s="79" t="str">
        <f>HYPERLINK("https://t.co/D3yJyIVBKF")</f>
        <v>https://t.co/D3yJyIVBKF</v>
      </c>
      <c r="AQ42" s="79" t="str">
        <f>HYPERLINK("http://www.educacionpublica.cl")</f>
        <v>http://www.educacionpublica.cl</v>
      </c>
      <c r="AR42" t="s">
        <v>4093</v>
      </c>
      <c r="AW42" s="79" t="str">
        <f>HYPERLINK("https://t.co/D3yJyIVBKF")</f>
        <v>https://t.co/D3yJyIVBKF</v>
      </c>
      <c r="AX42" t="b">
        <v>0</v>
      </c>
      <c r="BA42" t="b">
        <v>1</v>
      </c>
      <c r="BB42" t="b">
        <v>1</v>
      </c>
      <c r="BC42" t="b">
        <v>1</v>
      </c>
      <c r="BD42" t="b">
        <v>0</v>
      </c>
      <c r="BE42" t="b">
        <v>1</v>
      </c>
      <c r="BF42" t="b">
        <v>0</v>
      </c>
      <c r="BG42" t="b">
        <v>0</v>
      </c>
      <c r="BH42" s="79" t="str">
        <f>HYPERLINK("https://pbs.twimg.com/profile_banners/992392796500889600/1745854811")</f>
        <v>https://pbs.twimg.com/profile_banners/992392796500889600/1745854811</v>
      </c>
      <c r="BJ42" t="s">
        <v>4320</v>
      </c>
      <c r="BK42" t="b">
        <v>0</v>
      </c>
      <c r="BM42" t="s">
        <v>66</v>
      </c>
      <c r="BN42" t="s">
        <v>4322</v>
      </c>
      <c r="BO42" s="79" t="str">
        <f>HYPERLINK("https://twitter.com/edupublicacl")</f>
        <v>https://twitter.com/edupublicacl</v>
      </c>
      <c r="BP42" s="112" t="str">
        <f>REPLACE(INDEX(GroupVertices[Group], MATCH("~"&amp;Vertices[[#This Row],[Vertex]],GroupVertices[Vertex],0)),1,1,"")</f>
        <v>29</v>
      </c>
      <c r="BQ42" s="2"/>
    </row>
    <row r="43" spans="1:69" x14ac:dyDescent="0.25">
      <c r="A43" s="61" t="s">
        <v>554</v>
      </c>
      <c r="B43" s="62"/>
      <c r="C43" s="62"/>
      <c r="D43" s="63">
        <v>1.5503703703703704</v>
      </c>
      <c r="E43" s="65"/>
      <c r="F43" s="97" t="str">
        <f>HYPERLINK("https://pbs.twimg.com/profile_images/1769854532433960960/kcwEYXW1_normal.jpg")</f>
        <v>https://pbs.twimg.com/profile_images/1769854532433960960/kcwEYXW1_normal.jpg</v>
      </c>
      <c r="G43" s="62"/>
      <c r="H43" s="66"/>
      <c r="I43" s="67"/>
      <c r="J43" s="67"/>
      <c r="K43" s="66" t="s">
        <v>4428</v>
      </c>
      <c r="L43" s="70"/>
      <c r="M43" s="71">
        <v>5684.1416015625</v>
      </c>
      <c r="N43" s="71">
        <v>2388.289306640625</v>
      </c>
      <c r="O43" s="72"/>
      <c r="P43" s="73"/>
      <c r="Q43" s="73"/>
      <c r="R43" s="81"/>
      <c r="S43" s="45">
        <v>2</v>
      </c>
      <c r="T43" s="45">
        <v>0</v>
      </c>
      <c r="U43" s="46">
        <v>4</v>
      </c>
      <c r="V43" s="46">
        <v>4.7169999999999998E-3</v>
      </c>
      <c r="W43" s="47"/>
      <c r="X43" s="47"/>
      <c r="Y43" s="47"/>
      <c r="Z43" s="46"/>
      <c r="AA43" s="68">
        <v>43</v>
      </c>
      <c r="AB43"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3" s="69"/>
      <c r="AD43" t="s">
        <v>2789</v>
      </c>
      <c r="AE43" s="77" t="s">
        <v>2447</v>
      </c>
      <c r="AF43">
        <v>352483</v>
      </c>
      <c r="AG43">
        <v>329</v>
      </c>
      <c r="AH43">
        <v>83731</v>
      </c>
      <c r="AI43">
        <v>1118</v>
      </c>
      <c r="AJ43">
        <v>1158</v>
      </c>
      <c r="AK43">
        <v>16205</v>
      </c>
      <c r="AL43" t="b">
        <v>0</v>
      </c>
      <c r="AM43" s="76">
        <v>40022.589953703704</v>
      </c>
      <c r="AN43" t="s">
        <v>3412</v>
      </c>
      <c r="AO43" t="s">
        <v>3723</v>
      </c>
      <c r="AP43" s="79" t="str">
        <f>HYPERLINK("https://t.co/DobR6XNy2f")</f>
        <v>https://t.co/DobR6XNy2f</v>
      </c>
      <c r="AQ43" s="79" t="str">
        <f>HYPERLINK("http://www.camara.cl")</f>
        <v>http://www.camara.cl</v>
      </c>
      <c r="AR43" t="s">
        <v>4094</v>
      </c>
      <c r="AV43">
        <v>1.92990233337231E+18</v>
      </c>
      <c r="AW43" s="79" t="str">
        <f>HYPERLINK("https://t.co/DobR6XNy2f")</f>
        <v>https://t.co/DobR6XNy2f</v>
      </c>
      <c r="AX43" t="b">
        <v>1</v>
      </c>
      <c r="AZ43" t="b">
        <v>1</v>
      </c>
      <c r="BA43" t="b">
        <v>0</v>
      </c>
      <c r="BB43" t="b">
        <v>1</v>
      </c>
      <c r="BC43" t="b">
        <v>0</v>
      </c>
      <c r="BD43" t="b">
        <v>0</v>
      </c>
      <c r="BE43" t="b">
        <v>1</v>
      </c>
      <c r="BF43" t="b">
        <v>0</v>
      </c>
      <c r="BG43" t="b">
        <v>0</v>
      </c>
      <c r="BH43" s="79" t="str">
        <f>HYPERLINK("https://pbs.twimg.com/profile_banners/60912608/1653915046")</f>
        <v>https://pbs.twimg.com/profile_banners/60912608/1653915046</v>
      </c>
      <c r="BJ43" t="s">
        <v>4320</v>
      </c>
      <c r="BK43" t="b">
        <v>1</v>
      </c>
      <c r="BM43" t="s">
        <v>65</v>
      </c>
      <c r="BN43" t="s">
        <v>4322</v>
      </c>
      <c r="BO43" s="79" t="str">
        <f>HYPERLINK("https://twitter.com/camara_cl")</f>
        <v>https://twitter.com/camara_cl</v>
      </c>
      <c r="BP43" s="112" t="str">
        <f>REPLACE(INDEX(GroupVertices[Group], MATCH("~"&amp;Vertices[[#This Row],[Vertex]],GroupVertices[Vertex],0)),1,1,"")</f>
        <v>29</v>
      </c>
      <c r="BQ43" s="2"/>
    </row>
    <row r="44" spans="1:69" x14ac:dyDescent="0.25">
      <c r="A44" s="61" t="s">
        <v>397</v>
      </c>
      <c r="B44" s="62"/>
      <c r="C44" s="62"/>
      <c r="D44" s="63">
        <v>1.5503703703703704</v>
      </c>
      <c r="E44" s="65"/>
      <c r="F44" s="97" t="str">
        <f>HYPERLINK("https://pbs.twimg.com/profile_images/1477485788023508992/Kyc6AM8W_normal.jpg")</f>
        <v>https://pbs.twimg.com/profile_images/1477485788023508992/Kyc6AM8W_normal.jpg</v>
      </c>
      <c r="G44" s="62"/>
      <c r="H44" s="66"/>
      <c r="I44" s="67"/>
      <c r="J44" s="67"/>
      <c r="K44" s="66" t="s">
        <v>4649</v>
      </c>
      <c r="L44" s="70"/>
      <c r="M44" s="71">
        <v>2661.97802734375</v>
      </c>
      <c r="N44" s="71">
        <v>4229.9794921875</v>
      </c>
      <c r="O44" s="72"/>
      <c r="P44" s="73"/>
      <c r="Q44" s="73"/>
      <c r="R44" s="81"/>
      <c r="S44" s="45">
        <v>0</v>
      </c>
      <c r="T44" s="45">
        <v>2</v>
      </c>
      <c r="U44" s="46">
        <v>4</v>
      </c>
      <c r="V44" s="46">
        <v>4.7169999999999998E-3</v>
      </c>
      <c r="W44" s="47"/>
      <c r="X44" s="47"/>
      <c r="Y44" s="47"/>
      <c r="Z44" s="46"/>
      <c r="AA44" s="68">
        <v>44</v>
      </c>
      <c r="AB44"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4" s="69"/>
      <c r="AD44" t="s">
        <v>3007</v>
      </c>
      <c r="AE44" s="77" t="s">
        <v>3315</v>
      </c>
      <c r="AF44">
        <v>79</v>
      </c>
      <c r="AG44">
        <v>186</v>
      </c>
      <c r="AH44">
        <v>456</v>
      </c>
      <c r="AI44">
        <v>0</v>
      </c>
      <c r="AJ44">
        <v>2278</v>
      </c>
      <c r="AK44">
        <v>44</v>
      </c>
      <c r="AL44" t="b">
        <v>0</v>
      </c>
      <c r="AM44" s="76">
        <v>41437.007997685185</v>
      </c>
      <c r="AN44" t="s">
        <v>3562</v>
      </c>
      <c r="AO44" t="s">
        <v>3924</v>
      </c>
      <c r="AX44" t="b">
        <v>0</v>
      </c>
      <c r="BA44" t="b">
        <v>0</v>
      </c>
      <c r="BB44" t="b">
        <v>1</v>
      </c>
      <c r="BC44" t="b">
        <v>0</v>
      </c>
      <c r="BD44" t="b">
        <v>0</v>
      </c>
      <c r="BE44" t="b">
        <v>0</v>
      </c>
      <c r="BF44" t="b">
        <v>0</v>
      </c>
      <c r="BG44" t="b">
        <v>0</v>
      </c>
      <c r="BH44" s="79" t="str">
        <f>HYPERLINK("https://pbs.twimg.com/profile_banners/1507749709/1496639366")</f>
        <v>https://pbs.twimg.com/profile_banners/1507749709/1496639366</v>
      </c>
      <c r="BJ44" t="s">
        <v>4320</v>
      </c>
      <c r="BK44" t="b">
        <v>0</v>
      </c>
      <c r="BM44" t="s">
        <v>66</v>
      </c>
      <c r="BN44" t="s">
        <v>4322</v>
      </c>
      <c r="BO44" s="79" t="str">
        <f>HYPERLINK("https://twitter.com/bambison")</f>
        <v>https://twitter.com/bambison</v>
      </c>
      <c r="BP44" s="112" t="str">
        <f>REPLACE(INDEX(GroupVertices[Group], MATCH("~"&amp;Vertices[[#This Row],[Vertex]],GroupVertices[Vertex],0)),1,1,"")</f>
        <v>22</v>
      </c>
      <c r="BQ44" s="2"/>
    </row>
    <row r="45" spans="1:69" x14ac:dyDescent="0.25">
      <c r="A45" s="61" t="s">
        <v>486</v>
      </c>
      <c r="B45" s="62"/>
      <c r="C45" s="62"/>
      <c r="D45" s="63">
        <v>1.5503703703703704</v>
      </c>
      <c r="E45" s="65"/>
      <c r="F45" s="97" t="str">
        <f>HYPERLINK("https://pbs.twimg.com/profile_images/1521363358301233152/YcrFjQiB_normal.jpg")</f>
        <v>https://pbs.twimg.com/profile_images/1521363358301233152/YcrFjQiB_normal.jpg</v>
      </c>
      <c r="G45" s="62"/>
      <c r="H45" s="66"/>
      <c r="I45" s="67"/>
      <c r="J45" s="67"/>
      <c r="K45" s="66" t="s">
        <v>4651</v>
      </c>
      <c r="L45" s="70"/>
      <c r="M45" s="71">
        <v>5717.62353515625</v>
      </c>
      <c r="N45" s="71">
        <v>3785.286865234375</v>
      </c>
      <c r="O45" s="72"/>
      <c r="P45" s="73"/>
      <c r="Q45" s="73"/>
      <c r="R45" s="81"/>
      <c r="S45" s="45">
        <v>3</v>
      </c>
      <c r="T45" s="45">
        <v>1</v>
      </c>
      <c r="U45" s="46">
        <v>4</v>
      </c>
      <c r="V45" s="46">
        <v>4.7169999999999998E-3</v>
      </c>
      <c r="W45" s="47"/>
      <c r="X45" s="47"/>
      <c r="Y45" s="47"/>
      <c r="Z45" s="46"/>
      <c r="AA45" s="68">
        <v>45</v>
      </c>
      <c r="AB45"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5" s="69"/>
      <c r="AD45" t="s">
        <v>3009</v>
      </c>
      <c r="AE45" s="77" t="s">
        <v>2471</v>
      </c>
      <c r="AF45">
        <v>4266973</v>
      </c>
      <c r="AG45">
        <v>87725</v>
      </c>
      <c r="AH45">
        <v>794231</v>
      </c>
      <c r="AI45">
        <v>7575</v>
      </c>
      <c r="AJ45">
        <v>1024</v>
      </c>
      <c r="AK45">
        <v>454876</v>
      </c>
      <c r="AL45" t="b">
        <v>0</v>
      </c>
      <c r="AM45" s="76">
        <v>39889.870937500003</v>
      </c>
      <c r="AN45" t="s">
        <v>3410</v>
      </c>
      <c r="AO45" t="s">
        <v>3926</v>
      </c>
      <c r="AP45" s="79" t="str">
        <f>HYPERLINK("https://t.co/4saJ0daju3")</f>
        <v>https://t.co/4saJ0daju3</v>
      </c>
      <c r="AQ45" s="79" t="str">
        <f>HYPERLINK("https://www.T13.cl")</f>
        <v>https://www.T13.cl</v>
      </c>
      <c r="AR45" t="s">
        <v>4185</v>
      </c>
      <c r="AS45" s="79" t="str">
        <f>HYPERLINK("https://t.co/z7XB1v5Ecs")</f>
        <v>https://t.co/z7XB1v5Ecs</v>
      </c>
      <c r="AT45" s="79" t="str">
        <f>HYPERLINK("http://T13.cl")</f>
        <v>http://T13.cl</v>
      </c>
      <c r="AU45" t="s">
        <v>4185</v>
      </c>
      <c r="AW45" s="79" t="str">
        <f>HYPERLINK("https://t.co/4saJ0daju3")</f>
        <v>https://t.co/4saJ0daju3</v>
      </c>
      <c r="AX45" t="b">
        <v>1</v>
      </c>
      <c r="AZ45" t="b">
        <v>1</v>
      </c>
      <c r="BA45" t="b">
        <v>0</v>
      </c>
      <c r="BB45" t="b">
        <v>1</v>
      </c>
      <c r="BC45" t="b">
        <v>0</v>
      </c>
      <c r="BD45" t="b">
        <v>0</v>
      </c>
      <c r="BE45" t="b">
        <v>1</v>
      </c>
      <c r="BF45" t="b">
        <v>0</v>
      </c>
      <c r="BG45" t="b">
        <v>0</v>
      </c>
      <c r="BH45" s="79" t="str">
        <f>HYPERLINK("https://pbs.twimg.com/profile_banners/24952459/1651594480")</f>
        <v>https://pbs.twimg.com/profile_banners/24952459/1651594480</v>
      </c>
      <c r="BJ45" t="s">
        <v>4320</v>
      </c>
      <c r="BK45" t="b">
        <v>1</v>
      </c>
      <c r="BM45" t="s">
        <v>66</v>
      </c>
      <c r="BN45" t="s">
        <v>4322</v>
      </c>
      <c r="BO45" s="79" t="str">
        <f>HYPERLINK("https://twitter.com/t13")</f>
        <v>https://twitter.com/t13</v>
      </c>
      <c r="BP45" s="112" t="str">
        <f>REPLACE(INDEX(GroupVertices[Group], MATCH("~"&amp;Vertices[[#This Row],[Vertex]],GroupVertices[Vertex],0)),1,1,"")</f>
        <v>22</v>
      </c>
      <c r="BQ45" s="2"/>
    </row>
    <row r="46" spans="1:69" x14ac:dyDescent="0.25">
      <c r="A46" s="61" t="s">
        <v>233</v>
      </c>
      <c r="B46" s="62"/>
      <c r="C46" s="62"/>
      <c r="D46" s="63">
        <v>1.5251851851851852</v>
      </c>
      <c r="E46" s="65"/>
      <c r="F46" s="97" t="str">
        <f>HYPERLINK("https://pbs.twimg.com/profile_images/1339949660115525634/-U_4-GcL_normal.jpg")</f>
        <v>https://pbs.twimg.com/profile_images/1339949660115525634/-U_4-GcL_normal.jpg</v>
      </c>
      <c r="G46" s="62"/>
      <c r="H46" s="66"/>
      <c r="I46" s="67"/>
      <c r="J46" s="67"/>
      <c r="K46" s="66" t="s">
        <v>4338</v>
      </c>
      <c r="L46" s="70"/>
      <c r="M46" s="71">
        <v>3638.47900390625</v>
      </c>
      <c r="N46" s="71">
        <v>3306.624267578125</v>
      </c>
      <c r="O46" s="72"/>
      <c r="P46" s="73"/>
      <c r="Q46" s="73"/>
      <c r="R46" s="81"/>
      <c r="S46" s="45">
        <v>0</v>
      </c>
      <c r="T46" s="45">
        <v>2</v>
      </c>
      <c r="U46" s="46">
        <v>2</v>
      </c>
      <c r="V46" s="46">
        <v>4.1929999999999997E-3</v>
      </c>
      <c r="W46" s="47"/>
      <c r="X46" s="47"/>
      <c r="Y46" s="47"/>
      <c r="Z46" s="46"/>
      <c r="AA46" s="68">
        <v>46</v>
      </c>
      <c r="AB46"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6" s="69"/>
      <c r="AD46" t="s">
        <v>2700</v>
      </c>
      <c r="AE46" s="77" t="s">
        <v>2536</v>
      </c>
      <c r="AF46">
        <v>1057</v>
      </c>
      <c r="AG46">
        <v>279</v>
      </c>
      <c r="AH46">
        <v>5470</v>
      </c>
      <c r="AI46">
        <v>8</v>
      </c>
      <c r="AJ46">
        <v>4307</v>
      </c>
      <c r="AK46">
        <v>1249</v>
      </c>
      <c r="AL46" t="b">
        <v>0</v>
      </c>
      <c r="AM46" s="76">
        <v>44182.794166666667</v>
      </c>
      <c r="AO46" t="s">
        <v>3649</v>
      </c>
      <c r="AP46" s="79" t="str">
        <f>HYPERLINK("https://t.co/jJADckjBDi")</f>
        <v>https://t.co/jJADckjBDi</v>
      </c>
      <c r="AQ46" s="79" t="str">
        <f>HYPERLINK("http://www.slepvalparaiso.cl")</f>
        <v>http://www.slepvalparaiso.cl</v>
      </c>
      <c r="AR46" t="s">
        <v>4064</v>
      </c>
      <c r="AW46" s="79" t="str">
        <f>HYPERLINK("https://t.co/jJADckjBDi")</f>
        <v>https://t.co/jJADckjBDi</v>
      </c>
      <c r="AX46" t="b">
        <v>0</v>
      </c>
      <c r="BA46" t="b">
        <v>0</v>
      </c>
      <c r="BB46" t="b">
        <v>1</v>
      </c>
      <c r="BC46" t="b">
        <v>1</v>
      </c>
      <c r="BD46" t="b">
        <v>0</v>
      </c>
      <c r="BE46" t="b">
        <v>1</v>
      </c>
      <c r="BF46" t="b">
        <v>0</v>
      </c>
      <c r="BG46" t="b">
        <v>0</v>
      </c>
      <c r="BH46" s="79" t="str">
        <f>HYPERLINK("https://pbs.twimg.com/profile_banners/1339647399854297088/1740425980")</f>
        <v>https://pbs.twimg.com/profile_banners/1339647399854297088/1740425980</v>
      </c>
      <c r="BJ46" t="s">
        <v>4320</v>
      </c>
      <c r="BK46" t="b">
        <v>0</v>
      </c>
      <c r="BM46" t="s">
        <v>66</v>
      </c>
      <c r="BN46" t="s">
        <v>4322</v>
      </c>
      <c r="BO46" s="79" t="str">
        <f>HYPERLINK("https://twitter.com/edu_valparaiso")</f>
        <v>https://twitter.com/edu_valparaiso</v>
      </c>
      <c r="BP46" s="112" t="str">
        <f>REPLACE(INDEX(GroupVertices[Group], MATCH("~"&amp;Vertices[[#This Row],[Vertex]],GroupVertices[Vertex],0)),1,1,"")</f>
        <v>36</v>
      </c>
      <c r="BQ46" s="2"/>
    </row>
    <row r="47" spans="1:69" x14ac:dyDescent="0.25">
      <c r="A47" s="61" t="s">
        <v>536</v>
      </c>
      <c r="B47" s="62"/>
      <c r="C47" s="62"/>
      <c r="D47" s="63">
        <v>1.5251851851851852</v>
      </c>
      <c r="E47" s="65"/>
      <c r="F47" s="97" t="str">
        <f>HYPERLINK("https://pbs.twimg.com/profile_images/1765065723280519168/VpRAnmsN_normal.jpg")</f>
        <v>https://pbs.twimg.com/profile_images/1765065723280519168/VpRAnmsN_normal.jpg</v>
      </c>
      <c r="G47" s="62"/>
      <c r="H47" s="66"/>
      <c r="I47" s="67"/>
      <c r="J47" s="67"/>
      <c r="K47" s="66" t="s">
        <v>4391</v>
      </c>
      <c r="L47" s="70"/>
      <c r="M47" s="71">
        <v>6107.55615234375</v>
      </c>
      <c r="N47" s="71">
        <v>9483.373046875</v>
      </c>
      <c r="O47" s="72"/>
      <c r="P47" s="73"/>
      <c r="Q47" s="73"/>
      <c r="R47" s="81"/>
      <c r="S47" s="45">
        <v>2</v>
      </c>
      <c r="T47" s="45">
        <v>0</v>
      </c>
      <c r="U47" s="46">
        <v>2</v>
      </c>
      <c r="V47" s="46">
        <v>4.1929999999999997E-3</v>
      </c>
      <c r="W47" s="47"/>
      <c r="X47" s="47"/>
      <c r="Y47" s="47"/>
      <c r="Z47" s="46"/>
      <c r="AA47" s="68">
        <v>47</v>
      </c>
      <c r="AB47"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7" s="69"/>
      <c r="AD47" t="s">
        <v>2753</v>
      </c>
      <c r="AE47" s="77" t="s">
        <v>2387</v>
      </c>
      <c r="AF47">
        <v>187733</v>
      </c>
      <c r="AG47">
        <v>669</v>
      </c>
      <c r="AH47">
        <v>23824</v>
      </c>
      <c r="AI47">
        <v>519</v>
      </c>
      <c r="AJ47">
        <v>5644</v>
      </c>
      <c r="AK47">
        <v>4746</v>
      </c>
      <c r="AL47" t="b">
        <v>0</v>
      </c>
      <c r="AM47" s="76">
        <v>40977.573888888888</v>
      </c>
      <c r="AN47" t="s">
        <v>3439</v>
      </c>
      <c r="AO47" t="s">
        <v>3696</v>
      </c>
      <c r="AV47">
        <v>1.83093955730014E+18</v>
      </c>
      <c r="AX47" t="b">
        <v>1</v>
      </c>
      <c r="AZ47" t="b">
        <v>0</v>
      </c>
      <c r="BA47" t="b">
        <v>1</v>
      </c>
      <c r="BB47" t="b">
        <v>1</v>
      </c>
      <c r="BC47" t="b">
        <v>0</v>
      </c>
      <c r="BD47" t="b">
        <v>0</v>
      </c>
      <c r="BE47" t="b">
        <v>1</v>
      </c>
      <c r="BF47" t="b">
        <v>0</v>
      </c>
      <c r="BG47" t="b">
        <v>0</v>
      </c>
      <c r="BH47" s="79" t="str">
        <f>HYPERLINK("https://pbs.twimg.com/profile_banners/519497576/1723718341")</f>
        <v>https://pbs.twimg.com/profile_banners/519497576/1723718341</v>
      </c>
      <c r="BJ47" t="s">
        <v>4320</v>
      </c>
      <c r="BK47" t="b">
        <v>0</v>
      </c>
      <c r="BM47" t="s">
        <v>65</v>
      </c>
      <c r="BN47" t="s">
        <v>4322</v>
      </c>
      <c r="BO47" s="79" t="str">
        <f>HYPERLINK("https://twitter.com/larroqueandres")</f>
        <v>https://twitter.com/larroqueandres</v>
      </c>
      <c r="BP47" s="112" t="str">
        <f>REPLACE(INDEX(GroupVertices[Group], MATCH("~"&amp;Vertices[[#This Row],[Vertex]],GroupVertices[Vertex],0)),1,1,"")</f>
        <v>30</v>
      </c>
      <c r="BQ47" s="2"/>
    </row>
    <row r="48" spans="1:69" x14ac:dyDescent="0.25">
      <c r="A48" s="61" t="s">
        <v>299</v>
      </c>
      <c r="B48" s="62"/>
      <c r="C48" s="62"/>
      <c r="D48" s="63">
        <v>1.5251851851851852</v>
      </c>
      <c r="E48" s="65"/>
      <c r="F48" s="97" t="str">
        <f>HYPERLINK("https://pbs.twimg.com/profile_images/1809990233150156800/gnfFoPzH_normal.jpg")</f>
        <v>https://pbs.twimg.com/profile_images/1809990233150156800/gnfFoPzH_normal.jpg</v>
      </c>
      <c r="G48" s="62"/>
      <c r="H48" s="66"/>
      <c r="I48" s="67"/>
      <c r="J48" s="67"/>
      <c r="K48" s="66" t="s">
        <v>4477</v>
      </c>
      <c r="L48" s="70"/>
      <c r="M48" s="71">
        <v>3711.721435546875</v>
      </c>
      <c r="N48" s="71">
        <v>9009.34375</v>
      </c>
      <c r="O48" s="72"/>
      <c r="P48" s="73"/>
      <c r="Q48" s="73"/>
      <c r="R48" s="81"/>
      <c r="S48" s="45">
        <v>0</v>
      </c>
      <c r="T48" s="45">
        <v>2</v>
      </c>
      <c r="U48" s="46">
        <v>2</v>
      </c>
      <c r="V48" s="46">
        <v>4.1929999999999997E-3</v>
      </c>
      <c r="W48" s="47"/>
      <c r="X48" s="47"/>
      <c r="Y48" s="47"/>
      <c r="Z48" s="46"/>
      <c r="AA48" s="68">
        <v>48</v>
      </c>
      <c r="AB48"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8" s="69"/>
      <c r="AD48" t="s">
        <v>2838</v>
      </c>
      <c r="AE48" s="77" t="s">
        <v>2567</v>
      </c>
      <c r="AF48">
        <v>646</v>
      </c>
      <c r="AG48">
        <v>1333</v>
      </c>
      <c r="AH48">
        <v>4881</v>
      </c>
      <c r="AI48">
        <v>3</v>
      </c>
      <c r="AJ48">
        <v>12281</v>
      </c>
      <c r="AK48">
        <v>938</v>
      </c>
      <c r="AL48" t="b">
        <v>0</v>
      </c>
      <c r="AM48" s="76">
        <v>44428.837893518517</v>
      </c>
      <c r="AO48" t="s">
        <v>3768</v>
      </c>
      <c r="AV48">
        <v>1.81472940532482E+18</v>
      </c>
      <c r="AX48" t="b">
        <v>0</v>
      </c>
      <c r="BA48" t="b">
        <v>0</v>
      </c>
      <c r="BB48" t="b">
        <v>0</v>
      </c>
      <c r="BC48" t="b">
        <v>1</v>
      </c>
      <c r="BD48" t="b">
        <v>0</v>
      </c>
      <c r="BE48" t="b">
        <v>0</v>
      </c>
      <c r="BF48" t="b">
        <v>0</v>
      </c>
      <c r="BG48" t="b">
        <v>0</v>
      </c>
      <c r="BH48" s="79" t="str">
        <f>HYPERLINK("https://pbs.twimg.com/profile_banners/1428810598402383874/1725195299")</f>
        <v>https://pbs.twimg.com/profile_banners/1428810598402383874/1725195299</v>
      </c>
      <c r="BJ48" t="s">
        <v>4320</v>
      </c>
      <c r="BK48" t="b">
        <v>0</v>
      </c>
      <c r="BM48" t="s">
        <v>66</v>
      </c>
      <c r="BN48" t="s">
        <v>4322</v>
      </c>
      <c r="BO48" s="79" t="str">
        <f>HYPERLINK("https://twitter.com/eldelasierrasoy")</f>
        <v>https://twitter.com/eldelasierrasoy</v>
      </c>
      <c r="BP48" s="112" t="str">
        <f>REPLACE(INDEX(GroupVertices[Group], MATCH("~"&amp;Vertices[[#This Row],[Vertex]],GroupVertices[Vertex],0)),1,1,"")</f>
        <v>38</v>
      </c>
      <c r="BQ48" s="2"/>
    </row>
    <row r="49" spans="1:69" x14ac:dyDescent="0.25">
      <c r="A49" s="61" t="s">
        <v>610</v>
      </c>
      <c r="B49" s="62"/>
      <c r="C49" s="62"/>
      <c r="D49" s="63">
        <v>1.5251851851851852</v>
      </c>
      <c r="E49" s="65"/>
      <c r="F49" s="97" t="str">
        <f>HYPERLINK("https://pbs.twimg.com/profile_images/1081856567010578432/Ek3OE-nj_normal.jpg")</f>
        <v>https://pbs.twimg.com/profile_images/1081856567010578432/Ek3OE-nj_normal.jpg</v>
      </c>
      <c r="G49" s="62"/>
      <c r="H49" s="66"/>
      <c r="I49" s="67"/>
      <c r="J49" s="67"/>
      <c r="K49" s="66" t="s">
        <v>4547</v>
      </c>
      <c r="L49" s="70"/>
      <c r="M49" s="71">
        <v>4232.74072265625</v>
      </c>
      <c r="N49" s="71">
        <v>6684.1640625</v>
      </c>
      <c r="O49" s="72"/>
      <c r="P49" s="73"/>
      <c r="Q49" s="73"/>
      <c r="R49" s="81"/>
      <c r="S49" s="45">
        <v>2</v>
      </c>
      <c r="T49" s="45">
        <v>0</v>
      </c>
      <c r="U49" s="46">
        <v>2</v>
      </c>
      <c r="V49" s="46">
        <v>4.1929999999999997E-3</v>
      </c>
      <c r="W49" s="47"/>
      <c r="X49" s="47"/>
      <c r="Y49" s="47"/>
      <c r="Z49" s="46"/>
      <c r="AA49" s="68">
        <v>49</v>
      </c>
      <c r="AB49"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9" s="69"/>
      <c r="AD49" t="s">
        <v>2907</v>
      </c>
      <c r="AE49" s="77" t="s">
        <v>2430</v>
      </c>
      <c r="AF49">
        <v>494381</v>
      </c>
      <c r="AG49">
        <v>217</v>
      </c>
      <c r="AH49">
        <v>62471</v>
      </c>
      <c r="AI49">
        <v>1208</v>
      </c>
      <c r="AJ49">
        <v>786</v>
      </c>
      <c r="AK49">
        <v>2307</v>
      </c>
      <c r="AL49" t="b">
        <v>0</v>
      </c>
      <c r="AM49" s="76">
        <v>40470.035046296296</v>
      </c>
      <c r="AO49" t="s">
        <v>3832</v>
      </c>
      <c r="AV49">
        <v>1.9255420813106601E+18</v>
      </c>
      <c r="AX49" t="b">
        <v>1</v>
      </c>
      <c r="AZ49" t="b">
        <v>0</v>
      </c>
      <c r="BA49" t="b">
        <v>0</v>
      </c>
      <c r="BB49" t="b">
        <v>1</v>
      </c>
      <c r="BC49" t="b">
        <v>0</v>
      </c>
      <c r="BD49" t="b">
        <v>0</v>
      </c>
      <c r="BE49" t="b">
        <v>1</v>
      </c>
      <c r="BF49" t="b">
        <v>0</v>
      </c>
      <c r="BG49" t="b">
        <v>0</v>
      </c>
      <c r="BH49" s="79" t="str">
        <f>HYPERLINK("https://pbs.twimg.com/profile_banners/204579019/1594644977")</f>
        <v>https://pbs.twimg.com/profile_banners/204579019/1594644977</v>
      </c>
      <c r="BJ49" t="s">
        <v>4320</v>
      </c>
      <c r="BK49" t="b">
        <v>0</v>
      </c>
      <c r="BM49" t="s">
        <v>65</v>
      </c>
      <c r="BN49" t="s">
        <v>4322</v>
      </c>
      <c r="BO49" s="79" t="str">
        <f>HYPERLINK("https://twitter.com/claudioxgg")</f>
        <v>https://twitter.com/claudioxgg</v>
      </c>
      <c r="BP49" s="112" t="str">
        <f>REPLACE(INDEX(GroupVertices[Group], MATCH("~"&amp;Vertices[[#This Row],[Vertex]],GroupVertices[Vertex],0)),1,1,"")</f>
        <v>31</v>
      </c>
      <c r="BQ49" s="2"/>
    </row>
    <row r="50" spans="1:69" x14ac:dyDescent="0.25">
      <c r="A50" s="61" t="s">
        <v>336</v>
      </c>
      <c r="B50" s="62"/>
      <c r="C50" s="62"/>
      <c r="D50" s="63">
        <v>1.5251851851851852</v>
      </c>
      <c r="E50" s="65"/>
      <c r="F50" s="97" t="str">
        <f>HYPERLINK("https://pbs.twimg.com/profile_images/1896976565835120640/wzngofay_normal.jpg")</f>
        <v>https://pbs.twimg.com/profile_images/1896976565835120640/wzngofay_normal.jpg</v>
      </c>
      <c r="G50" s="62"/>
      <c r="H50" s="66"/>
      <c r="I50" s="67"/>
      <c r="J50" s="67"/>
      <c r="K50" s="66" t="s">
        <v>4549</v>
      </c>
      <c r="L50" s="70"/>
      <c r="M50" s="71">
        <v>3408.5947265625</v>
      </c>
      <c r="N50" s="71">
        <v>6427.98193359375</v>
      </c>
      <c r="O50" s="72"/>
      <c r="P50" s="73"/>
      <c r="Q50" s="73"/>
      <c r="R50" s="81"/>
      <c r="S50" s="45">
        <v>0</v>
      </c>
      <c r="T50" s="45">
        <v>2</v>
      </c>
      <c r="U50" s="46">
        <v>2</v>
      </c>
      <c r="V50" s="46">
        <v>4.1929999999999997E-3</v>
      </c>
      <c r="W50" s="47"/>
      <c r="X50" s="47"/>
      <c r="Y50" s="47"/>
      <c r="Z50" s="46"/>
      <c r="AA50" s="68">
        <v>50</v>
      </c>
      <c r="AB50"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50" s="69"/>
      <c r="AD50" t="s">
        <v>2909</v>
      </c>
      <c r="AE50" s="77" t="s">
        <v>3267</v>
      </c>
      <c r="AF50">
        <v>2210</v>
      </c>
      <c r="AG50">
        <v>1311</v>
      </c>
      <c r="AH50">
        <v>25317</v>
      </c>
      <c r="AI50">
        <v>12</v>
      </c>
      <c r="AJ50">
        <v>9655</v>
      </c>
      <c r="AK50">
        <v>1823</v>
      </c>
      <c r="AL50" t="b">
        <v>0</v>
      </c>
      <c r="AM50" s="76">
        <v>40455.559803240743</v>
      </c>
      <c r="AN50" t="s">
        <v>3430</v>
      </c>
      <c r="AO50" t="s">
        <v>3834</v>
      </c>
      <c r="AX50" t="b">
        <v>0</v>
      </c>
      <c r="BA50" t="b">
        <v>1</v>
      </c>
      <c r="BB50" t="b">
        <v>1</v>
      </c>
      <c r="BC50" t="b">
        <v>0</v>
      </c>
      <c r="BD50" t="b">
        <v>0</v>
      </c>
      <c r="BE50" t="b">
        <v>1</v>
      </c>
      <c r="BF50" t="b">
        <v>0</v>
      </c>
      <c r="BG50" t="b">
        <v>0</v>
      </c>
      <c r="BH50" s="79" t="str">
        <f>HYPERLINK("https://pbs.twimg.com/profile_banners/198492710/1655922295")</f>
        <v>https://pbs.twimg.com/profile_banners/198492710/1655922295</v>
      </c>
      <c r="BJ50" t="s">
        <v>4320</v>
      </c>
      <c r="BK50" t="b">
        <v>0</v>
      </c>
      <c r="BM50" t="s">
        <v>66</v>
      </c>
      <c r="BN50" t="s">
        <v>4322</v>
      </c>
      <c r="BO50" s="79" t="str">
        <f>HYPERLINK("https://twitter.com/jcelis87")</f>
        <v>https://twitter.com/jcelis87</v>
      </c>
      <c r="BP50" s="112" t="str">
        <f>REPLACE(INDEX(GroupVertices[Group], MATCH("~"&amp;Vertices[[#This Row],[Vertex]],GroupVertices[Vertex],0)),1,1,"")</f>
        <v>39</v>
      </c>
      <c r="BQ50" s="2"/>
    </row>
    <row r="51" spans="1:69" x14ac:dyDescent="0.25">
      <c r="A51" s="61" t="s">
        <v>625</v>
      </c>
      <c r="B51" s="62"/>
      <c r="C51" s="62"/>
      <c r="D51" s="63">
        <v>1.5251851851851852</v>
      </c>
      <c r="E51" s="65"/>
      <c r="F51" s="97" t="str">
        <f>HYPERLINK("https://pbs.twimg.com/profile_images/1853031860567416832/X0KKjZng_normal.jpg")</f>
        <v>https://pbs.twimg.com/profile_images/1853031860567416832/X0KKjZng_normal.jpg</v>
      </c>
      <c r="G51" s="62"/>
      <c r="H51" s="66"/>
      <c r="I51" s="67"/>
      <c r="J51" s="67"/>
      <c r="K51" s="66" t="s">
        <v>4595</v>
      </c>
      <c r="L51" s="70"/>
      <c r="M51" s="71">
        <v>1188.73388671875</v>
      </c>
      <c r="N51" s="71">
        <v>5310.95556640625</v>
      </c>
      <c r="O51" s="72"/>
      <c r="P51" s="73"/>
      <c r="Q51" s="73"/>
      <c r="R51" s="81"/>
      <c r="S51" s="45">
        <v>2</v>
      </c>
      <c r="T51" s="45">
        <v>0</v>
      </c>
      <c r="U51" s="46">
        <v>2</v>
      </c>
      <c r="V51" s="46">
        <v>5.5900000000000004E-3</v>
      </c>
      <c r="W51" s="47"/>
      <c r="X51" s="47"/>
      <c r="Y51" s="47"/>
      <c r="Z51" s="46"/>
      <c r="AA51" s="68">
        <v>51</v>
      </c>
      <c r="AB51"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51" s="69"/>
      <c r="AD51" t="s">
        <v>2954</v>
      </c>
      <c r="AE51" s="77" t="s">
        <v>3289</v>
      </c>
      <c r="AF51">
        <v>7569</v>
      </c>
      <c r="AG51">
        <v>154</v>
      </c>
      <c r="AH51">
        <v>38162</v>
      </c>
      <c r="AI51">
        <v>107</v>
      </c>
      <c r="AJ51">
        <v>6515</v>
      </c>
      <c r="AK51">
        <v>11948</v>
      </c>
      <c r="AL51" t="b">
        <v>0</v>
      </c>
      <c r="AM51" s="76">
        <v>41648.51363425926</v>
      </c>
      <c r="AN51" t="s">
        <v>3536</v>
      </c>
      <c r="AO51" t="s">
        <v>3874</v>
      </c>
      <c r="AP51" s="79" t="str">
        <f>HYPERLINK("https://t.co/wOKc6CjqXT")</f>
        <v>https://t.co/wOKc6CjqXT</v>
      </c>
      <c r="AQ51" s="79" t="str">
        <f>HYPERLINK("http://www.andaluciajunta.es")</f>
        <v>http://www.andaluciajunta.es</v>
      </c>
      <c r="AR51" t="s">
        <v>4164</v>
      </c>
      <c r="AW51" s="79" t="str">
        <f>HYPERLINK("https://t.co/wOKc6CjqXT")</f>
        <v>https://t.co/wOKc6CjqXT</v>
      </c>
      <c r="AX51" t="b">
        <v>0</v>
      </c>
      <c r="AZ51" t="b">
        <v>0</v>
      </c>
      <c r="BA51" t="b">
        <v>0</v>
      </c>
      <c r="BB51" t="b">
        <v>0</v>
      </c>
      <c r="BC51" t="b">
        <v>0</v>
      </c>
      <c r="BD51" t="b">
        <v>0</v>
      </c>
      <c r="BE51" t="b">
        <v>1</v>
      </c>
      <c r="BF51" t="b">
        <v>0</v>
      </c>
      <c r="BG51" t="b">
        <v>0</v>
      </c>
      <c r="BH51" s="79" t="str">
        <f>HYPERLINK("https://pbs.twimg.com/profile_banners/2283502404/1741019261")</f>
        <v>https://pbs.twimg.com/profile_banners/2283502404/1741019261</v>
      </c>
      <c r="BJ51" t="s">
        <v>4320</v>
      </c>
      <c r="BK51" t="b">
        <v>0</v>
      </c>
      <c r="BM51" t="s">
        <v>65</v>
      </c>
      <c r="BN51" t="s">
        <v>4322</v>
      </c>
      <c r="BO51" s="79" t="str">
        <f>HYPERLINK("https://twitter.com/jaenjunta")</f>
        <v>https://twitter.com/jaenjunta</v>
      </c>
      <c r="BP51" s="112" t="str">
        <f>REPLACE(INDEX(GroupVertices[Group], MATCH("~"&amp;Vertices[[#This Row],[Vertex]],GroupVertices[Vertex],0)),1,1,"")</f>
        <v>14</v>
      </c>
      <c r="BQ51" s="2"/>
    </row>
    <row r="52" spans="1:69" x14ac:dyDescent="0.25">
      <c r="A52" s="61" t="s">
        <v>626</v>
      </c>
      <c r="B52" s="62"/>
      <c r="C52" s="62"/>
      <c r="D52" s="63">
        <v>1.5251851851851852</v>
      </c>
      <c r="E52" s="65"/>
      <c r="F52" s="97" t="str">
        <f>HYPERLINK("https://pbs.twimg.com/profile_images/1852979077730512896/abZBXUi0_normal.jpg")</f>
        <v>https://pbs.twimg.com/profile_images/1852979077730512896/abZBXUi0_normal.jpg</v>
      </c>
      <c r="G52" s="62"/>
      <c r="H52" s="66"/>
      <c r="I52" s="67"/>
      <c r="J52" s="67"/>
      <c r="K52" s="66" t="s">
        <v>4596</v>
      </c>
      <c r="L52" s="70"/>
      <c r="M52" s="71">
        <v>860.234375</v>
      </c>
      <c r="N52" s="71">
        <v>7226.9736328125</v>
      </c>
      <c r="O52" s="72"/>
      <c r="P52" s="73"/>
      <c r="Q52" s="73"/>
      <c r="R52" s="81"/>
      <c r="S52" s="45">
        <v>2</v>
      </c>
      <c r="T52" s="45">
        <v>0</v>
      </c>
      <c r="U52" s="46">
        <v>2</v>
      </c>
      <c r="V52" s="46">
        <v>5.5900000000000004E-3</v>
      </c>
      <c r="W52" s="47"/>
      <c r="X52" s="47"/>
      <c r="Y52" s="47"/>
      <c r="Z52" s="46"/>
      <c r="AA52" s="68">
        <v>52</v>
      </c>
      <c r="AB52"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52" s="69"/>
      <c r="AD52" t="s">
        <v>2955</v>
      </c>
      <c r="AE52" s="77" t="s">
        <v>3290</v>
      </c>
      <c r="AF52">
        <v>68146</v>
      </c>
      <c r="AG52">
        <v>3399</v>
      </c>
      <c r="AH52">
        <v>28466</v>
      </c>
      <c r="AI52">
        <v>687</v>
      </c>
      <c r="AJ52">
        <v>9040</v>
      </c>
      <c r="AK52">
        <v>7937</v>
      </c>
      <c r="AL52" t="b">
        <v>0</v>
      </c>
      <c r="AM52" s="76">
        <v>40422.629548611112</v>
      </c>
      <c r="AN52" t="s">
        <v>3537</v>
      </c>
      <c r="AO52" t="s">
        <v>3875</v>
      </c>
      <c r="AP52" s="79" t="str">
        <f>HYPERLINK("https://t.co/oUh7j1xrUd")</f>
        <v>https://t.co/oUh7j1xrUd</v>
      </c>
      <c r="AQ52" s="79" t="str">
        <f>HYPERLINK("http://www.juntadeandalucia.es/organismos/empleoempresaycomercio.html")</f>
        <v>http://www.juntadeandalucia.es/organismos/empleoempresaycomercio.html</v>
      </c>
      <c r="AR52" t="s">
        <v>4165</v>
      </c>
      <c r="AW52" s="79" t="str">
        <f>HYPERLINK("https://t.co/oUh7j1xrUd")</f>
        <v>https://t.co/oUh7j1xrUd</v>
      </c>
      <c r="AX52" t="b">
        <v>0</v>
      </c>
      <c r="AZ52" t="b">
        <v>0</v>
      </c>
      <c r="BA52" t="b">
        <v>1</v>
      </c>
      <c r="BB52" t="b">
        <v>1</v>
      </c>
      <c r="BC52" t="b">
        <v>0</v>
      </c>
      <c r="BD52" t="b">
        <v>0</v>
      </c>
      <c r="BE52" t="b">
        <v>1</v>
      </c>
      <c r="BF52" t="b">
        <v>0</v>
      </c>
      <c r="BG52" t="b">
        <v>0</v>
      </c>
      <c r="BH52" s="79" t="str">
        <f>HYPERLINK("https://pbs.twimg.com/profile_banners/185668520/1741625351")</f>
        <v>https://pbs.twimg.com/profile_banners/185668520/1741625351</v>
      </c>
      <c r="BJ52" t="s">
        <v>4320</v>
      </c>
      <c r="BK52" t="b">
        <v>0</v>
      </c>
      <c r="BM52" t="s">
        <v>65</v>
      </c>
      <c r="BN52" t="s">
        <v>4322</v>
      </c>
      <c r="BO52" s="79" t="str">
        <f>HYPERLINK("https://twitter.com/empleojunta")</f>
        <v>https://twitter.com/empleojunta</v>
      </c>
      <c r="BP52" s="112" t="str">
        <f>REPLACE(INDEX(GroupVertices[Group], MATCH("~"&amp;Vertices[[#This Row],[Vertex]],GroupVertices[Vertex],0)),1,1,"")</f>
        <v>14</v>
      </c>
      <c r="BQ52" s="2"/>
    </row>
    <row r="53" spans="1:69" x14ac:dyDescent="0.25">
      <c r="A53" s="61" t="s">
        <v>375</v>
      </c>
      <c r="B53" s="62"/>
      <c r="C53" s="62"/>
      <c r="D53" s="63">
        <v>1.5251851851851852</v>
      </c>
      <c r="E53" s="65"/>
      <c r="F53" s="97" t="str">
        <f>HYPERLINK("https://pbs.twimg.com/profile_images/1904616566269849600/IKIHAqnz_normal.jpg")</f>
        <v>https://pbs.twimg.com/profile_images/1904616566269849600/IKIHAqnz_normal.jpg</v>
      </c>
      <c r="G53" s="62"/>
      <c r="H53" s="66"/>
      <c r="I53" s="67"/>
      <c r="J53" s="67"/>
      <c r="K53" s="66" t="s">
        <v>4607</v>
      </c>
      <c r="L53" s="70"/>
      <c r="M53" s="71">
        <v>3638.878173828125</v>
      </c>
      <c r="N53" s="71">
        <v>1293.1737060546875</v>
      </c>
      <c r="O53" s="72"/>
      <c r="P53" s="73"/>
      <c r="Q53" s="73"/>
      <c r="R53" s="81"/>
      <c r="S53" s="45">
        <v>0</v>
      </c>
      <c r="T53" s="45">
        <v>2</v>
      </c>
      <c r="U53" s="46">
        <v>2</v>
      </c>
      <c r="V53" s="46">
        <v>4.1929999999999997E-3</v>
      </c>
      <c r="W53" s="47"/>
      <c r="X53" s="47"/>
      <c r="Y53" s="47"/>
      <c r="Z53" s="46"/>
      <c r="AA53" s="68">
        <v>53</v>
      </c>
      <c r="AB53"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53" s="69"/>
      <c r="AD53" t="s">
        <v>2966</v>
      </c>
      <c r="AE53" s="77" t="s">
        <v>2597</v>
      </c>
      <c r="AF53">
        <v>2691</v>
      </c>
      <c r="AG53">
        <v>2201</v>
      </c>
      <c r="AH53">
        <v>129759</v>
      </c>
      <c r="AI53">
        <v>2</v>
      </c>
      <c r="AJ53">
        <v>57770</v>
      </c>
      <c r="AK53">
        <v>221</v>
      </c>
      <c r="AL53" t="b">
        <v>0</v>
      </c>
      <c r="AM53" s="76">
        <v>43308.535798611112</v>
      </c>
      <c r="AN53" t="s">
        <v>3539</v>
      </c>
      <c r="AO53" t="s">
        <v>3885</v>
      </c>
      <c r="AX53" t="b">
        <v>0</v>
      </c>
      <c r="BA53" t="b">
        <v>0</v>
      </c>
      <c r="BB53" t="b">
        <v>1</v>
      </c>
      <c r="BC53" t="b">
        <v>1</v>
      </c>
      <c r="BD53" t="b">
        <v>0</v>
      </c>
      <c r="BE53" t="b">
        <v>1</v>
      </c>
      <c r="BF53" t="b">
        <v>0</v>
      </c>
      <c r="BG53" t="b">
        <v>0</v>
      </c>
      <c r="BH53" s="79" t="str">
        <f>HYPERLINK("https://pbs.twimg.com/profile_banners/1022826827507814400/1662521531")</f>
        <v>https://pbs.twimg.com/profile_banners/1022826827507814400/1662521531</v>
      </c>
      <c r="BJ53" t="s">
        <v>4320</v>
      </c>
      <c r="BK53" t="b">
        <v>0</v>
      </c>
      <c r="BM53" t="s">
        <v>66</v>
      </c>
      <c r="BN53" t="s">
        <v>4322</v>
      </c>
      <c r="BO53" s="79" t="str">
        <f>HYPERLINK("https://twitter.com/valenti94010220")</f>
        <v>https://twitter.com/valenti94010220</v>
      </c>
      <c r="BP53" s="112" t="str">
        <f>REPLACE(INDEX(GroupVertices[Group], MATCH("~"&amp;Vertices[[#This Row],[Vertex]],GroupVertices[Vertex],0)),1,1,"")</f>
        <v>37</v>
      </c>
      <c r="BQ53" s="2"/>
    </row>
    <row r="54" spans="1:69" x14ac:dyDescent="0.25">
      <c r="A54" s="61" t="s">
        <v>401</v>
      </c>
      <c r="B54" s="62"/>
      <c r="C54" s="62"/>
      <c r="D54" s="63">
        <v>1.5251851851851852</v>
      </c>
      <c r="E54" s="65"/>
      <c r="F54" s="97" t="str">
        <f>HYPERLINK("https://pbs.twimg.com/profile_images/1302226405804175360/5DAPdbYq_normal.jpg")</f>
        <v>https://pbs.twimg.com/profile_images/1302226405804175360/5DAPdbYq_normal.jpg</v>
      </c>
      <c r="G54" s="62"/>
      <c r="H54" s="66"/>
      <c r="I54" s="67"/>
      <c r="J54" s="67"/>
      <c r="K54" s="66" t="s">
        <v>4669</v>
      </c>
      <c r="L54" s="70"/>
      <c r="M54" s="71">
        <v>5366.38134765625</v>
      </c>
      <c r="N54" s="71">
        <v>2386.041259765625</v>
      </c>
      <c r="O54" s="72"/>
      <c r="P54" s="73"/>
      <c r="Q54" s="73"/>
      <c r="R54" s="81"/>
      <c r="S54" s="45">
        <v>0</v>
      </c>
      <c r="T54" s="45">
        <v>2</v>
      </c>
      <c r="U54" s="46">
        <v>2</v>
      </c>
      <c r="V54" s="46">
        <v>4.1929999999999997E-3</v>
      </c>
      <c r="W54" s="47"/>
      <c r="X54" s="47"/>
      <c r="Y54" s="47"/>
      <c r="Z54" s="46"/>
      <c r="AA54" s="68">
        <v>54</v>
      </c>
      <c r="AB54"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54" s="69"/>
      <c r="AD54" t="s">
        <v>3027</v>
      </c>
      <c r="AE54" s="77" t="s">
        <v>2607</v>
      </c>
      <c r="AF54">
        <v>98</v>
      </c>
      <c r="AG54">
        <v>179</v>
      </c>
      <c r="AH54">
        <v>12298</v>
      </c>
      <c r="AI54">
        <v>1</v>
      </c>
      <c r="AJ54">
        <v>8117</v>
      </c>
      <c r="AK54">
        <v>606</v>
      </c>
      <c r="AL54" t="b">
        <v>0</v>
      </c>
      <c r="AM54" s="76">
        <v>44079.531435185185</v>
      </c>
      <c r="AX54" t="b">
        <v>0</v>
      </c>
      <c r="BA54" t="b">
        <v>0</v>
      </c>
      <c r="BB54" t="b">
        <v>1</v>
      </c>
      <c r="BC54" t="b">
        <v>1</v>
      </c>
      <c r="BD54" t="b">
        <v>0</v>
      </c>
      <c r="BE54" t="b">
        <v>0</v>
      </c>
      <c r="BF54" t="b">
        <v>0</v>
      </c>
      <c r="BG54" t="b">
        <v>0</v>
      </c>
      <c r="BJ54" t="s">
        <v>4320</v>
      </c>
      <c r="BK54" t="b">
        <v>0</v>
      </c>
      <c r="BM54" t="s">
        <v>66</v>
      </c>
      <c r="BN54" t="s">
        <v>4322</v>
      </c>
      <c r="BO54" s="79" t="str">
        <f>HYPERLINK("https://twitter.com/pechunejo")</f>
        <v>https://twitter.com/pechunejo</v>
      </c>
      <c r="BP54" s="112" t="str">
        <f>REPLACE(INDEX(GroupVertices[Group], MATCH("~"&amp;Vertices[[#This Row],[Vertex]],GroupVertices[Vertex],0)),1,1,"")</f>
        <v>32</v>
      </c>
      <c r="BQ54" s="2"/>
    </row>
    <row r="55" spans="1:69" x14ac:dyDescent="0.25">
      <c r="A55" s="61" t="s">
        <v>420</v>
      </c>
      <c r="B55" s="62"/>
      <c r="C55" s="62"/>
      <c r="D55" s="63">
        <v>1.5251851851851852</v>
      </c>
      <c r="E55" s="65"/>
      <c r="F55" s="97" t="str">
        <f>HYPERLINK("https://pbs.twimg.com/profile_images/1733838798650277888/uPhbogLN_normal.jpg")</f>
        <v>https://pbs.twimg.com/profile_images/1733838798650277888/uPhbogLN_normal.jpg</v>
      </c>
      <c r="G55" s="62"/>
      <c r="H55" s="66"/>
      <c r="I55" s="67"/>
      <c r="J55" s="67"/>
      <c r="K55" s="66" t="s">
        <v>4693</v>
      </c>
      <c r="L55" s="70"/>
      <c r="M55" s="71">
        <v>4575.75537109375</v>
      </c>
      <c r="N55" s="71">
        <v>5173.31494140625</v>
      </c>
      <c r="O55" s="72"/>
      <c r="P55" s="73"/>
      <c r="Q55" s="73"/>
      <c r="R55" s="81"/>
      <c r="S55" s="45">
        <v>0</v>
      </c>
      <c r="T55" s="45">
        <v>2</v>
      </c>
      <c r="U55" s="46">
        <v>2</v>
      </c>
      <c r="V55" s="46">
        <v>4.1929999999999997E-3</v>
      </c>
      <c r="W55" s="47"/>
      <c r="X55" s="47"/>
      <c r="Y55" s="47"/>
      <c r="Z55" s="46"/>
      <c r="AA55" s="68">
        <v>55</v>
      </c>
      <c r="AB55"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55" s="69"/>
      <c r="AD55" t="s">
        <v>3050</v>
      </c>
      <c r="AE55" s="77" t="s">
        <v>2612</v>
      </c>
      <c r="AF55">
        <v>207</v>
      </c>
      <c r="AG55">
        <v>179</v>
      </c>
      <c r="AH55">
        <v>16459</v>
      </c>
      <c r="AI55">
        <v>1</v>
      </c>
      <c r="AJ55">
        <v>5696</v>
      </c>
      <c r="AK55">
        <v>7422</v>
      </c>
      <c r="AL55" t="b">
        <v>0</v>
      </c>
      <c r="AM55" s="76">
        <v>43946.587766203702</v>
      </c>
      <c r="AO55" t="s">
        <v>3960</v>
      </c>
      <c r="AP55" s="79" t="str">
        <f>HYPERLINK("https://t.co/6tsr7ZONFk")</f>
        <v>https://t.co/6tsr7ZONFk</v>
      </c>
      <c r="AQ55" s="79" t="str">
        <f>HYPERLINK("https://www.tiktok.com/@darkotakashi")</f>
        <v>https://www.tiktok.com/@darkotakashi</v>
      </c>
      <c r="AR55" t="s">
        <v>4200</v>
      </c>
      <c r="AS55" t="s">
        <v>4245</v>
      </c>
      <c r="AT55" t="s">
        <v>4258</v>
      </c>
      <c r="AU55" t="s">
        <v>4309</v>
      </c>
      <c r="AV55">
        <v>1.4939262186594701E+18</v>
      </c>
      <c r="AW55" s="79" t="str">
        <f>HYPERLINK("https://t.co/6tsr7ZONFk")</f>
        <v>https://t.co/6tsr7ZONFk</v>
      </c>
      <c r="AX55" t="b">
        <v>0</v>
      </c>
      <c r="BA55" t="b">
        <v>0</v>
      </c>
      <c r="BB55" t="b">
        <v>0</v>
      </c>
      <c r="BC55" t="b">
        <v>1</v>
      </c>
      <c r="BD55" t="b">
        <v>0</v>
      </c>
      <c r="BE55" t="b">
        <v>1</v>
      </c>
      <c r="BF55" t="b">
        <v>0</v>
      </c>
      <c r="BG55" t="b">
        <v>0</v>
      </c>
      <c r="BH55" s="79" t="str">
        <f>HYPERLINK("https://pbs.twimg.com/profile_banners/1254049061424037890/1702214358")</f>
        <v>https://pbs.twimg.com/profile_banners/1254049061424037890/1702214358</v>
      </c>
      <c r="BJ55" t="s">
        <v>4320</v>
      </c>
      <c r="BK55" t="b">
        <v>0</v>
      </c>
      <c r="BM55" t="s">
        <v>66</v>
      </c>
      <c r="BN55" t="s">
        <v>4322</v>
      </c>
      <c r="BO55" s="79" t="str">
        <f>HYPERLINK("https://twitter.com/takashidarko")</f>
        <v>https://twitter.com/takashidarko</v>
      </c>
      <c r="BP55" s="112" t="str">
        <f>REPLACE(INDEX(GroupVertices[Group], MATCH("~"&amp;Vertices[[#This Row],[Vertex]],GroupVertices[Vertex],0)),1,1,"")</f>
        <v>35</v>
      </c>
      <c r="BQ55" s="2"/>
    </row>
    <row r="56" spans="1:69" x14ac:dyDescent="0.25">
      <c r="A56" s="61" t="s">
        <v>451</v>
      </c>
      <c r="B56" s="62"/>
      <c r="C56" s="62"/>
      <c r="D56" s="63">
        <v>1.5251851851851852</v>
      </c>
      <c r="E56" s="65"/>
      <c r="F56" s="97" t="str">
        <f>HYPERLINK("https://pbs.twimg.com/profile_images/1715569996427120640/o9qdENAq_normal.jpg")</f>
        <v>https://pbs.twimg.com/profile_images/1715569996427120640/o9qdENAq_normal.jpg</v>
      </c>
      <c r="G56" s="62"/>
      <c r="H56" s="66"/>
      <c r="I56" s="67"/>
      <c r="J56" s="67"/>
      <c r="K56" s="66" t="s">
        <v>4728</v>
      </c>
      <c r="L56" s="70"/>
      <c r="M56" s="71">
        <v>6477.68359375</v>
      </c>
      <c r="N56" s="71">
        <v>8483.5341796875</v>
      </c>
      <c r="O56" s="72"/>
      <c r="P56" s="73"/>
      <c r="Q56" s="73"/>
      <c r="R56" s="81"/>
      <c r="S56" s="45">
        <v>0</v>
      </c>
      <c r="T56" s="45">
        <v>2</v>
      </c>
      <c r="U56" s="46">
        <v>2</v>
      </c>
      <c r="V56" s="46">
        <v>4.1929999999999997E-3</v>
      </c>
      <c r="W56" s="47"/>
      <c r="X56" s="47"/>
      <c r="Y56" s="47"/>
      <c r="Z56" s="46"/>
      <c r="AA56" s="68">
        <v>56</v>
      </c>
      <c r="AB56"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56" s="69"/>
      <c r="AD56" t="s">
        <v>3082</v>
      </c>
      <c r="AE56" s="77" t="s">
        <v>2625</v>
      </c>
      <c r="AF56">
        <v>1056</v>
      </c>
      <c r="AG56">
        <v>4176</v>
      </c>
      <c r="AH56">
        <v>13611</v>
      </c>
      <c r="AI56">
        <v>0</v>
      </c>
      <c r="AJ56">
        <v>26165</v>
      </c>
      <c r="AK56">
        <v>652</v>
      </c>
      <c r="AL56" t="b">
        <v>0</v>
      </c>
      <c r="AM56" s="76">
        <v>45033.616215277776</v>
      </c>
      <c r="AX56" t="b">
        <v>0</v>
      </c>
      <c r="BA56" t="b">
        <v>0</v>
      </c>
      <c r="BB56" t="b">
        <v>1</v>
      </c>
      <c r="BC56" t="b">
        <v>1</v>
      </c>
      <c r="BD56" t="b">
        <v>0</v>
      </c>
      <c r="BE56" t="b">
        <v>0</v>
      </c>
      <c r="BF56" t="b">
        <v>0</v>
      </c>
      <c r="BG56" t="b">
        <v>0</v>
      </c>
      <c r="BH56" s="79" t="str">
        <f>HYPERLINK("https://pbs.twimg.com/profile_banners/1647974787380047875/1710133538")</f>
        <v>https://pbs.twimg.com/profile_banners/1647974787380047875/1710133538</v>
      </c>
      <c r="BJ56" t="s">
        <v>4320</v>
      </c>
      <c r="BK56" t="b">
        <v>0</v>
      </c>
      <c r="BM56" t="s">
        <v>66</v>
      </c>
      <c r="BN56" t="s">
        <v>4322</v>
      </c>
      <c r="BO56" s="79" t="str">
        <f>HYPERLINK("https://twitter.com/roberto53590325")</f>
        <v>https://twitter.com/roberto53590325</v>
      </c>
      <c r="BP56" s="112" t="str">
        <f>REPLACE(INDEX(GroupVertices[Group], MATCH("~"&amp;Vertices[[#This Row],[Vertex]],GroupVertices[Vertex],0)),1,1,"")</f>
        <v>34</v>
      </c>
      <c r="BQ56" s="2"/>
    </row>
    <row r="57" spans="1:69" x14ac:dyDescent="0.25">
      <c r="A57" s="61" t="s">
        <v>467</v>
      </c>
      <c r="B57" s="62"/>
      <c r="C57" s="62"/>
      <c r="D57" s="63">
        <v>1.5251851851851852</v>
      </c>
      <c r="E57" s="65"/>
      <c r="F57" s="97" t="str">
        <f>HYPERLINK("https://pbs.twimg.com/profile_images/1727743708869562368/I1HeESkh_normal.jpg")</f>
        <v>https://pbs.twimg.com/profile_images/1727743708869562368/I1HeESkh_normal.jpg</v>
      </c>
      <c r="G57" s="62"/>
      <c r="H57" s="66"/>
      <c r="I57" s="67"/>
      <c r="J57" s="67"/>
      <c r="K57" s="66" t="s">
        <v>4749</v>
      </c>
      <c r="L57" s="70"/>
      <c r="M57" s="71">
        <v>6329.6728515625</v>
      </c>
      <c r="N57" s="71">
        <v>6488.2822265625</v>
      </c>
      <c r="O57" s="72"/>
      <c r="P57" s="73"/>
      <c r="Q57" s="73"/>
      <c r="R57" s="81"/>
      <c r="S57" s="45">
        <v>1</v>
      </c>
      <c r="T57" s="45">
        <v>1</v>
      </c>
      <c r="U57" s="46">
        <v>2</v>
      </c>
      <c r="V57" s="46">
        <v>4.1929999999999997E-3</v>
      </c>
      <c r="W57" s="47"/>
      <c r="X57" s="47"/>
      <c r="Y57" s="47"/>
      <c r="Z57" s="46"/>
      <c r="AA57" s="68">
        <v>57</v>
      </c>
      <c r="AB57"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57" s="69"/>
      <c r="AD57" t="s">
        <v>3102</v>
      </c>
      <c r="AE57" s="77" t="s">
        <v>3370</v>
      </c>
      <c r="AF57">
        <v>12362</v>
      </c>
      <c r="AG57">
        <v>2003</v>
      </c>
      <c r="AH57">
        <v>4920</v>
      </c>
      <c r="AI57">
        <v>36</v>
      </c>
      <c r="AJ57">
        <v>37355</v>
      </c>
      <c r="AK57">
        <v>1108</v>
      </c>
      <c r="AL57" t="b">
        <v>0</v>
      </c>
      <c r="AM57" s="76">
        <v>41068.254513888889</v>
      </c>
      <c r="AO57" t="s">
        <v>4009</v>
      </c>
      <c r="AV57">
        <v>1.6108071047465201E+18</v>
      </c>
      <c r="AX57" t="b">
        <v>0</v>
      </c>
      <c r="BA57" t="b">
        <v>0</v>
      </c>
      <c r="BB57" t="b">
        <v>0</v>
      </c>
      <c r="BC57" t="b">
        <v>1</v>
      </c>
      <c r="BD57" t="b">
        <v>0</v>
      </c>
      <c r="BE57" t="b">
        <v>1</v>
      </c>
      <c r="BF57" t="b">
        <v>0</v>
      </c>
      <c r="BG57" t="b">
        <v>0</v>
      </c>
      <c r="BH57" s="79" t="str">
        <f>HYPERLINK("https://pbs.twimg.com/profile_banners/602589702/1610156159")</f>
        <v>https://pbs.twimg.com/profile_banners/602589702/1610156159</v>
      </c>
      <c r="BJ57" t="s">
        <v>4320</v>
      </c>
      <c r="BK57" t="b">
        <v>0</v>
      </c>
      <c r="BM57" t="s">
        <v>66</v>
      </c>
      <c r="BN57" t="s">
        <v>4322</v>
      </c>
      <c r="BO57" s="79" t="str">
        <f>HYPERLINK("https://twitter.com/isidromz")</f>
        <v>https://twitter.com/isidromz</v>
      </c>
      <c r="BP57" s="112" t="str">
        <f>REPLACE(INDEX(GroupVertices[Group], MATCH("~"&amp;Vertices[[#This Row],[Vertex]],GroupVertices[Vertex],0)),1,1,"")</f>
        <v>40</v>
      </c>
      <c r="BQ57" s="2"/>
    </row>
    <row r="58" spans="1:69" x14ac:dyDescent="0.25">
      <c r="A58" s="61" t="s">
        <v>489</v>
      </c>
      <c r="B58" s="62"/>
      <c r="C58" s="62"/>
      <c r="D58" s="63">
        <v>1.5251851851851852</v>
      </c>
      <c r="E58" s="65"/>
      <c r="F58" s="97" t="str">
        <f>HYPERLINK("https://pbs.twimg.com/profile_images/1841203366229098505/aQdj2JLu_normal.jpg")</f>
        <v>https://pbs.twimg.com/profile_images/1841203366229098505/aQdj2JLu_normal.jpg</v>
      </c>
      <c r="G58" s="62"/>
      <c r="H58" s="66"/>
      <c r="I58" s="67"/>
      <c r="J58" s="67"/>
      <c r="K58" s="66" t="s">
        <v>4777</v>
      </c>
      <c r="L58" s="70"/>
      <c r="M58" s="71">
        <v>3915.8232421875</v>
      </c>
      <c r="N58" s="71">
        <v>4054.322265625</v>
      </c>
      <c r="O58" s="72"/>
      <c r="P58" s="73"/>
      <c r="Q58" s="73"/>
      <c r="R58" s="81"/>
      <c r="S58" s="45">
        <v>1</v>
      </c>
      <c r="T58" s="45">
        <v>1</v>
      </c>
      <c r="U58" s="46">
        <v>2</v>
      </c>
      <c r="V58" s="46">
        <v>4.1929999999999997E-3</v>
      </c>
      <c r="W58" s="47"/>
      <c r="X58" s="47"/>
      <c r="Y58" s="47"/>
      <c r="Z58" s="46"/>
      <c r="AA58" s="68">
        <v>58</v>
      </c>
      <c r="AB58"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58" s="69"/>
      <c r="AD58" t="s">
        <v>3128</v>
      </c>
      <c r="AE58" s="77" t="s">
        <v>2638</v>
      </c>
      <c r="AF58">
        <v>79699</v>
      </c>
      <c r="AG58">
        <v>38</v>
      </c>
      <c r="AH58">
        <v>60500</v>
      </c>
      <c r="AI58">
        <v>427</v>
      </c>
      <c r="AJ58">
        <v>8433</v>
      </c>
      <c r="AK58">
        <v>19446</v>
      </c>
      <c r="AL58" t="b">
        <v>0</v>
      </c>
      <c r="AM58" s="76">
        <v>42813.56077546296</v>
      </c>
      <c r="AN58" t="s">
        <v>3623</v>
      </c>
      <c r="AO58" t="s">
        <v>4034</v>
      </c>
      <c r="AP58" s="79" t="str">
        <f>HYPERLINK("https://t.co/B7sT60HRVO")</f>
        <v>https://t.co/B7sT60HRVO</v>
      </c>
      <c r="AQ58" s="79" t="str">
        <f>HYPERLINK("https://www.youtube.com/MasQuePelotas")</f>
        <v>https://www.youtube.com/MasQuePelotas</v>
      </c>
      <c r="AR58" t="s">
        <v>4226</v>
      </c>
      <c r="AS58" s="79" t="str">
        <f>HYPERLINK("https://t.co/ovfV2ttALR")</f>
        <v>https://t.co/ovfV2ttALR</v>
      </c>
      <c r="AT58" s="79" t="str">
        <f>HYPERLINK("http://masquepelotas.es/")</f>
        <v>http://masquepelotas.es/</v>
      </c>
      <c r="AU58" t="s">
        <v>4317</v>
      </c>
      <c r="AV58">
        <v>1.9295590942071401E+18</v>
      </c>
      <c r="AW58" s="79" t="str">
        <f>HYPERLINK("https://t.co/B7sT60HRVO")</f>
        <v>https://t.co/B7sT60HRVO</v>
      </c>
      <c r="AX58" t="b">
        <v>1</v>
      </c>
      <c r="BA58" t="b">
        <v>1</v>
      </c>
      <c r="BB58" t="b">
        <v>1</v>
      </c>
      <c r="BC58" t="b">
        <v>1</v>
      </c>
      <c r="BD58" t="b">
        <v>0</v>
      </c>
      <c r="BE58" t="b">
        <v>1</v>
      </c>
      <c r="BF58" t="b">
        <v>0</v>
      </c>
      <c r="BG58" t="b">
        <v>0</v>
      </c>
      <c r="BH58" s="79" t="str">
        <f>HYPERLINK("https://pbs.twimg.com/profile_banners/843453886321119234/1748769576")</f>
        <v>https://pbs.twimg.com/profile_banners/843453886321119234/1748769576</v>
      </c>
      <c r="BJ58" t="s">
        <v>4320</v>
      </c>
      <c r="BK58" t="b">
        <v>0</v>
      </c>
      <c r="BM58" t="s">
        <v>66</v>
      </c>
      <c r="BN58" t="s">
        <v>4322</v>
      </c>
      <c r="BO58" s="79" t="str">
        <f>HYPERLINK("https://twitter.com/mas_que_pelotas")</f>
        <v>https://twitter.com/mas_que_pelotas</v>
      </c>
      <c r="BP58" s="112" t="str">
        <f>REPLACE(INDEX(GroupVertices[Group], MATCH("~"&amp;Vertices[[#This Row],[Vertex]],GroupVertices[Vertex],0)),1,1,"")</f>
        <v>33</v>
      </c>
      <c r="BQ58" s="2"/>
    </row>
    <row r="59" spans="1:69" x14ac:dyDescent="0.25">
      <c r="A59" s="61" t="s">
        <v>368</v>
      </c>
      <c r="B59" s="62"/>
      <c r="C59" s="62"/>
      <c r="D59" s="63">
        <v>1.5125925925925925</v>
      </c>
      <c r="E59" s="65"/>
      <c r="F59" s="97" t="str">
        <f>HYPERLINK("https://pbs.twimg.com/profile_images/499222004407341059/xUk2fHeS_normal.jpeg")</f>
        <v>https://pbs.twimg.com/profile_images/499222004407341059/xUk2fHeS_normal.jpeg</v>
      </c>
      <c r="G59" s="62"/>
      <c r="H59" s="66"/>
      <c r="I59" s="67"/>
      <c r="J59" s="67"/>
      <c r="K59" s="66" t="s">
        <v>4594</v>
      </c>
      <c r="L59" s="70"/>
      <c r="M59" s="71">
        <v>2983.83154296875</v>
      </c>
      <c r="N59" s="71">
        <v>6377.3486328125</v>
      </c>
      <c r="O59" s="72"/>
      <c r="P59" s="73"/>
      <c r="Q59" s="73"/>
      <c r="R59" s="81"/>
      <c r="S59" s="45">
        <v>0</v>
      </c>
      <c r="T59" s="45">
        <v>2</v>
      </c>
      <c r="U59" s="46">
        <v>1</v>
      </c>
      <c r="V59" s="46">
        <v>4.7920000000000003E-3</v>
      </c>
      <c r="W59" s="47"/>
      <c r="X59" s="47"/>
      <c r="Y59" s="47"/>
      <c r="Z59" s="46"/>
      <c r="AA59" s="68">
        <v>59</v>
      </c>
      <c r="AB59"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59" s="69"/>
      <c r="AD59" t="s">
        <v>2953</v>
      </c>
      <c r="AE59" s="77" t="s">
        <v>3288</v>
      </c>
      <c r="AF59">
        <v>2086</v>
      </c>
      <c r="AG59">
        <v>2632</v>
      </c>
      <c r="AH59">
        <v>21903</v>
      </c>
      <c r="AI59">
        <v>16</v>
      </c>
      <c r="AJ59">
        <v>1860</v>
      </c>
      <c r="AK59">
        <v>12840</v>
      </c>
      <c r="AL59" t="b">
        <v>0</v>
      </c>
      <c r="AM59" s="76">
        <v>41200.45884259259</v>
      </c>
      <c r="AN59" t="s">
        <v>3535</v>
      </c>
      <c r="AO59" t="s">
        <v>3873</v>
      </c>
      <c r="AP59" s="79" t="str">
        <f>HYPERLINK("https://t.co/TPnhgwOEhI")</f>
        <v>https://t.co/TPnhgwOEhI</v>
      </c>
      <c r="AQ59" s="79" t="str">
        <f>HYPERLINK("http://www.loperadigital.com")</f>
        <v>http://www.loperadigital.com</v>
      </c>
      <c r="AR59" t="s">
        <v>1175</v>
      </c>
      <c r="AW59" s="79" t="str">
        <f>HYPERLINK("https://t.co/TPnhgwOEhI")</f>
        <v>https://t.co/TPnhgwOEhI</v>
      </c>
      <c r="AX59" t="b">
        <v>1</v>
      </c>
      <c r="BA59" t="b">
        <v>0</v>
      </c>
      <c r="BB59" t="b">
        <v>1</v>
      </c>
      <c r="BC59" t="b">
        <v>1</v>
      </c>
      <c r="BD59" t="b">
        <v>0</v>
      </c>
      <c r="BE59" t="b">
        <v>0</v>
      </c>
      <c r="BF59" t="b">
        <v>0</v>
      </c>
      <c r="BG59" t="b">
        <v>0</v>
      </c>
      <c r="BH59" s="79" t="str">
        <f>HYPERLINK("https://pbs.twimg.com/profile_banners/888567234/1652100897")</f>
        <v>https://pbs.twimg.com/profile_banners/888567234/1652100897</v>
      </c>
      <c r="BJ59" t="s">
        <v>4320</v>
      </c>
      <c r="BK59" t="b">
        <v>0</v>
      </c>
      <c r="BM59" t="s">
        <v>66</v>
      </c>
      <c r="BN59" t="s">
        <v>4322</v>
      </c>
      <c r="BO59" s="79" t="str">
        <f>HYPERLINK("https://twitter.com/loperadigital")</f>
        <v>https://twitter.com/loperadigital</v>
      </c>
      <c r="BP59" s="112" t="str">
        <f>REPLACE(INDEX(GroupVertices[Group], MATCH("~"&amp;Vertices[[#This Row],[Vertex]],GroupVertices[Vertex],0)),1,1,"")</f>
        <v>14</v>
      </c>
      <c r="BQ59" s="2"/>
    </row>
    <row r="60" spans="1:69" x14ac:dyDescent="0.25">
      <c r="A60" s="61" t="s">
        <v>390</v>
      </c>
      <c r="B60" s="62"/>
      <c r="C60" s="62"/>
      <c r="D60" s="63">
        <v>1.5125925925925925</v>
      </c>
      <c r="E60" s="65"/>
      <c r="F60" s="97" t="str">
        <f>HYPERLINK("https://pbs.twimg.com/profile_images/1857508029559615488/bxDQ4VnG_normal.jpg")</f>
        <v>https://pbs.twimg.com/profile_images/1857508029559615488/bxDQ4VnG_normal.jpg</v>
      </c>
      <c r="G60" s="62"/>
      <c r="H60" s="66"/>
      <c r="I60" s="67"/>
      <c r="J60" s="67"/>
      <c r="K60" s="66" t="s">
        <v>4639</v>
      </c>
      <c r="L60" s="70"/>
      <c r="M60" s="71">
        <v>5463.97802734375</v>
      </c>
      <c r="N60" s="71">
        <v>3555.53515625</v>
      </c>
      <c r="O60" s="72"/>
      <c r="P60" s="73"/>
      <c r="Q60" s="73"/>
      <c r="R60" s="81"/>
      <c r="S60" s="45">
        <v>0</v>
      </c>
      <c r="T60" s="45">
        <v>3</v>
      </c>
      <c r="U60" s="46">
        <v>1</v>
      </c>
      <c r="V60" s="46">
        <v>6.2890000000000003E-3</v>
      </c>
      <c r="W60" s="47"/>
      <c r="X60" s="47"/>
      <c r="Y60" s="47"/>
      <c r="Z60" s="46"/>
      <c r="AA60" s="68">
        <v>60</v>
      </c>
      <c r="AB60"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60" s="69"/>
      <c r="AD60" t="s">
        <v>2998</v>
      </c>
      <c r="AE60" s="77" t="s">
        <v>2603</v>
      </c>
      <c r="AF60">
        <v>164</v>
      </c>
      <c r="AG60">
        <v>227</v>
      </c>
      <c r="AH60">
        <v>5143</v>
      </c>
      <c r="AI60">
        <v>2</v>
      </c>
      <c r="AJ60">
        <v>2825</v>
      </c>
      <c r="AK60">
        <v>456</v>
      </c>
      <c r="AL60" t="b">
        <v>0</v>
      </c>
      <c r="AM60" s="76">
        <v>44780.634328703702</v>
      </c>
      <c r="AN60" t="s">
        <v>3555</v>
      </c>
      <c r="AO60" t="s">
        <v>3914</v>
      </c>
      <c r="AX60" t="b">
        <v>0</v>
      </c>
      <c r="BA60" t="b">
        <v>0</v>
      </c>
      <c r="BB60" t="b">
        <v>0</v>
      </c>
      <c r="BC60" t="b">
        <v>1</v>
      </c>
      <c r="BD60" t="b">
        <v>0</v>
      </c>
      <c r="BE60" t="b">
        <v>0</v>
      </c>
      <c r="BF60" t="b">
        <v>0</v>
      </c>
      <c r="BG60" t="b">
        <v>0</v>
      </c>
      <c r="BH60" s="79" t="str">
        <f>HYPERLINK("https://pbs.twimg.com/profile_banners/1556297433742811137/1737745197")</f>
        <v>https://pbs.twimg.com/profile_banners/1556297433742811137/1737745197</v>
      </c>
      <c r="BJ60" t="s">
        <v>4320</v>
      </c>
      <c r="BK60" t="b">
        <v>0</v>
      </c>
      <c r="BM60" t="s">
        <v>66</v>
      </c>
      <c r="BN60" t="s">
        <v>4322</v>
      </c>
      <c r="BO60" s="79" t="str">
        <f>HYPERLINK("https://twitter.com/varucoo02")</f>
        <v>https://twitter.com/varucoo02</v>
      </c>
      <c r="BP60" s="112" t="str">
        <f>REPLACE(INDEX(GroupVertices[Group], MATCH("~"&amp;Vertices[[#This Row],[Vertex]],GroupVertices[Vertex],0)),1,1,"")</f>
        <v>27</v>
      </c>
      <c r="BQ60" s="2"/>
    </row>
    <row r="61" spans="1:69" x14ac:dyDescent="0.25">
      <c r="A61" s="61" t="s">
        <v>410</v>
      </c>
      <c r="B61" s="62"/>
      <c r="C61" s="62"/>
      <c r="D61" s="63">
        <v>1.5125925925925925</v>
      </c>
      <c r="E61" s="65"/>
      <c r="F61" s="97" t="str">
        <f>HYPERLINK("https://pbs.twimg.com/profile_images/1885020554165456896/chwbeVvJ_normal.jpg")</f>
        <v>https://pbs.twimg.com/profile_images/1885020554165456896/chwbeVvJ_normal.jpg</v>
      </c>
      <c r="G61" s="62"/>
      <c r="H61" s="66"/>
      <c r="I61" s="67"/>
      <c r="J61" s="67"/>
      <c r="K61" s="66" t="s">
        <v>4642</v>
      </c>
      <c r="L61" s="70"/>
      <c r="M61" s="71">
        <v>6116.9365234375</v>
      </c>
      <c r="N61" s="71">
        <v>3468.676025390625</v>
      </c>
      <c r="O61" s="72"/>
      <c r="P61" s="73"/>
      <c r="Q61" s="73"/>
      <c r="R61" s="81"/>
      <c r="S61" s="45">
        <v>1</v>
      </c>
      <c r="T61" s="45">
        <v>2</v>
      </c>
      <c r="U61" s="46">
        <v>1</v>
      </c>
      <c r="V61" s="46">
        <v>6.2890000000000003E-3</v>
      </c>
      <c r="W61" s="47"/>
      <c r="X61" s="47"/>
      <c r="Y61" s="47"/>
      <c r="Z61" s="46"/>
      <c r="AA61" s="68">
        <v>61</v>
      </c>
      <c r="AB61"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61" s="69"/>
      <c r="AD61" t="s">
        <v>3001</v>
      </c>
      <c r="AE61" s="77" t="s">
        <v>2455</v>
      </c>
      <c r="AF61">
        <v>81</v>
      </c>
      <c r="AG61">
        <v>129</v>
      </c>
      <c r="AH61">
        <v>6763</v>
      </c>
      <c r="AI61">
        <v>0</v>
      </c>
      <c r="AJ61">
        <v>2637</v>
      </c>
      <c r="AK61">
        <v>361</v>
      </c>
      <c r="AL61" t="b">
        <v>0</v>
      </c>
      <c r="AM61" s="76">
        <v>41594.953611111108</v>
      </c>
      <c r="AN61" t="s">
        <v>3558</v>
      </c>
      <c r="AO61" t="s">
        <v>3917</v>
      </c>
      <c r="AS61" s="79" t="str">
        <f>HYPERLINK("https://t.co/8erRwcQ0bR")</f>
        <v>https://t.co/8erRwcQ0bR</v>
      </c>
      <c r="AT61" s="79" t="str">
        <f>HYPERLINK("https://curiouscat.me/ReignOfMyDays")</f>
        <v>https://curiouscat.me/ReignOfMyDays</v>
      </c>
      <c r="AU61" t="s">
        <v>4304</v>
      </c>
      <c r="AV61">
        <v>1.9140265230880699E+18</v>
      </c>
      <c r="AX61" t="b">
        <v>0</v>
      </c>
      <c r="BA61" t="b">
        <v>0</v>
      </c>
      <c r="BB61" t="b">
        <v>0</v>
      </c>
      <c r="BC61" t="b">
        <v>0</v>
      </c>
      <c r="BD61" t="b">
        <v>0</v>
      </c>
      <c r="BE61" t="b">
        <v>1</v>
      </c>
      <c r="BF61" t="b">
        <v>0</v>
      </c>
      <c r="BG61" t="b">
        <v>0</v>
      </c>
      <c r="BH61" s="79" t="str">
        <f>HYPERLINK("https://pbs.twimg.com/profile_banners/2198531940/1738258961")</f>
        <v>https://pbs.twimg.com/profile_banners/2198531940/1738258961</v>
      </c>
      <c r="BJ61" t="s">
        <v>4320</v>
      </c>
      <c r="BK61" t="b">
        <v>0</v>
      </c>
      <c r="BM61" t="s">
        <v>66</v>
      </c>
      <c r="BN61" t="s">
        <v>4322</v>
      </c>
      <c r="BO61" s="79" t="str">
        <f>HYPERLINK("https://twitter.com/reignofmydays")</f>
        <v>https://twitter.com/reignofmydays</v>
      </c>
      <c r="BP61" s="112" t="str">
        <f>REPLACE(INDEX(GroupVertices[Group], MATCH("~"&amp;Vertices[[#This Row],[Vertex]],GroupVertices[Vertex],0)),1,1,"")</f>
        <v>27</v>
      </c>
      <c r="BQ61" s="2"/>
    </row>
    <row r="62" spans="1:69" x14ac:dyDescent="0.25">
      <c r="A62" s="61" t="s">
        <v>262</v>
      </c>
      <c r="B62" s="62"/>
      <c r="C62" s="62"/>
      <c r="D62" s="63">
        <v>1.5107936525925927</v>
      </c>
      <c r="E62" s="65"/>
      <c r="F62" s="97" t="str">
        <f>HYPERLINK("https://pbs.twimg.com/profile_images/1783344205856710656/w1YDq-9g_normal.jpg")</f>
        <v>https://pbs.twimg.com/profile_images/1783344205856710656/w1YDq-9g_normal.jpg</v>
      </c>
      <c r="G62" s="62"/>
      <c r="H62" s="66"/>
      <c r="I62" s="67"/>
      <c r="J62" s="67"/>
      <c r="K62" s="66" t="s">
        <v>4399</v>
      </c>
      <c r="L62" s="70"/>
      <c r="M62" s="71">
        <v>5406.81689453125</v>
      </c>
      <c r="N62" s="71">
        <v>7890.6416015625</v>
      </c>
      <c r="O62" s="72"/>
      <c r="P62" s="73"/>
      <c r="Q62" s="73"/>
      <c r="R62" s="81"/>
      <c r="S62" s="45">
        <v>0</v>
      </c>
      <c r="T62" s="45">
        <v>2</v>
      </c>
      <c r="U62" s="46">
        <v>0.85714299999999999</v>
      </c>
      <c r="V62" s="46">
        <v>1.1034E-2</v>
      </c>
      <c r="W62" s="47"/>
      <c r="X62" s="47"/>
      <c r="Y62" s="47"/>
      <c r="Z62" s="46"/>
      <c r="AA62" s="68">
        <v>62</v>
      </c>
      <c r="AB62"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62" s="69"/>
      <c r="AD62" t="s">
        <v>2761</v>
      </c>
      <c r="AE62" s="77" t="s">
        <v>2550</v>
      </c>
      <c r="AF62">
        <v>408</v>
      </c>
      <c r="AG62">
        <v>1134</v>
      </c>
      <c r="AH62">
        <v>4750</v>
      </c>
      <c r="AI62">
        <v>1</v>
      </c>
      <c r="AJ62">
        <v>1045</v>
      </c>
      <c r="AK62">
        <v>562</v>
      </c>
      <c r="AL62" t="b">
        <v>0</v>
      </c>
      <c r="AM62" s="76">
        <v>44657.145289351851</v>
      </c>
      <c r="AO62" t="s">
        <v>3704</v>
      </c>
      <c r="AX62" t="b">
        <v>0</v>
      </c>
      <c r="BA62" t="b">
        <v>1</v>
      </c>
      <c r="BB62" t="b">
        <v>1</v>
      </c>
      <c r="BC62" t="b">
        <v>1</v>
      </c>
      <c r="BD62" t="b">
        <v>0</v>
      </c>
      <c r="BE62" t="b">
        <v>0</v>
      </c>
      <c r="BF62" t="b">
        <v>0</v>
      </c>
      <c r="BG62" t="b">
        <v>0</v>
      </c>
      <c r="BJ62" t="s">
        <v>4320</v>
      </c>
      <c r="BK62" t="b">
        <v>0</v>
      </c>
      <c r="BM62" t="s">
        <v>66</v>
      </c>
      <c r="BN62" t="s">
        <v>4322</v>
      </c>
      <c r="BO62" s="79" t="str">
        <f>HYPERLINK("https://twitter.com/tel81296369")</f>
        <v>https://twitter.com/tel81296369</v>
      </c>
      <c r="BP62" s="112" t="str">
        <f>REPLACE(INDEX(GroupVertices[Group], MATCH("~"&amp;Vertices[[#This Row],[Vertex]],GroupVertices[Vertex],0)),1,1,"")</f>
        <v>6</v>
      </c>
      <c r="BQ62" s="2"/>
    </row>
    <row r="63" spans="1:69" x14ac:dyDescent="0.25">
      <c r="A63" s="61" t="s">
        <v>272</v>
      </c>
      <c r="B63" s="62"/>
      <c r="C63" s="62"/>
      <c r="D63" s="63">
        <v>1.5107936525925927</v>
      </c>
      <c r="E63" s="65"/>
      <c r="F63" s="97" t="str">
        <f>HYPERLINK("https://pbs.twimg.com/profile_images/1809767233171628032/v3AxLzHS_normal.jpg")</f>
        <v>https://pbs.twimg.com/profile_images/1809767233171628032/v3AxLzHS_normal.jpg</v>
      </c>
      <c r="G63" s="62"/>
      <c r="H63" s="66"/>
      <c r="I63" s="67"/>
      <c r="J63" s="67"/>
      <c r="K63" s="66" t="s">
        <v>4425</v>
      </c>
      <c r="L63" s="70"/>
      <c r="M63" s="71">
        <v>7395.95361328125</v>
      </c>
      <c r="N63" s="71">
        <v>4985.80322265625</v>
      </c>
      <c r="O63" s="72"/>
      <c r="P63" s="73"/>
      <c r="Q63" s="73"/>
      <c r="R63" s="81"/>
      <c r="S63" s="45">
        <v>0</v>
      </c>
      <c r="T63" s="45">
        <v>2</v>
      </c>
      <c r="U63" s="46">
        <v>0.85714299999999999</v>
      </c>
      <c r="V63" s="46">
        <v>1.1034E-2</v>
      </c>
      <c r="W63" s="47"/>
      <c r="X63" s="47"/>
      <c r="Y63" s="47"/>
      <c r="Z63" s="46"/>
      <c r="AA63" s="68">
        <v>63</v>
      </c>
      <c r="AB63"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63" s="69"/>
      <c r="AD63" t="s">
        <v>2786</v>
      </c>
      <c r="AE63" s="77" t="s">
        <v>2556</v>
      </c>
      <c r="AF63">
        <v>5</v>
      </c>
      <c r="AG63">
        <v>72</v>
      </c>
      <c r="AH63">
        <v>297</v>
      </c>
      <c r="AI63">
        <v>0</v>
      </c>
      <c r="AJ63">
        <v>86</v>
      </c>
      <c r="AK63">
        <v>1</v>
      </c>
      <c r="AL63" t="b">
        <v>0</v>
      </c>
      <c r="AM63" s="76">
        <v>45480.066701388889</v>
      </c>
      <c r="AX63" t="b">
        <v>0</v>
      </c>
      <c r="BA63" t="b">
        <v>1</v>
      </c>
      <c r="BB63" t="b">
        <v>1</v>
      </c>
      <c r="BC63" t="b">
        <v>1</v>
      </c>
      <c r="BD63" t="b">
        <v>0</v>
      </c>
      <c r="BE63" t="b">
        <v>0</v>
      </c>
      <c r="BF63" t="b">
        <v>0</v>
      </c>
      <c r="BG63" t="b">
        <v>0</v>
      </c>
      <c r="BJ63" t="s">
        <v>4320</v>
      </c>
      <c r="BK63" t="b">
        <v>0</v>
      </c>
      <c r="BM63" t="s">
        <v>66</v>
      </c>
      <c r="BN63" t="s">
        <v>4322</v>
      </c>
      <c r="BO63" s="79" t="str">
        <f>HYPERLINK("https://twitter.com/romerorome7324")</f>
        <v>https://twitter.com/romerorome7324</v>
      </c>
      <c r="BP63" s="112" t="str">
        <f>REPLACE(INDEX(GroupVertices[Group], MATCH("~"&amp;Vertices[[#This Row],[Vertex]],GroupVertices[Vertex],0)),1,1,"")</f>
        <v>6</v>
      </c>
      <c r="BQ63" s="2"/>
    </row>
    <row r="64" spans="1:69" x14ac:dyDescent="0.25">
      <c r="A64" s="61" t="s">
        <v>295</v>
      </c>
      <c r="B64" s="62"/>
      <c r="C64" s="62"/>
      <c r="D64" s="63">
        <v>1.5107936525925927</v>
      </c>
      <c r="E64" s="65"/>
      <c r="F64" s="97" t="str">
        <f>HYPERLINK("https://pbs.twimg.com/profile_images/1440789113758633984/7db7o4-z_normal.jpg")</f>
        <v>https://pbs.twimg.com/profile_images/1440789113758633984/7db7o4-z_normal.jpg</v>
      </c>
      <c r="G64" s="62"/>
      <c r="H64" s="66"/>
      <c r="I64" s="67"/>
      <c r="J64" s="67"/>
      <c r="K64" s="66" t="s">
        <v>4472</v>
      </c>
      <c r="L64" s="70"/>
      <c r="M64" s="71">
        <v>5177.17529296875</v>
      </c>
      <c r="N64" s="71">
        <v>6213.18701171875</v>
      </c>
      <c r="O64" s="72"/>
      <c r="P64" s="73"/>
      <c r="Q64" s="73"/>
      <c r="R64" s="81"/>
      <c r="S64" s="45">
        <v>0</v>
      </c>
      <c r="T64" s="45">
        <v>2</v>
      </c>
      <c r="U64" s="46">
        <v>0.85714299999999999</v>
      </c>
      <c r="V64" s="46">
        <v>1.1034E-2</v>
      </c>
      <c r="W64" s="47"/>
      <c r="X64" s="47"/>
      <c r="Y64" s="47"/>
      <c r="Z64" s="46"/>
      <c r="AA64" s="68">
        <v>64</v>
      </c>
      <c r="AB64"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64" s="69"/>
      <c r="AD64" t="s">
        <v>2833</v>
      </c>
      <c r="AE64" s="77" t="s">
        <v>3218</v>
      </c>
      <c r="AF64">
        <v>871</v>
      </c>
      <c r="AG64">
        <v>680</v>
      </c>
      <c r="AH64">
        <v>27787</v>
      </c>
      <c r="AI64">
        <v>7</v>
      </c>
      <c r="AJ64">
        <v>20</v>
      </c>
      <c r="AK64">
        <v>353</v>
      </c>
      <c r="AL64" t="b">
        <v>0</v>
      </c>
      <c r="AM64" s="76">
        <v>41374.087800925925</v>
      </c>
      <c r="AN64" t="s">
        <v>3476</v>
      </c>
      <c r="AO64" t="s">
        <v>3763</v>
      </c>
      <c r="AX64" t="b">
        <v>0</v>
      </c>
      <c r="BA64" t="b">
        <v>0</v>
      </c>
      <c r="BB64" t="b">
        <v>1</v>
      </c>
      <c r="BC64" t="b">
        <v>1</v>
      </c>
      <c r="BD64" t="b">
        <v>0</v>
      </c>
      <c r="BE64" t="b">
        <v>0</v>
      </c>
      <c r="BF64" t="b">
        <v>0</v>
      </c>
      <c r="BG64" t="b">
        <v>0</v>
      </c>
      <c r="BH64" s="79" t="str">
        <f>HYPERLINK("https://pbs.twimg.com/profile_banners/1340756958/1632168775")</f>
        <v>https://pbs.twimg.com/profile_banners/1340756958/1632168775</v>
      </c>
      <c r="BJ64" t="s">
        <v>4320</v>
      </c>
      <c r="BK64" t="b">
        <v>0</v>
      </c>
      <c r="BM64" t="s">
        <v>66</v>
      </c>
      <c r="BN64" t="s">
        <v>4322</v>
      </c>
      <c r="BO64" s="79" t="str">
        <f>HYPERLINK("https://twitter.com/salgado1mauro")</f>
        <v>https://twitter.com/salgado1mauro</v>
      </c>
      <c r="BP64" s="112" t="str">
        <f>REPLACE(INDEX(GroupVertices[Group], MATCH("~"&amp;Vertices[[#This Row],[Vertex]],GroupVertices[Vertex],0)),1,1,"")</f>
        <v>6</v>
      </c>
      <c r="BQ64" s="2"/>
    </row>
    <row r="65" spans="1:69" x14ac:dyDescent="0.25">
      <c r="A65" s="61" t="s">
        <v>301</v>
      </c>
      <c r="B65" s="62"/>
      <c r="C65" s="62"/>
      <c r="D65" s="63">
        <v>1.5107936525925927</v>
      </c>
      <c r="E65" s="65"/>
      <c r="F65" s="97" t="str">
        <f>HYPERLINK("https://abs.twimg.com/sticky/default_profile_images/default_profile_normal.png")</f>
        <v>https://abs.twimg.com/sticky/default_profile_images/default_profile_normal.png</v>
      </c>
      <c r="G65" s="62"/>
      <c r="H65" s="66"/>
      <c r="I65" s="67"/>
      <c r="J65" s="67"/>
      <c r="K65" s="66" t="s">
        <v>4481</v>
      </c>
      <c r="L65" s="70"/>
      <c r="M65" s="71">
        <v>7647.8173828125</v>
      </c>
      <c r="N65" s="71">
        <v>4538.2958984375</v>
      </c>
      <c r="O65" s="72"/>
      <c r="P65" s="73"/>
      <c r="Q65" s="73"/>
      <c r="R65" s="81"/>
      <c r="S65" s="45">
        <v>0</v>
      </c>
      <c r="T65" s="45">
        <v>2</v>
      </c>
      <c r="U65" s="46">
        <v>0.85714299999999999</v>
      </c>
      <c r="V65" s="46">
        <v>1.1034E-2</v>
      </c>
      <c r="W65" s="47"/>
      <c r="X65" s="47"/>
      <c r="Y65" s="47"/>
      <c r="Z65" s="46"/>
      <c r="AA65" s="68">
        <v>65</v>
      </c>
      <c r="AB65"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65" s="69"/>
      <c r="AD65" t="s">
        <v>2842</v>
      </c>
      <c r="AE65" s="77" t="s">
        <v>2568</v>
      </c>
      <c r="AF65">
        <v>1</v>
      </c>
      <c r="AG65">
        <v>10</v>
      </c>
      <c r="AH65">
        <v>57</v>
      </c>
      <c r="AI65">
        <v>0</v>
      </c>
      <c r="AJ65">
        <v>102</v>
      </c>
      <c r="AK65">
        <v>0</v>
      </c>
      <c r="AL65" t="b">
        <v>0</v>
      </c>
      <c r="AM65" s="76">
        <v>45490.236261574071</v>
      </c>
      <c r="AX65" t="b">
        <v>0</v>
      </c>
      <c r="BA65" t="b">
        <v>0</v>
      </c>
      <c r="BB65" t="b">
        <v>1</v>
      </c>
      <c r="BC65" t="b">
        <v>1</v>
      </c>
      <c r="BD65" t="b">
        <v>1</v>
      </c>
      <c r="BE65" t="b">
        <v>0</v>
      </c>
      <c r="BF65" t="b">
        <v>0</v>
      </c>
      <c r="BG65" t="b">
        <v>0</v>
      </c>
      <c r="BJ65" t="s">
        <v>4320</v>
      </c>
      <c r="BK65" t="b">
        <v>0</v>
      </c>
      <c r="BM65" t="s">
        <v>66</v>
      </c>
      <c r="BN65" t="s">
        <v>4322</v>
      </c>
      <c r="BO65" s="79" t="str">
        <f>HYPERLINK("https://twitter.com/frejes561320")</f>
        <v>https://twitter.com/frejes561320</v>
      </c>
      <c r="BP65" s="112" t="str">
        <f>REPLACE(INDEX(GroupVertices[Group], MATCH("~"&amp;Vertices[[#This Row],[Vertex]],GroupVertices[Vertex],0)),1,1,"")</f>
        <v>6</v>
      </c>
      <c r="BQ65" s="2"/>
    </row>
    <row r="66" spans="1:69" x14ac:dyDescent="0.25">
      <c r="A66" s="61" t="s">
        <v>323</v>
      </c>
      <c r="B66" s="62"/>
      <c r="C66" s="62"/>
      <c r="D66" s="63">
        <v>1.5107936525925927</v>
      </c>
      <c r="E66" s="65"/>
      <c r="F66" s="97" t="str">
        <f>HYPERLINK("https://abs.twimg.com/sticky/default_profile_images/default_profile_normal.png")</f>
        <v>https://abs.twimg.com/sticky/default_profile_images/default_profile_normal.png</v>
      </c>
      <c r="G66" s="62"/>
      <c r="H66" s="66"/>
      <c r="I66" s="67"/>
      <c r="J66" s="67"/>
      <c r="K66" s="66" t="s">
        <v>4533</v>
      </c>
      <c r="L66" s="70"/>
      <c r="M66" s="71">
        <v>6678.36767578125</v>
      </c>
      <c r="N66" s="71">
        <v>8033.5126953125</v>
      </c>
      <c r="O66" s="72"/>
      <c r="P66" s="73"/>
      <c r="Q66" s="73"/>
      <c r="R66" s="81"/>
      <c r="S66" s="45">
        <v>0</v>
      </c>
      <c r="T66" s="45">
        <v>2</v>
      </c>
      <c r="U66" s="46">
        <v>0.85714299999999999</v>
      </c>
      <c r="V66" s="46">
        <v>1.1034E-2</v>
      </c>
      <c r="W66" s="47"/>
      <c r="X66" s="47"/>
      <c r="Y66" s="47"/>
      <c r="Z66" s="46"/>
      <c r="AA66" s="68">
        <v>66</v>
      </c>
      <c r="AB66"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66" s="69"/>
      <c r="AD66" t="s">
        <v>2893</v>
      </c>
      <c r="AE66" s="77" t="s">
        <v>2576</v>
      </c>
      <c r="AF66">
        <v>227</v>
      </c>
      <c r="AG66">
        <v>396</v>
      </c>
      <c r="AH66">
        <v>23943</v>
      </c>
      <c r="AI66">
        <v>2</v>
      </c>
      <c r="AJ66">
        <v>20954</v>
      </c>
      <c r="AK66">
        <v>2337</v>
      </c>
      <c r="AL66" t="b">
        <v>0</v>
      </c>
      <c r="AM66" s="76">
        <v>44831.871631944443</v>
      </c>
      <c r="AO66" t="s">
        <v>3818</v>
      </c>
      <c r="AX66" t="b">
        <v>0</v>
      </c>
      <c r="BA66" t="b">
        <v>0</v>
      </c>
      <c r="BB66" t="b">
        <v>1</v>
      </c>
      <c r="BC66" t="b">
        <v>1</v>
      </c>
      <c r="BD66" t="b">
        <v>1</v>
      </c>
      <c r="BE66" t="b">
        <v>1</v>
      </c>
      <c r="BF66" t="b">
        <v>0</v>
      </c>
      <c r="BG66" t="b">
        <v>0</v>
      </c>
      <c r="BJ66" t="s">
        <v>4320</v>
      </c>
      <c r="BK66" t="b">
        <v>0</v>
      </c>
      <c r="BM66" t="s">
        <v>66</v>
      </c>
      <c r="BN66" t="s">
        <v>4322</v>
      </c>
      <c r="BO66" s="79" t="str">
        <f>HYPERLINK("https://twitter.com/yordi466544702")</f>
        <v>https://twitter.com/yordi466544702</v>
      </c>
      <c r="BP66" s="112" t="str">
        <f>REPLACE(INDEX(GroupVertices[Group], MATCH("~"&amp;Vertices[[#This Row],[Vertex]],GroupVertices[Vertex],0)),1,1,"")</f>
        <v>6</v>
      </c>
      <c r="BQ66" s="2"/>
    </row>
    <row r="67" spans="1:69" x14ac:dyDescent="0.25">
      <c r="A67" s="61" t="s">
        <v>347</v>
      </c>
      <c r="B67" s="62"/>
      <c r="C67" s="62"/>
      <c r="D67" s="63">
        <v>1.5107936525925927</v>
      </c>
      <c r="E67" s="65"/>
      <c r="F67" s="97" t="str">
        <f>HYPERLINK("https://pbs.twimg.com/profile_images/1555697965628637184/7F37qMXy_normal.jpg")</f>
        <v>https://pbs.twimg.com/profile_images/1555697965628637184/7F37qMXy_normal.jpg</v>
      </c>
      <c r="G67" s="62"/>
      <c r="H67" s="66"/>
      <c r="I67" s="67"/>
      <c r="J67" s="67"/>
      <c r="K67" s="66" t="s">
        <v>4569</v>
      </c>
      <c r="L67" s="70"/>
      <c r="M67" s="71">
        <v>7351.36181640625</v>
      </c>
      <c r="N67" s="71">
        <v>8050.01806640625</v>
      </c>
      <c r="O67" s="72"/>
      <c r="P67" s="73"/>
      <c r="Q67" s="73"/>
      <c r="R67" s="81"/>
      <c r="S67" s="45">
        <v>0</v>
      </c>
      <c r="T67" s="45">
        <v>2</v>
      </c>
      <c r="U67" s="46">
        <v>0.85714299999999999</v>
      </c>
      <c r="V67" s="46">
        <v>1.1034E-2</v>
      </c>
      <c r="W67" s="47"/>
      <c r="X67" s="47"/>
      <c r="Y67" s="47"/>
      <c r="Z67" s="46"/>
      <c r="AA67" s="68">
        <v>67</v>
      </c>
      <c r="AB67"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67" s="69"/>
      <c r="AD67" t="s">
        <v>2928</v>
      </c>
      <c r="AE67" s="77" t="s">
        <v>3279</v>
      </c>
      <c r="AF67">
        <v>239</v>
      </c>
      <c r="AG67">
        <v>474</v>
      </c>
      <c r="AH67">
        <v>5242</v>
      </c>
      <c r="AI67">
        <v>8</v>
      </c>
      <c r="AJ67">
        <v>4295</v>
      </c>
      <c r="AK67">
        <v>140</v>
      </c>
      <c r="AL67" t="b">
        <v>0</v>
      </c>
      <c r="AM67" s="76">
        <v>40493.624363425923</v>
      </c>
      <c r="AN67" t="s">
        <v>3522</v>
      </c>
      <c r="AO67" t="s">
        <v>3851</v>
      </c>
      <c r="AV67">
        <v>1.5189845388815099E+18</v>
      </c>
      <c r="AX67" t="b">
        <v>0</v>
      </c>
      <c r="BA67" t="b">
        <v>0</v>
      </c>
      <c r="BB67" t="b">
        <v>0</v>
      </c>
      <c r="BC67" t="b">
        <v>1</v>
      </c>
      <c r="BD67" t="b">
        <v>0</v>
      </c>
      <c r="BE67" t="b">
        <v>1</v>
      </c>
      <c r="BF67" t="b">
        <v>0</v>
      </c>
      <c r="BG67" t="b">
        <v>0</v>
      </c>
      <c r="BH67" s="79" t="str">
        <f>HYPERLINK("https://pbs.twimg.com/profile_banners/214495593/1493650977")</f>
        <v>https://pbs.twimg.com/profile_banners/214495593/1493650977</v>
      </c>
      <c r="BJ67" t="s">
        <v>4320</v>
      </c>
      <c r="BK67" t="b">
        <v>0</v>
      </c>
      <c r="BM67" t="s">
        <v>66</v>
      </c>
      <c r="BN67" t="s">
        <v>4322</v>
      </c>
      <c r="BO67" s="79" t="str">
        <f>HYPERLINK("https://twitter.com/mrlegaljargon")</f>
        <v>https://twitter.com/mrlegaljargon</v>
      </c>
      <c r="BP67" s="112" t="str">
        <f>REPLACE(INDEX(GroupVertices[Group], MATCH("~"&amp;Vertices[[#This Row],[Vertex]],GroupVertices[Vertex],0)),1,1,"")</f>
        <v>6</v>
      </c>
      <c r="BQ67" s="2"/>
    </row>
    <row r="68" spans="1:69" x14ac:dyDescent="0.25">
      <c r="A68" s="61" t="s">
        <v>480</v>
      </c>
      <c r="B68" s="62"/>
      <c r="C68" s="62"/>
      <c r="D68" s="63">
        <v>1.5107936525925927</v>
      </c>
      <c r="E68" s="65"/>
      <c r="F68" s="97" t="str">
        <f>HYPERLINK("https://pbs.twimg.com/profile_images/938302761078284289/VsZ8xNng_normal.jpg")</f>
        <v>https://pbs.twimg.com/profile_images/938302761078284289/VsZ8xNng_normal.jpg</v>
      </c>
      <c r="G68" s="62"/>
      <c r="H68" s="66"/>
      <c r="I68" s="67"/>
      <c r="J68" s="67"/>
      <c r="K68" s="66" t="s">
        <v>4770</v>
      </c>
      <c r="L68" s="70"/>
      <c r="M68" s="71">
        <v>7869.44873046875</v>
      </c>
      <c r="N68" s="71">
        <v>4744.5400390625</v>
      </c>
      <c r="O68" s="72"/>
      <c r="P68" s="73"/>
      <c r="Q68" s="73"/>
      <c r="R68" s="81"/>
      <c r="S68" s="45">
        <v>0</v>
      </c>
      <c r="T68" s="45">
        <v>2</v>
      </c>
      <c r="U68" s="46">
        <v>0.85714299999999999</v>
      </c>
      <c r="V68" s="46">
        <v>1.1034E-2</v>
      </c>
      <c r="W68" s="47"/>
      <c r="X68" s="47"/>
      <c r="Y68" s="47"/>
      <c r="Z68" s="46"/>
      <c r="AA68" s="68">
        <v>68</v>
      </c>
      <c r="AB68"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68" s="69"/>
      <c r="AD68" t="s">
        <v>3122</v>
      </c>
      <c r="AE68" s="77" t="s">
        <v>2635</v>
      </c>
      <c r="AF68">
        <v>70</v>
      </c>
      <c r="AG68">
        <v>764</v>
      </c>
      <c r="AH68">
        <v>2660</v>
      </c>
      <c r="AI68">
        <v>0</v>
      </c>
      <c r="AJ68">
        <v>6</v>
      </c>
      <c r="AK68">
        <v>158</v>
      </c>
      <c r="AL68" t="b">
        <v>0</v>
      </c>
      <c r="AM68" s="76">
        <v>43038.324895833335</v>
      </c>
      <c r="AN68" t="s">
        <v>3618</v>
      </c>
      <c r="AO68" t="s">
        <v>4027</v>
      </c>
      <c r="AP68" s="79" t="str">
        <f>HYPERLINK("https://t.co/5iK2aTAiqj")</f>
        <v>https://t.co/5iK2aTAiqj</v>
      </c>
      <c r="AQ68" s="79" t="str">
        <f>HYPERLINK("http://migentededurangoyoutoube.com")</f>
        <v>http://migentededurangoyoutoube.com</v>
      </c>
      <c r="AR68" t="s">
        <v>4225</v>
      </c>
      <c r="AW68" s="79" t="str">
        <f>HYPERLINK("https://t.co/5iK2aTAiqj")</f>
        <v>https://t.co/5iK2aTAiqj</v>
      </c>
      <c r="AX68" t="b">
        <v>0</v>
      </c>
      <c r="BA68" t="b">
        <v>1</v>
      </c>
      <c r="BB68" t="b">
        <v>1</v>
      </c>
      <c r="BC68" t="b">
        <v>1</v>
      </c>
      <c r="BD68" t="b">
        <v>0</v>
      </c>
      <c r="BE68" t="b">
        <v>0</v>
      </c>
      <c r="BF68" t="b">
        <v>0</v>
      </c>
      <c r="BG68" t="b">
        <v>0</v>
      </c>
      <c r="BH68" s="79" t="str">
        <f>HYPERLINK("https://pbs.twimg.com/profile_banners/924905675884339200/1699699265")</f>
        <v>https://pbs.twimg.com/profile_banners/924905675884339200/1699699265</v>
      </c>
      <c r="BJ68" t="s">
        <v>4320</v>
      </c>
      <c r="BK68" t="b">
        <v>0</v>
      </c>
      <c r="BM68" t="s">
        <v>66</v>
      </c>
      <c r="BN68" t="s">
        <v>4322</v>
      </c>
      <c r="BO68" s="79" t="str">
        <f>HYPERLINK("https://twitter.com/migentededuran")</f>
        <v>https://twitter.com/migentededuran</v>
      </c>
      <c r="BP68" s="112" t="str">
        <f>REPLACE(INDEX(GroupVertices[Group], MATCH("~"&amp;Vertices[[#This Row],[Vertex]],GroupVertices[Vertex],0)),1,1,"")</f>
        <v>6</v>
      </c>
      <c r="BQ68" s="2"/>
    </row>
    <row r="69" spans="1:69" x14ac:dyDescent="0.25">
      <c r="A69" s="61" t="s">
        <v>276</v>
      </c>
      <c r="B69" s="62"/>
      <c r="C69" s="62"/>
      <c r="D69" s="63">
        <v>1.5062962962962962</v>
      </c>
      <c r="E69" s="65"/>
      <c r="F69" s="97" t="str">
        <f>HYPERLINK("https://pbs.twimg.com/profile_images/1492166058484146181/DcdGvZeU_normal.jpg")</f>
        <v>https://pbs.twimg.com/profile_images/1492166058484146181/DcdGvZeU_normal.jpg</v>
      </c>
      <c r="G69" s="62"/>
      <c r="H69" s="66"/>
      <c r="I69" s="67"/>
      <c r="J69" s="67"/>
      <c r="K69" s="66" t="s">
        <v>4431</v>
      </c>
      <c r="L69" s="70"/>
      <c r="M69" s="71">
        <v>4069.640869140625</v>
      </c>
      <c r="N69" s="71">
        <v>9054.826171875</v>
      </c>
      <c r="O69" s="72"/>
      <c r="P69" s="73"/>
      <c r="Q69" s="73"/>
      <c r="R69" s="81"/>
      <c r="S69" s="45">
        <v>0</v>
      </c>
      <c r="T69" s="45">
        <v>2</v>
      </c>
      <c r="U69" s="46">
        <v>0.5</v>
      </c>
      <c r="V69" s="46">
        <v>6.8609999999999999E-3</v>
      </c>
      <c r="W69" s="47"/>
      <c r="X69" s="47"/>
      <c r="Y69" s="47"/>
      <c r="Z69" s="46"/>
      <c r="AA69" s="68">
        <v>69</v>
      </c>
      <c r="AB69"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69" s="69"/>
      <c r="AD69" t="s">
        <v>2792</v>
      </c>
      <c r="AE69" s="77" t="s">
        <v>2559</v>
      </c>
      <c r="AF69">
        <v>145</v>
      </c>
      <c r="AG69">
        <v>370</v>
      </c>
      <c r="AH69">
        <v>2473</v>
      </c>
      <c r="AI69">
        <v>0</v>
      </c>
      <c r="AJ69">
        <v>76170</v>
      </c>
      <c r="AK69">
        <v>49</v>
      </c>
      <c r="AL69" t="b">
        <v>0</v>
      </c>
      <c r="AM69" s="76">
        <v>44603.66064814815</v>
      </c>
      <c r="AN69" t="s">
        <v>3452</v>
      </c>
      <c r="AO69" t="s">
        <v>3726</v>
      </c>
      <c r="AX69" t="b">
        <v>0</v>
      </c>
      <c r="BA69" t="b">
        <v>0</v>
      </c>
      <c r="BB69" t="b">
        <v>1</v>
      </c>
      <c r="BC69" t="b">
        <v>1</v>
      </c>
      <c r="BD69" t="b">
        <v>0</v>
      </c>
      <c r="BE69" t="b">
        <v>1</v>
      </c>
      <c r="BF69" t="b">
        <v>0</v>
      </c>
      <c r="BG69" t="b">
        <v>0</v>
      </c>
      <c r="BH69" s="79" t="str">
        <f>HYPERLINK("https://pbs.twimg.com/profile_banners/1492164312831561732/1644595218")</f>
        <v>https://pbs.twimg.com/profile_banners/1492164312831561732/1644595218</v>
      </c>
      <c r="BJ69" t="s">
        <v>4320</v>
      </c>
      <c r="BK69" t="b">
        <v>0</v>
      </c>
      <c r="BM69" t="s">
        <v>66</v>
      </c>
      <c r="BN69" t="s">
        <v>4322</v>
      </c>
      <c r="BO69" s="79" t="str">
        <f>HYPERLINK("https://twitter.com/pedrolo25778676")</f>
        <v>https://twitter.com/pedrolo25778676</v>
      </c>
      <c r="BP69" s="112" t="str">
        <f>REPLACE(INDEX(GroupVertices[Group], MATCH("~"&amp;Vertices[[#This Row],[Vertex]],GroupVertices[Vertex],0)),1,1,"")</f>
        <v>9</v>
      </c>
      <c r="BQ69" s="2"/>
    </row>
    <row r="70" spans="1:69" x14ac:dyDescent="0.25">
      <c r="A70" s="61" t="s">
        <v>445</v>
      </c>
      <c r="B70" s="62"/>
      <c r="C70" s="62"/>
      <c r="D70" s="63">
        <v>1.5062962962962962</v>
      </c>
      <c r="E70" s="65"/>
      <c r="F70" s="97" t="str">
        <f>HYPERLINK("https://pbs.twimg.com/profile_images/1624851060450795520/iHLGazs__normal.jpg")</f>
        <v>https://pbs.twimg.com/profile_images/1624851060450795520/iHLGazs__normal.jpg</v>
      </c>
      <c r="G70" s="62"/>
      <c r="H70" s="66"/>
      <c r="I70" s="67"/>
      <c r="J70" s="67"/>
      <c r="K70" s="66" t="s">
        <v>4722</v>
      </c>
      <c r="L70" s="70"/>
      <c r="M70" s="71">
        <v>6517.576171875</v>
      </c>
      <c r="N70" s="71">
        <v>6741.00244140625</v>
      </c>
      <c r="O70" s="72"/>
      <c r="P70" s="73"/>
      <c r="Q70" s="73"/>
      <c r="R70" s="81"/>
      <c r="S70" s="45">
        <v>0</v>
      </c>
      <c r="T70" s="45">
        <v>2</v>
      </c>
      <c r="U70" s="46">
        <v>0.5</v>
      </c>
      <c r="V70" s="46">
        <v>6.8609999999999999E-3</v>
      </c>
      <c r="W70" s="47"/>
      <c r="X70" s="47"/>
      <c r="Y70" s="47"/>
      <c r="Z70" s="46"/>
      <c r="AA70" s="68">
        <v>70</v>
      </c>
      <c r="AB70"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70" s="69"/>
      <c r="AD70" t="s">
        <v>3077</v>
      </c>
      <c r="AE70" s="77" t="s">
        <v>3360</v>
      </c>
      <c r="AF70">
        <v>1008</v>
      </c>
      <c r="AG70">
        <v>2210</v>
      </c>
      <c r="AH70">
        <v>29267</v>
      </c>
      <c r="AI70">
        <v>1</v>
      </c>
      <c r="AJ70">
        <v>14394</v>
      </c>
      <c r="AK70">
        <v>3251</v>
      </c>
      <c r="AL70" t="b">
        <v>0</v>
      </c>
      <c r="AM70" s="76">
        <v>40109.084861111114</v>
      </c>
      <c r="AN70" t="s">
        <v>3410</v>
      </c>
      <c r="AO70" t="s">
        <v>3987</v>
      </c>
      <c r="AX70" t="b">
        <v>0</v>
      </c>
      <c r="BA70" t="b">
        <v>0</v>
      </c>
      <c r="BB70" t="b">
        <v>1</v>
      </c>
      <c r="BC70" t="b">
        <v>0</v>
      </c>
      <c r="BD70" t="b">
        <v>0</v>
      </c>
      <c r="BE70" t="b">
        <v>1</v>
      </c>
      <c r="BF70" t="b">
        <v>0</v>
      </c>
      <c r="BG70" t="b">
        <v>0</v>
      </c>
      <c r="BH70" s="79" t="str">
        <f>HYPERLINK("https://pbs.twimg.com/profile_banners/84480432/1609068081")</f>
        <v>https://pbs.twimg.com/profile_banners/84480432/1609068081</v>
      </c>
      <c r="BJ70" t="s">
        <v>4320</v>
      </c>
      <c r="BK70" t="b">
        <v>0</v>
      </c>
      <c r="BM70" t="s">
        <v>66</v>
      </c>
      <c r="BN70" t="s">
        <v>4322</v>
      </c>
      <c r="BO70" s="79" t="str">
        <f>HYPERLINK("https://twitter.com/frederickbulzar")</f>
        <v>https://twitter.com/frederickbulzar</v>
      </c>
      <c r="BP70" s="112" t="str">
        <f>REPLACE(INDEX(GroupVertices[Group], MATCH("~"&amp;Vertices[[#This Row],[Vertex]],GroupVertices[Vertex],0)),1,1,"")</f>
        <v>9</v>
      </c>
      <c r="BQ70" s="2"/>
    </row>
    <row r="71" spans="1:69" x14ac:dyDescent="0.25">
      <c r="A71" s="61" t="s">
        <v>490</v>
      </c>
      <c r="B71" s="62"/>
      <c r="C71" s="62"/>
      <c r="D71" s="63">
        <v>1.5062962962962962</v>
      </c>
      <c r="E71" s="65"/>
      <c r="F71" s="97" t="str">
        <f>HYPERLINK("https://pbs.twimg.com/profile_images/621319101370265600/LLQLeSPi_normal.jpg")</f>
        <v>https://pbs.twimg.com/profile_images/621319101370265600/LLQLeSPi_normal.jpg</v>
      </c>
      <c r="G71" s="62"/>
      <c r="H71" s="66"/>
      <c r="I71" s="67"/>
      <c r="J71" s="67"/>
      <c r="K71" s="66" t="s">
        <v>4779</v>
      </c>
      <c r="L71" s="70"/>
      <c r="M71" s="71">
        <v>6395.359375</v>
      </c>
      <c r="N71" s="71">
        <v>7222.92236328125</v>
      </c>
      <c r="O71" s="72"/>
      <c r="P71" s="73"/>
      <c r="Q71" s="73"/>
      <c r="R71" s="81"/>
      <c r="S71" s="45">
        <v>0</v>
      </c>
      <c r="T71" s="45">
        <v>2</v>
      </c>
      <c r="U71" s="46">
        <v>0.5</v>
      </c>
      <c r="V71" s="46">
        <v>6.8609999999999999E-3</v>
      </c>
      <c r="W71" s="47"/>
      <c r="X71" s="47"/>
      <c r="Y71" s="47"/>
      <c r="Z71" s="46"/>
      <c r="AA71" s="68">
        <v>71</v>
      </c>
      <c r="AB71"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71" s="69"/>
      <c r="AD71" t="s">
        <v>3130</v>
      </c>
      <c r="AE71" s="77" t="s">
        <v>3388</v>
      </c>
      <c r="AF71">
        <v>438</v>
      </c>
      <c r="AG71">
        <v>77</v>
      </c>
      <c r="AH71">
        <v>6552</v>
      </c>
      <c r="AI71">
        <v>1</v>
      </c>
      <c r="AJ71">
        <v>128776</v>
      </c>
      <c r="AK71">
        <v>21</v>
      </c>
      <c r="AL71" t="b">
        <v>0</v>
      </c>
      <c r="AM71" s="76">
        <v>40418.174641203703</v>
      </c>
      <c r="AX71" t="b">
        <v>0</v>
      </c>
      <c r="BA71" t="b">
        <v>0</v>
      </c>
      <c r="BB71" t="b">
        <v>1</v>
      </c>
      <c r="BC71" t="b">
        <v>1</v>
      </c>
      <c r="BD71" t="b">
        <v>0</v>
      </c>
      <c r="BE71" t="b">
        <v>0</v>
      </c>
      <c r="BF71" t="b">
        <v>0</v>
      </c>
      <c r="BG71" t="b">
        <v>0</v>
      </c>
      <c r="BH71" s="79" t="str">
        <f>HYPERLINK("https://pbs.twimg.com/profile_banners/183893569/1432526719")</f>
        <v>https://pbs.twimg.com/profile_banners/183893569/1432526719</v>
      </c>
      <c r="BJ71" t="s">
        <v>4320</v>
      </c>
      <c r="BK71" t="b">
        <v>0</v>
      </c>
      <c r="BM71" t="s">
        <v>66</v>
      </c>
      <c r="BN71" t="s">
        <v>4322</v>
      </c>
      <c r="BO71" s="79" t="str">
        <f>HYPERLINK("https://twitter.com/tdgalvez")</f>
        <v>https://twitter.com/tdgalvez</v>
      </c>
      <c r="BP71" s="112" t="str">
        <f>REPLACE(INDEX(GroupVertices[Group], MATCH("~"&amp;Vertices[[#This Row],[Vertex]],GroupVertices[Vertex],0)),1,1,"")</f>
        <v>9</v>
      </c>
      <c r="BQ71" s="2"/>
    </row>
    <row r="72" spans="1:69" x14ac:dyDescent="0.25">
      <c r="A72" s="61" t="s">
        <v>508</v>
      </c>
      <c r="B72" s="62"/>
      <c r="C72" s="62"/>
      <c r="D72" s="63">
        <v>1.5</v>
      </c>
      <c r="E72" s="65"/>
      <c r="F72" s="97" t="str">
        <f>HYPERLINK("https://pbs.twimg.com/profile_images/1661557266032541697/VW_HuQ7__normal.jpg")</f>
        <v>https://pbs.twimg.com/profile_images/1661557266032541697/VW_HuQ7__normal.jpg</v>
      </c>
      <c r="G72" s="62"/>
      <c r="H72" s="66"/>
      <c r="I72" s="67"/>
      <c r="J72" s="67"/>
      <c r="K72" s="66" t="s">
        <v>4804</v>
      </c>
      <c r="L72" s="70"/>
      <c r="M72" s="71">
        <v>4329.92822265625</v>
      </c>
      <c r="N72" s="71">
        <v>7148.31298828125</v>
      </c>
      <c r="O72" s="72"/>
      <c r="P72" s="73"/>
      <c r="Q72" s="73"/>
      <c r="R72" s="45"/>
      <c r="S72" s="45">
        <v>0</v>
      </c>
      <c r="T72" s="45">
        <v>1</v>
      </c>
      <c r="U72" s="46">
        <v>0</v>
      </c>
      <c r="V72" s="46">
        <v>8.9449999999999998E-3</v>
      </c>
      <c r="W72" s="46"/>
      <c r="X72" s="47"/>
      <c r="Y72" s="46"/>
      <c r="Z72" s="46"/>
      <c r="AA72" s="68">
        <v>72</v>
      </c>
      <c r="AB72"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72" s="69"/>
      <c r="AD72" t="s">
        <v>3155</v>
      </c>
      <c r="AE72" s="77" t="s">
        <v>2645</v>
      </c>
      <c r="AF72">
        <v>4</v>
      </c>
      <c r="AG72">
        <v>125</v>
      </c>
      <c r="AH72">
        <v>835</v>
      </c>
      <c r="AI72">
        <v>0</v>
      </c>
      <c r="AJ72">
        <v>207</v>
      </c>
      <c r="AK72">
        <v>0</v>
      </c>
      <c r="AL72" t="b">
        <v>0</v>
      </c>
      <c r="AM72" s="76">
        <v>44533.498159722221</v>
      </c>
      <c r="AO72" t="s">
        <v>4056</v>
      </c>
      <c r="AX72" t="b">
        <v>0</v>
      </c>
      <c r="BA72" t="b">
        <v>0</v>
      </c>
      <c r="BB72" t="b">
        <v>0</v>
      </c>
      <c r="BC72" t="b">
        <v>1</v>
      </c>
      <c r="BD72" t="b">
        <v>0</v>
      </c>
      <c r="BE72" t="b">
        <v>0</v>
      </c>
      <c r="BF72" t="b">
        <v>0</v>
      </c>
      <c r="BG72" t="b">
        <v>0</v>
      </c>
      <c r="BH72" s="79" t="str">
        <f>HYPERLINK("https://pbs.twimg.com/profile_banners/1466738237574160388/1684981164")</f>
        <v>https://pbs.twimg.com/profile_banners/1466738237574160388/1684981164</v>
      </c>
      <c r="BJ72" t="s">
        <v>4320</v>
      </c>
      <c r="BK72" t="b">
        <v>0</v>
      </c>
      <c r="BM72" t="s">
        <v>66</v>
      </c>
      <c r="BN72" t="s">
        <v>4322</v>
      </c>
      <c r="BO72" s="79" t="str">
        <f>HYPERLINK("https://twitter.com/alfaro_rob")</f>
        <v>https://twitter.com/alfaro_rob</v>
      </c>
      <c r="BP72" s="112" t="str">
        <f>REPLACE(INDEX(GroupVertices[Group], MATCH("~"&amp;Vertices[[#This Row],[Vertex]],GroupVertices[Vertex],0)),1,1,"")</f>
        <v>7</v>
      </c>
      <c r="BQ72" s="2"/>
    </row>
    <row r="73" spans="1:69" x14ac:dyDescent="0.25">
      <c r="A73" s="61" t="s">
        <v>223</v>
      </c>
      <c r="B73" s="62"/>
      <c r="C73" s="62"/>
      <c r="D73" s="63">
        <v>1.5</v>
      </c>
      <c r="E73" s="65"/>
      <c r="F73" s="97" t="str">
        <f>HYPERLINK("https://pbs.twimg.com/profile_images/1738619386326372352/I5S6838l_normal.jpg")</f>
        <v>https://pbs.twimg.com/profile_images/1738619386326372352/I5S6838l_normal.jpg</v>
      </c>
      <c r="G73" s="62"/>
      <c r="H73" s="66"/>
      <c r="I73" s="67"/>
      <c r="J73" s="67"/>
      <c r="K73" s="66" t="s">
        <v>4324</v>
      </c>
      <c r="L73" s="70"/>
      <c r="M73" s="71">
        <v>8540.2841796875</v>
      </c>
      <c r="N73" s="71">
        <v>2568.107421875</v>
      </c>
      <c r="O73" s="72"/>
      <c r="P73" s="73"/>
      <c r="Q73" s="73"/>
      <c r="R73" s="81"/>
      <c r="S73" s="45">
        <v>0</v>
      </c>
      <c r="T73" s="45">
        <v>1</v>
      </c>
      <c r="U73" s="46">
        <v>0</v>
      </c>
      <c r="V73" s="46">
        <v>2.0960000000000002E-3</v>
      </c>
      <c r="W73" s="47"/>
      <c r="X73" s="47"/>
      <c r="Y73" s="47"/>
      <c r="Z73" s="46"/>
      <c r="AA73" s="68">
        <v>73</v>
      </c>
      <c r="AB73"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73" s="69"/>
      <c r="AD73" t="s">
        <v>2686</v>
      </c>
      <c r="AE73" s="77" t="s">
        <v>3156</v>
      </c>
      <c r="AF73">
        <v>271</v>
      </c>
      <c r="AG73">
        <v>67</v>
      </c>
      <c r="AH73">
        <v>66060</v>
      </c>
      <c r="AI73">
        <v>2</v>
      </c>
      <c r="AJ73">
        <v>502362</v>
      </c>
      <c r="AK73">
        <v>1502</v>
      </c>
      <c r="AL73" t="b">
        <v>0</v>
      </c>
      <c r="AM73" s="76">
        <v>42383.000810185185</v>
      </c>
      <c r="AN73" t="s">
        <v>3401</v>
      </c>
      <c r="AO73" t="s">
        <v>3636</v>
      </c>
      <c r="AP73" s="79" t="str">
        <f>HYPERLINK("https://t.co/AM69UV0Tqz")</f>
        <v>https://t.co/AM69UV0Tqz</v>
      </c>
      <c r="AQ73" s="79" t="str">
        <f>HYPERLINK("https://www.instagram.com/pablogarcia_1223/")</f>
        <v>https://www.instagram.com/pablogarcia_1223/</v>
      </c>
      <c r="AR73" t="s">
        <v>4058</v>
      </c>
      <c r="AV73">
        <v>1.8665143455107799E+18</v>
      </c>
      <c r="AW73" s="79" t="str">
        <f>HYPERLINK("https://t.co/AM69UV0Tqz")</f>
        <v>https://t.co/AM69UV0Tqz</v>
      </c>
      <c r="AX73" t="b">
        <v>0</v>
      </c>
      <c r="BA73" t="b">
        <v>1</v>
      </c>
      <c r="BB73" t="b">
        <v>0</v>
      </c>
      <c r="BC73" t="b">
        <v>1</v>
      </c>
      <c r="BD73" t="b">
        <v>0</v>
      </c>
      <c r="BE73" t="b">
        <v>1</v>
      </c>
      <c r="BF73" t="b">
        <v>0</v>
      </c>
      <c r="BG73" t="b">
        <v>0</v>
      </c>
      <c r="BH73" s="79" t="str">
        <f>HYPERLINK("https://pbs.twimg.com/profile_banners/4798909823/1644727938")</f>
        <v>https://pbs.twimg.com/profile_banners/4798909823/1644727938</v>
      </c>
      <c r="BJ73" t="s">
        <v>4320</v>
      </c>
      <c r="BK73" t="b">
        <v>0</v>
      </c>
      <c r="BM73" t="s">
        <v>66</v>
      </c>
      <c r="BN73" t="s">
        <v>4322</v>
      </c>
      <c r="BO73" s="79" t="str">
        <f>HYPERLINK("https://twitter.com/pablogarcia1223")</f>
        <v>https://twitter.com/pablogarcia1223</v>
      </c>
      <c r="BP73" s="112" t="str">
        <f>REPLACE(INDEX(GroupVertices[Group], MATCH("~"&amp;Vertices[[#This Row],[Vertex]],GroupVertices[Vertex],0)),1,1,"")</f>
        <v>60</v>
      </c>
      <c r="BQ73" s="2"/>
    </row>
    <row r="74" spans="1:69" x14ac:dyDescent="0.25">
      <c r="A74" s="61" t="s">
        <v>509</v>
      </c>
      <c r="B74" s="62"/>
      <c r="C74" s="62"/>
      <c r="D74" s="63">
        <v>1.5</v>
      </c>
      <c r="E74" s="65"/>
      <c r="F74" s="97" t="str">
        <f>HYPERLINK("https://pbs.twimg.com/profile_images/1842250551544721408/ZNHJuvok_normal.jpg")</f>
        <v>https://pbs.twimg.com/profile_images/1842250551544721408/ZNHJuvok_normal.jpg</v>
      </c>
      <c r="G74" s="62"/>
      <c r="H74" s="66"/>
      <c r="I74" s="67"/>
      <c r="J74" s="67"/>
      <c r="K74" s="66" t="s">
        <v>4325</v>
      </c>
      <c r="L74" s="70"/>
      <c r="M74" s="71">
        <v>9248.822265625</v>
      </c>
      <c r="N74" s="71">
        <v>4599.44482421875</v>
      </c>
      <c r="O74" s="72"/>
      <c r="P74" s="73"/>
      <c r="Q74" s="73"/>
      <c r="R74" s="81"/>
      <c r="S74" s="45">
        <v>1</v>
      </c>
      <c r="T74" s="45">
        <v>0</v>
      </c>
      <c r="U74" s="46">
        <v>0</v>
      </c>
      <c r="V74" s="46">
        <v>2.0960000000000002E-3</v>
      </c>
      <c r="W74" s="47"/>
      <c r="X74" s="47"/>
      <c r="Y74" s="47"/>
      <c r="Z74" s="46"/>
      <c r="AA74" s="68">
        <v>74</v>
      </c>
      <c r="AB74"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74" s="69"/>
      <c r="AD74" t="s">
        <v>2687</v>
      </c>
      <c r="AE74" s="77" t="s">
        <v>2371</v>
      </c>
      <c r="AF74">
        <v>44</v>
      </c>
      <c r="AG74">
        <v>232</v>
      </c>
      <c r="AH74">
        <v>2242</v>
      </c>
      <c r="AI74">
        <v>1</v>
      </c>
      <c r="AJ74">
        <v>1958</v>
      </c>
      <c r="AK74">
        <v>315</v>
      </c>
      <c r="AL74" t="b">
        <v>0</v>
      </c>
      <c r="AM74" s="76">
        <v>43009.422106481485</v>
      </c>
      <c r="AX74" t="b">
        <v>0</v>
      </c>
      <c r="AZ74" t="b">
        <v>0</v>
      </c>
      <c r="BA74" t="b">
        <v>0</v>
      </c>
      <c r="BB74" t="b">
        <v>1</v>
      </c>
      <c r="BC74" t="b">
        <v>1</v>
      </c>
      <c r="BD74" t="b">
        <v>0</v>
      </c>
      <c r="BE74" t="b">
        <v>1</v>
      </c>
      <c r="BF74" t="b">
        <v>0</v>
      </c>
      <c r="BG74" t="b">
        <v>0</v>
      </c>
      <c r="BH74" s="79" t="str">
        <f>HYPERLINK("https://pbs.twimg.com/profile_banners/914431655405920256/1678204090")</f>
        <v>https://pbs.twimg.com/profile_banners/914431655405920256/1678204090</v>
      </c>
      <c r="BJ74" t="s">
        <v>4320</v>
      </c>
      <c r="BK74" t="b">
        <v>0</v>
      </c>
      <c r="BM74" t="s">
        <v>65</v>
      </c>
      <c r="BN74" t="s">
        <v>4322</v>
      </c>
      <c r="BO74" s="79" t="str">
        <f>HYPERLINK("https://twitter.com/demoniux5")</f>
        <v>https://twitter.com/demoniux5</v>
      </c>
      <c r="BP74" s="112" t="str">
        <f>REPLACE(INDEX(GroupVertices[Group], MATCH("~"&amp;Vertices[[#This Row],[Vertex]],GroupVertices[Vertex],0)),1,1,"")</f>
        <v>60</v>
      </c>
      <c r="BQ74" s="2"/>
    </row>
    <row r="75" spans="1:69" x14ac:dyDescent="0.25">
      <c r="A75" s="61" t="s">
        <v>224</v>
      </c>
      <c r="B75" s="62"/>
      <c r="C75" s="62"/>
      <c r="D75" s="63">
        <v>1.5</v>
      </c>
      <c r="E75" s="65"/>
      <c r="F75" s="97" t="str">
        <f>HYPERLINK("https://pbs.twimg.com/profile_images/1867974267037483008/6eGxr_j9_normal.jpg")</f>
        <v>https://pbs.twimg.com/profile_images/1867974267037483008/6eGxr_j9_normal.jpg</v>
      </c>
      <c r="G75" s="62"/>
      <c r="H75" s="66"/>
      <c r="I75" s="67"/>
      <c r="J75" s="67"/>
      <c r="K75" s="66" t="s">
        <v>4326</v>
      </c>
      <c r="L75" s="70"/>
      <c r="M75" s="71">
        <v>8285.0341796875</v>
      </c>
      <c r="N75" s="71">
        <v>5972.0703125</v>
      </c>
      <c r="O75" s="72"/>
      <c r="P75" s="73"/>
      <c r="Q75" s="73"/>
      <c r="R75" s="81"/>
      <c r="S75" s="45">
        <v>1</v>
      </c>
      <c r="T75" s="45">
        <v>1</v>
      </c>
      <c r="U75" s="46">
        <v>0</v>
      </c>
      <c r="V75" s="46">
        <v>0</v>
      </c>
      <c r="W75" s="47"/>
      <c r="X75" s="47"/>
      <c r="Y75" s="47"/>
      <c r="Z75" s="46"/>
      <c r="AA75" s="68">
        <v>75</v>
      </c>
      <c r="AB75"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75" s="69"/>
      <c r="AD75" t="s">
        <v>2688</v>
      </c>
      <c r="AE75" s="77" t="s">
        <v>3157</v>
      </c>
      <c r="AF75">
        <v>5358</v>
      </c>
      <c r="AG75">
        <v>5729</v>
      </c>
      <c r="AH75">
        <v>51439</v>
      </c>
      <c r="AI75">
        <v>7</v>
      </c>
      <c r="AJ75">
        <v>80504</v>
      </c>
      <c r="AK75">
        <v>2628</v>
      </c>
      <c r="AL75" t="b">
        <v>0</v>
      </c>
      <c r="AM75" s="76">
        <v>39949.655601851853</v>
      </c>
      <c r="AN75" t="s">
        <v>3400</v>
      </c>
      <c r="AO75" t="s">
        <v>3637</v>
      </c>
      <c r="AP75" s="79" t="str">
        <f>HYPERLINK("https://t.co/QvCQwKIsXa")</f>
        <v>https://t.co/QvCQwKIsXa</v>
      </c>
      <c r="AQ75" s="79" t="str">
        <f>HYPERLINK("https://www.threads.net/@pequinteg")</f>
        <v>https://www.threads.net/@pequinteg</v>
      </c>
      <c r="AR75" t="s">
        <v>4059</v>
      </c>
      <c r="AV75">
        <v>1.3479575387808E+18</v>
      </c>
      <c r="AW75" s="79" t="str">
        <f>HYPERLINK("https://t.co/QvCQwKIsXa")</f>
        <v>https://t.co/QvCQwKIsXa</v>
      </c>
      <c r="AX75" t="b">
        <v>0</v>
      </c>
      <c r="BA75" t="b">
        <v>1</v>
      </c>
      <c r="BB75" t="b">
        <v>0</v>
      </c>
      <c r="BC75" t="b">
        <v>0</v>
      </c>
      <c r="BD75" t="b">
        <v>0</v>
      </c>
      <c r="BE75" t="b">
        <v>1</v>
      </c>
      <c r="BF75" t="b">
        <v>0</v>
      </c>
      <c r="BG75" t="b">
        <v>0</v>
      </c>
      <c r="BH75" s="79" t="str">
        <f>HYPERLINK("https://pbs.twimg.com/profile_banners/40484758/1529255151")</f>
        <v>https://pbs.twimg.com/profile_banners/40484758/1529255151</v>
      </c>
      <c r="BJ75" t="s">
        <v>4320</v>
      </c>
      <c r="BK75" t="b">
        <v>0</v>
      </c>
      <c r="BM75" t="s">
        <v>66</v>
      </c>
      <c r="BN75" t="s">
        <v>4322</v>
      </c>
      <c r="BO75" s="79" t="str">
        <f>HYPERLINK("https://twitter.com/pame_q")</f>
        <v>https://twitter.com/pame_q</v>
      </c>
      <c r="BP75" s="112" t="str">
        <f>REPLACE(INDEX(GroupVertices[Group], MATCH("~"&amp;Vertices[[#This Row],[Vertex]],GroupVertices[Vertex],0)),1,1,"")</f>
        <v>178</v>
      </c>
      <c r="BQ75" s="2"/>
    </row>
    <row r="76" spans="1:69" x14ac:dyDescent="0.25">
      <c r="A76" s="61" t="s">
        <v>225</v>
      </c>
      <c r="B76" s="62"/>
      <c r="C76" s="62"/>
      <c r="D76" s="63">
        <v>1.5</v>
      </c>
      <c r="E76" s="65"/>
      <c r="F76" s="97" t="str">
        <f>HYPERLINK("https://pbs.twimg.com/profile_images/1905623065641299968/LP_Keck5_normal.jpg")</f>
        <v>https://pbs.twimg.com/profile_images/1905623065641299968/LP_Keck5_normal.jpg</v>
      </c>
      <c r="G76" s="62"/>
      <c r="H76" s="66"/>
      <c r="I76" s="67"/>
      <c r="J76" s="67"/>
      <c r="K76" s="66" t="s">
        <v>4327</v>
      </c>
      <c r="L76" s="70"/>
      <c r="M76" s="71">
        <v>6286.611328125</v>
      </c>
      <c r="N76" s="71">
        <v>857.65533447265625</v>
      </c>
      <c r="O76" s="72"/>
      <c r="P76" s="73"/>
      <c r="Q76" s="73"/>
      <c r="R76" s="81"/>
      <c r="S76" s="45">
        <v>0</v>
      </c>
      <c r="T76" s="45">
        <v>1</v>
      </c>
      <c r="U76" s="46">
        <v>0</v>
      </c>
      <c r="V76" s="46">
        <v>2.0960000000000002E-3</v>
      </c>
      <c r="W76" s="47"/>
      <c r="X76" s="47"/>
      <c r="Y76" s="47"/>
      <c r="Z76" s="46"/>
      <c r="AA76" s="68">
        <v>76</v>
      </c>
      <c r="AB76"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76" s="69"/>
      <c r="AD76" t="s">
        <v>2689</v>
      </c>
      <c r="AE76" s="77" t="s">
        <v>3158</v>
      </c>
      <c r="AF76">
        <v>69982</v>
      </c>
      <c r="AG76">
        <v>14422</v>
      </c>
      <c r="AH76">
        <v>240994</v>
      </c>
      <c r="AI76">
        <v>334</v>
      </c>
      <c r="AJ76">
        <v>529754</v>
      </c>
      <c r="AK76">
        <v>6117</v>
      </c>
      <c r="AL76" t="b">
        <v>0</v>
      </c>
      <c r="AM76" s="76">
        <v>40381.681921296295</v>
      </c>
      <c r="AN76" t="s">
        <v>3402</v>
      </c>
      <c r="AO76" t="s">
        <v>3638</v>
      </c>
      <c r="AP76" s="79" t="str">
        <f>HYPERLINK("https://t.co/NyQCE9c9gH")</f>
        <v>https://t.co/NyQCE9c9gH</v>
      </c>
      <c r="AQ76" s="79" t="str">
        <f>HYPERLINK("https://manueldiaz.online/")</f>
        <v>https://manueldiaz.online/</v>
      </c>
      <c r="AR76" t="s">
        <v>4060</v>
      </c>
      <c r="AV76">
        <v>1.9298446033828101E+18</v>
      </c>
      <c r="AW76" s="79" t="str">
        <f>HYPERLINK("https://t.co/NyQCE9c9gH")</f>
        <v>https://t.co/NyQCE9c9gH</v>
      </c>
      <c r="AX76" t="b">
        <v>1</v>
      </c>
      <c r="BA76" t="b">
        <v>1</v>
      </c>
      <c r="BB76" t="b">
        <v>1</v>
      </c>
      <c r="BC76" t="b">
        <v>1</v>
      </c>
      <c r="BD76" t="b">
        <v>0</v>
      </c>
      <c r="BE76" t="b">
        <v>1</v>
      </c>
      <c r="BF76" t="b">
        <v>0</v>
      </c>
      <c r="BG76" t="b">
        <v>0</v>
      </c>
      <c r="BH76" s="79" t="str">
        <f>HYPERLINK("https://pbs.twimg.com/profile_banners/169550797/1728011335")</f>
        <v>https://pbs.twimg.com/profile_banners/169550797/1728011335</v>
      </c>
      <c r="BJ76" t="s">
        <v>4320</v>
      </c>
      <c r="BK76" t="b">
        <v>0</v>
      </c>
      <c r="BM76" t="s">
        <v>66</v>
      </c>
      <c r="BN76" t="s">
        <v>4322</v>
      </c>
      <c r="BO76" s="79" t="str">
        <f>HYPERLINK("https://twitter.com/diaz_manuel")</f>
        <v>https://twitter.com/diaz_manuel</v>
      </c>
      <c r="BP76" s="112" t="str">
        <f>REPLACE(INDEX(GroupVertices[Group], MATCH("~"&amp;Vertices[[#This Row],[Vertex]],GroupVertices[Vertex],0)),1,1,"")</f>
        <v>103</v>
      </c>
      <c r="BQ76" s="2"/>
    </row>
    <row r="77" spans="1:69" x14ac:dyDescent="0.25">
      <c r="A77" s="61" t="s">
        <v>510</v>
      </c>
      <c r="B77" s="62"/>
      <c r="C77" s="62"/>
      <c r="D77" s="63">
        <v>1.5</v>
      </c>
      <c r="E77" s="65"/>
      <c r="F77" s="97" t="str">
        <f>HYPERLINK("https://pbs.twimg.com/profile_images/1771157323534184448/AMUuL_Ix_normal.jpg")</f>
        <v>https://pbs.twimg.com/profile_images/1771157323534184448/AMUuL_Ix_normal.jpg</v>
      </c>
      <c r="G77" s="62"/>
      <c r="H77" s="66"/>
      <c r="I77" s="67"/>
      <c r="J77" s="67"/>
      <c r="K77" s="66" t="s">
        <v>4328</v>
      </c>
      <c r="L77" s="70"/>
      <c r="M77" s="71">
        <v>4434.05078125</v>
      </c>
      <c r="N77" s="71">
        <v>1154.495361328125</v>
      </c>
      <c r="O77" s="72"/>
      <c r="P77" s="73"/>
      <c r="Q77" s="73"/>
      <c r="R77" s="81"/>
      <c r="S77" s="45">
        <v>1</v>
      </c>
      <c r="T77" s="45">
        <v>0</v>
      </c>
      <c r="U77" s="46">
        <v>0</v>
      </c>
      <c r="V77" s="46">
        <v>2.0960000000000002E-3</v>
      </c>
      <c r="W77" s="47"/>
      <c r="X77" s="47"/>
      <c r="Y77" s="47"/>
      <c r="Z77" s="46"/>
      <c r="AA77" s="68">
        <v>77</v>
      </c>
      <c r="AB77"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77" s="69"/>
      <c r="AD77" t="s">
        <v>2690</v>
      </c>
      <c r="AE77" s="77" t="s">
        <v>3159</v>
      </c>
      <c r="AF77">
        <v>42542</v>
      </c>
      <c r="AG77">
        <v>1045</v>
      </c>
      <c r="AH77">
        <v>16423</v>
      </c>
      <c r="AI77">
        <v>239</v>
      </c>
      <c r="AJ77">
        <v>14857</v>
      </c>
      <c r="AK77">
        <v>238</v>
      </c>
      <c r="AL77" t="b">
        <v>0</v>
      </c>
      <c r="AM77" s="76">
        <v>40229.872094907405</v>
      </c>
      <c r="AN77" t="s">
        <v>3403</v>
      </c>
      <c r="AO77" t="s">
        <v>3639</v>
      </c>
      <c r="AS77" s="79" t="str">
        <f>HYPERLINK("https://t.co/M1qIZhGpTf")</f>
        <v>https://t.co/M1qIZhGpTf</v>
      </c>
      <c r="AT77" s="79" t="str">
        <f>HYPERLINK("http://mujeresmas.com.mx")</f>
        <v>http://mujeresmas.com.mx</v>
      </c>
      <c r="AU77" t="s">
        <v>4264</v>
      </c>
      <c r="AV77">
        <v>1.3718505570492001E+18</v>
      </c>
      <c r="AX77" t="b">
        <v>0</v>
      </c>
      <c r="AZ77" t="b">
        <v>0</v>
      </c>
      <c r="BA77" t="b">
        <v>0</v>
      </c>
      <c r="BB77" t="b">
        <v>1</v>
      </c>
      <c r="BC77" t="b">
        <v>1</v>
      </c>
      <c r="BD77" t="b">
        <v>0</v>
      </c>
      <c r="BE77" t="b">
        <v>1</v>
      </c>
      <c r="BF77" t="b">
        <v>0</v>
      </c>
      <c r="BG77" t="b">
        <v>0</v>
      </c>
      <c r="BH77" s="79" t="str">
        <f>HYPERLINK("https://pbs.twimg.com/profile_banners/116018197/1601262793")</f>
        <v>https://pbs.twimg.com/profile_banners/116018197/1601262793</v>
      </c>
      <c r="BJ77" t="s">
        <v>4320</v>
      </c>
      <c r="BK77" t="b">
        <v>0</v>
      </c>
      <c r="BM77" t="s">
        <v>65</v>
      </c>
      <c r="BN77" t="s">
        <v>4322</v>
      </c>
      <c r="BO77" s="79" t="str">
        <f>HYPERLINK("https://twitter.com/marissrivera")</f>
        <v>https://twitter.com/marissrivera</v>
      </c>
      <c r="BP77" s="112" t="str">
        <f>REPLACE(INDEX(GroupVertices[Group], MATCH("~"&amp;Vertices[[#This Row],[Vertex]],GroupVertices[Vertex],0)),1,1,"")</f>
        <v>103</v>
      </c>
      <c r="BQ77" s="2"/>
    </row>
    <row r="78" spans="1:69" x14ac:dyDescent="0.25">
      <c r="A78" s="61" t="s">
        <v>226</v>
      </c>
      <c r="B78" s="62"/>
      <c r="C78" s="62"/>
      <c r="D78" s="63">
        <v>1.5</v>
      </c>
      <c r="E78" s="65"/>
      <c r="F78" s="97" t="str">
        <f>HYPERLINK("https://pbs.twimg.com/profile_images/1777492866480103424/9C92qHGr_normal.jpg")</f>
        <v>https://pbs.twimg.com/profile_images/1777492866480103424/9C92qHGr_normal.jpg</v>
      </c>
      <c r="G78" s="62"/>
      <c r="H78" s="66"/>
      <c r="I78" s="67"/>
      <c r="J78" s="67"/>
      <c r="K78" s="66" t="s">
        <v>4329</v>
      </c>
      <c r="L78" s="70"/>
      <c r="M78" s="71">
        <v>1809.023681640625</v>
      </c>
      <c r="N78" s="71">
        <v>927.7012939453125</v>
      </c>
      <c r="O78" s="72"/>
      <c r="P78" s="73"/>
      <c r="Q78" s="73"/>
      <c r="R78" s="81"/>
      <c r="S78" s="45">
        <v>1</v>
      </c>
      <c r="T78" s="45">
        <v>1</v>
      </c>
      <c r="U78" s="46">
        <v>0</v>
      </c>
      <c r="V78" s="46">
        <v>0</v>
      </c>
      <c r="W78" s="47"/>
      <c r="X78" s="47"/>
      <c r="Y78" s="47"/>
      <c r="Z78" s="46"/>
      <c r="AA78" s="68">
        <v>78</v>
      </c>
      <c r="AB78"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78" s="69"/>
      <c r="AD78" t="s">
        <v>2691</v>
      </c>
      <c r="AE78" s="77" t="s">
        <v>2531</v>
      </c>
      <c r="AF78">
        <v>876</v>
      </c>
      <c r="AG78">
        <v>838</v>
      </c>
      <c r="AH78">
        <v>16600</v>
      </c>
      <c r="AI78">
        <v>3</v>
      </c>
      <c r="AJ78">
        <v>11156</v>
      </c>
      <c r="AK78">
        <v>710</v>
      </c>
      <c r="AL78" t="b">
        <v>0</v>
      </c>
      <c r="AM78" s="76">
        <v>43309.999606481484</v>
      </c>
      <c r="AN78" t="s">
        <v>3404</v>
      </c>
      <c r="AO78" t="s">
        <v>3640</v>
      </c>
      <c r="AP78" s="79" t="str">
        <f>HYPERLINK("https://t.co/0E3Q7hU5LZ")</f>
        <v>https://t.co/0E3Q7hU5LZ</v>
      </c>
      <c r="AQ78" s="79" t="str">
        <f>HYPERLINK("https://linktr.ee/ISURBOX")</f>
        <v>https://linktr.ee/ISURBOX</v>
      </c>
      <c r="AR78" t="s">
        <v>4061</v>
      </c>
      <c r="AV78">
        <v>1.4414935686196401E+18</v>
      </c>
      <c r="AW78" s="79" t="str">
        <f>HYPERLINK("https://t.co/0E3Q7hU5LZ")</f>
        <v>https://t.co/0E3Q7hU5LZ</v>
      </c>
      <c r="AX78" t="b">
        <v>0</v>
      </c>
      <c r="BA78" t="b">
        <v>1</v>
      </c>
      <c r="BB78" t="b">
        <v>0</v>
      </c>
      <c r="BC78" t="b">
        <v>0</v>
      </c>
      <c r="BD78" t="b">
        <v>0</v>
      </c>
      <c r="BE78" t="b">
        <v>1</v>
      </c>
      <c r="BF78" t="b">
        <v>0</v>
      </c>
      <c r="BG78" t="b">
        <v>0</v>
      </c>
      <c r="BH78" s="79" t="str">
        <f>HYPERLINK("https://pbs.twimg.com/profile_banners/1023357292257927168/1712622298")</f>
        <v>https://pbs.twimg.com/profile_banners/1023357292257927168/1712622298</v>
      </c>
      <c r="BJ78" t="s">
        <v>4320</v>
      </c>
      <c r="BK78" t="b">
        <v>0</v>
      </c>
      <c r="BM78" t="s">
        <v>66</v>
      </c>
      <c r="BN78" t="s">
        <v>4322</v>
      </c>
      <c r="BO78" s="79" t="str">
        <f>HYPERLINK("https://twitter.com/jugadoresprome1")</f>
        <v>https://twitter.com/jugadoresprome1</v>
      </c>
      <c r="BP78" s="112" t="str">
        <f>REPLACE(INDEX(GroupVertices[Group], MATCH("~"&amp;Vertices[[#This Row],[Vertex]],GroupVertices[Vertex],0)),1,1,"")</f>
        <v>145</v>
      </c>
      <c r="BQ78" s="2"/>
    </row>
    <row r="79" spans="1:69" x14ac:dyDescent="0.25">
      <c r="A79" s="61" t="s">
        <v>227</v>
      </c>
      <c r="B79" s="62"/>
      <c r="C79" s="62"/>
      <c r="D79" s="63">
        <v>1.5</v>
      </c>
      <c r="E79" s="65"/>
      <c r="F79" s="97" t="str">
        <f>HYPERLINK("https://pbs.twimg.com/profile_images/1927829819292540928/2zUILPqC_normal.jpg")</f>
        <v>https://pbs.twimg.com/profile_images/1927829819292540928/2zUILPqC_normal.jpg</v>
      </c>
      <c r="G79" s="62"/>
      <c r="H79" s="66"/>
      <c r="I79" s="67"/>
      <c r="J79" s="67"/>
      <c r="K79" s="66" t="s">
        <v>4330</v>
      </c>
      <c r="L79" s="70"/>
      <c r="M79" s="71">
        <v>2153.396728515625</v>
      </c>
      <c r="N79" s="71">
        <v>7832.97607421875</v>
      </c>
      <c r="O79" s="72"/>
      <c r="P79" s="73"/>
      <c r="Q79" s="73"/>
      <c r="R79" s="81"/>
      <c r="S79" s="45">
        <v>1</v>
      </c>
      <c r="T79" s="45">
        <v>1</v>
      </c>
      <c r="U79" s="46">
        <v>0</v>
      </c>
      <c r="V79" s="46">
        <v>0</v>
      </c>
      <c r="W79" s="47"/>
      <c r="X79" s="47"/>
      <c r="Y79" s="47"/>
      <c r="Z79" s="46"/>
      <c r="AA79" s="68">
        <v>79</v>
      </c>
      <c r="AB79"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79" s="69"/>
      <c r="AD79" t="s">
        <v>2692</v>
      </c>
      <c r="AE79" s="77" t="s">
        <v>2532</v>
      </c>
      <c r="AF79">
        <v>9370</v>
      </c>
      <c r="AG79">
        <v>825</v>
      </c>
      <c r="AH79">
        <v>14288</v>
      </c>
      <c r="AI79">
        <v>10</v>
      </c>
      <c r="AJ79">
        <v>64073</v>
      </c>
      <c r="AK79">
        <v>2782</v>
      </c>
      <c r="AL79" t="b">
        <v>0</v>
      </c>
      <c r="AM79" s="76">
        <v>42918.769745370373</v>
      </c>
      <c r="AN79" t="s">
        <v>3405</v>
      </c>
      <c r="AO79" t="s">
        <v>3641</v>
      </c>
      <c r="AP79" s="79" t="str">
        <f>HYPERLINK("https://t.co/rKpd5M9nMH")</f>
        <v>https://t.co/rKpd5M9nMH</v>
      </c>
      <c r="AQ79" s="79" t="str">
        <f>HYPERLINK("https://www.instagram.com/anxooduran/")</f>
        <v>https://www.instagram.com/anxooduran/</v>
      </c>
      <c r="AR79" t="s">
        <v>4062</v>
      </c>
      <c r="AS79" s="79" t="str">
        <f>HYPERLINK("https://t.co/WtMKa2CjNK")</f>
        <v>https://t.co/WtMKa2CjNK</v>
      </c>
      <c r="AT79" s="79" t="str">
        <f>HYPERLINK("http://Paypal.me/aaaduran")</f>
        <v>http://Paypal.me/aaaduran</v>
      </c>
      <c r="AU79" t="s">
        <v>4265</v>
      </c>
      <c r="AV79">
        <v>1.9216420903808599E+18</v>
      </c>
      <c r="AW79" s="79" t="str">
        <f>HYPERLINK("https://t.co/rKpd5M9nMH")</f>
        <v>https://t.co/rKpd5M9nMH</v>
      </c>
      <c r="AX79" t="b">
        <v>0</v>
      </c>
      <c r="BA79" t="b">
        <v>1</v>
      </c>
      <c r="BB79" t="b">
        <v>1</v>
      </c>
      <c r="BC79" t="b">
        <v>1</v>
      </c>
      <c r="BD79" t="b">
        <v>0</v>
      </c>
      <c r="BE79" t="b">
        <v>1</v>
      </c>
      <c r="BF79" t="b">
        <v>0</v>
      </c>
      <c r="BG79" t="b">
        <v>0</v>
      </c>
      <c r="BH79" s="79" t="str">
        <f>HYPERLINK("https://pbs.twimg.com/profile_banners/881580337511489536/1746788611")</f>
        <v>https://pbs.twimg.com/profile_banners/881580337511489536/1746788611</v>
      </c>
      <c r="BJ79" t="s">
        <v>4320</v>
      </c>
      <c r="BK79" t="b">
        <v>0</v>
      </c>
      <c r="BM79" t="s">
        <v>66</v>
      </c>
      <c r="BN79" t="s">
        <v>4322</v>
      </c>
      <c r="BO79" s="79" t="str">
        <f>HYPERLINK("https://twitter.com/anxooduran")</f>
        <v>https://twitter.com/anxooduran</v>
      </c>
      <c r="BP79" s="112" t="str">
        <f>REPLACE(INDEX(GroupVertices[Group], MATCH("~"&amp;Vertices[[#This Row],[Vertex]],GroupVertices[Vertex],0)),1,1,"")</f>
        <v>175</v>
      </c>
      <c r="BQ79" s="2"/>
    </row>
    <row r="80" spans="1:69" x14ac:dyDescent="0.25">
      <c r="A80" s="61" t="s">
        <v>228</v>
      </c>
      <c r="B80" s="62"/>
      <c r="C80" s="62"/>
      <c r="D80" s="63">
        <v>1.5</v>
      </c>
      <c r="E80" s="65"/>
      <c r="F80" s="97" t="str">
        <f>HYPERLINK("https://pbs.twimg.com/profile_images/1227973405426814976/D3NArUQT_normal.jpg")</f>
        <v>https://pbs.twimg.com/profile_images/1227973405426814976/D3NArUQT_normal.jpg</v>
      </c>
      <c r="G80" s="62"/>
      <c r="H80" s="66"/>
      <c r="I80" s="67"/>
      <c r="J80" s="67"/>
      <c r="K80" s="66" t="s">
        <v>4331</v>
      </c>
      <c r="L80" s="70"/>
      <c r="M80" s="71">
        <v>8951.318359375</v>
      </c>
      <c r="N80" s="71">
        <v>3151.54296875</v>
      </c>
      <c r="O80" s="72"/>
      <c r="P80" s="73"/>
      <c r="Q80" s="73"/>
      <c r="R80" s="81"/>
      <c r="S80" s="45">
        <v>1</v>
      </c>
      <c r="T80" s="45">
        <v>1</v>
      </c>
      <c r="U80" s="46">
        <v>0</v>
      </c>
      <c r="V80" s="46">
        <v>0</v>
      </c>
      <c r="W80" s="47"/>
      <c r="X80" s="47"/>
      <c r="Y80" s="47"/>
      <c r="Z80" s="46"/>
      <c r="AA80" s="68">
        <v>80</v>
      </c>
      <c r="AB80"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80" s="69"/>
      <c r="AD80" t="s">
        <v>2693</v>
      </c>
      <c r="AE80" s="77" t="s">
        <v>2533</v>
      </c>
      <c r="AF80">
        <v>14</v>
      </c>
      <c r="AG80">
        <v>9</v>
      </c>
      <c r="AH80">
        <v>4211</v>
      </c>
      <c r="AI80">
        <v>0</v>
      </c>
      <c r="AJ80">
        <v>3</v>
      </c>
      <c r="AK80">
        <v>4173</v>
      </c>
      <c r="AL80" t="b">
        <v>0</v>
      </c>
      <c r="AM80" s="76">
        <v>43874.632245370369</v>
      </c>
      <c r="AO80" t="s">
        <v>3642</v>
      </c>
      <c r="AV80">
        <v>1.2330074895720399E+18</v>
      </c>
      <c r="AX80" t="b">
        <v>0</v>
      </c>
      <c r="BA80" t="b">
        <v>1</v>
      </c>
      <c r="BB80" t="b">
        <v>1</v>
      </c>
      <c r="BC80" t="b">
        <v>1</v>
      </c>
      <c r="BD80" t="b">
        <v>0</v>
      </c>
      <c r="BE80" t="b">
        <v>0</v>
      </c>
      <c r="BF80" t="b">
        <v>0</v>
      </c>
      <c r="BG80" t="b">
        <v>0</v>
      </c>
      <c r="BJ80" t="s">
        <v>4320</v>
      </c>
      <c r="BK80" t="b">
        <v>0</v>
      </c>
      <c r="BM80" t="s">
        <v>66</v>
      </c>
      <c r="BN80" t="s">
        <v>4322</v>
      </c>
      <c r="BO80" s="79" t="str">
        <f>HYPERLINK("https://twitter.com/kioscodani")</f>
        <v>https://twitter.com/kioscodani</v>
      </c>
      <c r="BP80" s="112" t="str">
        <f>REPLACE(INDEX(GroupVertices[Group], MATCH("~"&amp;Vertices[[#This Row],[Vertex]],GroupVertices[Vertex],0)),1,1,"")</f>
        <v>115</v>
      </c>
      <c r="BQ80" s="2"/>
    </row>
    <row r="81" spans="1:69" x14ac:dyDescent="0.25">
      <c r="A81" s="61" t="s">
        <v>229</v>
      </c>
      <c r="B81" s="62"/>
      <c r="C81" s="62"/>
      <c r="D81" s="63">
        <v>1.5</v>
      </c>
      <c r="E81" s="65"/>
      <c r="F81" s="97" t="str">
        <f>HYPERLINK("https://pbs.twimg.com/profile_images/1766415955222044672/13Gjx2Nu_normal.jpg")</f>
        <v>https://pbs.twimg.com/profile_images/1766415955222044672/13Gjx2Nu_normal.jpg</v>
      </c>
      <c r="G81" s="62"/>
      <c r="H81" s="66"/>
      <c r="I81" s="67"/>
      <c r="J81" s="67"/>
      <c r="K81" s="66" t="s">
        <v>4332</v>
      </c>
      <c r="L81" s="70"/>
      <c r="M81" s="71">
        <v>7057.54345703125</v>
      </c>
      <c r="N81" s="71">
        <v>1765.8216552734375</v>
      </c>
      <c r="O81" s="72"/>
      <c r="P81" s="73"/>
      <c r="Q81" s="73"/>
      <c r="R81" s="81"/>
      <c r="S81" s="45">
        <v>0</v>
      </c>
      <c r="T81" s="45">
        <v>1</v>
      </c>
      <c r="U81" s="46">
        <v>0</v>
      </c>
      <c r="V81" s="46">
        <v>2.0960000000000002E-3</v>
      </c>
      <c r="W81" s="47"/>
      <c r="X81" s="47"/>
      <c r="Y81" s="47"/>
      <c r="Z81" s="46"/>
      <c r="AA81" s="68">
        <v>81</v>
      </c>
      <c r="AB81"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81" s="69"/>
      <c r="AD81" t="s">
        <v>2694</v>
      </c>
      <c r="AE81" s="77" t="s">
        <v>2534</v>
      </c>
      <c r="AF81">
        <v>127</v>
      </c>
      <c r="AG81">
        <v>453</v>
      </c>
      <c r="AH81">
        <v>2463</v>
      </c>
      <c r="AI81">
        <v>0</v>
      </c>
      <c r="AJ81">
        <v>7444</v>
      </c>
      <c r="AK81">
        <v>17</v>
      </c>
      <c r="AL81" t="b">
        <v>0</v>
      </c>
      <c r="AM81" s="76">
        <v>44883.567997685182</v>
      </c>
      <c r="AN81" t="s">
        <v>3406</v>
      </c>
      <c r="AO81" t="s">
        <v>3643</v>
      </c>
      <c r="AX81" t="b">
        <v>0</v>
      </c>
      <c r="BA81" t="b">
        <v>0</v>
      </c>
      <c r="BB81" t="b">
        <v>1</v>
      </c>
      <c r="BC81" t="b">
        <v>1</v>
      </c>
      <c r="BD81" t="b">
        <v>0</v>
      </c>
      <c r="BE81" t="b">
        <v>0</v>
      </c>
      <c r="BF81" t="b">
        <v>0</v>
      </c>
      <c r="BG81" t="b">
        <v>0</v>
      </c>
      <c r="BJ81" t="s">
        <v>4320</v>
      </c>
      <c r="BK81" t="b">
        <v>0</v>
      </c>
      <c r="BM81" t="s">
        <v>66</v>
      </c>
      <c r="BN81" t="s">
        <v>4322</v>
      </c>
      <c r="BO81" s="79" t="str">
        <f>HYPERLINK("https://twitter.com/gwes_phy")</f>
        <v>https://twitter.com/gwes_phy</v>
      </c>
      <c r="BP81" s="112" t="str">
        <f>REPLACE(INDEX(GroupVertices[Group], MATCH("~"&amp;Vertices[[#This Row],[Vertex]],GroupVertices[Vertex],0)),1,1,"")</f>
        <v>63</v>
      </c>
      <c r="BQ81" s="2"/>
    </row>
    <row r="82" spans="1:69" x14ac:dyDescent="0.25">
      <c r="A82" s="61" t="s">
        <v>511</v>
      </c>
      <c r="B82" s="62"/>
      <c r="C82" s="62"/>
      <c r="D82" s="63">
        <v>1.5</v>
      </c>
      <c r="E82" s="65"/>
      <c r="F82" s="97" t="str">
        <f>HYPERLINK("https://pbs.twimg.com/profile_images/1683260202911514627/_KI2hELi_normal.jpg")</f>
        <v>https://pbs.twimg.com/profile_images/1683260202911514627/_KI2hELi_normal.jpg</v>
      </c>
      <c r="G82" s="62"/>
      <c r="H82" s="66"/>
      <c r="I82" s="67"/>
      <c r="J82" s="67"/>
      <c r="K82" s="66" t="s">
        <v>4333</v>
      </c>
      <c r="L82" s="70"/>
      <c r="M82" s="71">
        <v>8485.3896484375</v>
      </c>
      <c r="N82" s="71">
        <v>3338.652099609375</v>
      </c>
      <c r="O82" s="72"/>
      <c r="P82" s="73"/>
      <c r="Q82" s="73"/>
      <c r="R82" s="81"/>
      <c r="S82" s="45">
        <v>1</v>
      </c>
      <c r="T82" s="45">
        <v>0</v>
      </c>
      <c r="U82" s="46">
        <v>0</v>
      </c>
      <c r="V82" s="46">
        <v>2.0960000000000002E-3</v>
      </c>
      <c r="W82" s="47"/>
      <c r="X82" s="47"/>
      <c r="Y82" s="47"/>
      <c r="Z82" s="46"/>
      <c r="AA82" s="68">
        <v>82</v>
      </c>
      <c r="AB82"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82" s="69"/>
      <c r="AD82" t="s">
        <v>2695</v>
      </c>
      <c r="AE82" s="77" t="s">
        <v>2372</v>
      </c>
      <c r="AF82">
        <v>26303</v>
      </c>
      <c r="AG82">
        <v>2682</v>
      </c>
      <c r="AH82">
        <v>15559</v>
      </c>
      <c r="AI82">
        <v>127</v>
      </c>
      <c r="AJ82">
        <v>40578</v>
      </c>
      <c r="AK82">
        <v>873</v>
      </c>
      <c r="AL82" t="b">
        <v>0</v>
      </c>
      <c r="AM82" s="76">
        <v>43780.631238425929</v>
      </c>
      <c r="AN82" t="s">
        <v>3407</v>
      </c>
      <c r="AO82" t="s">
        <v>3644</v>
      </c>
      <c r="AV82">
        <v>1.8519872894522199E+18</v>
      </c>
      <c r="AX82" t="b">
        <v>0</v>
      </c>
      <c r="AZ82" t="b">
        <v>0</v>
      </c>
      <c r="BA82" t="b">
        <v>0</v>
      </c>
      <c r="BB82" t="b">
        <v>1</v>
      </c>
      <c r="BC82" t="b">
        <v>1</v>
      </c>
      <c r="BD82" t="b">
        <v>0</v>
      </c>
      <c r="BE82" t="b">
        <v>1</v>
      </c>
      <c r="BF82" t="b">
        <v>0</v>
      </c>
      <c r="BG82" t="b">
        <v>0</v>
      </c>
      <c r="BH82" s="79" t="str">
        <f>HYPERLINK("https://pbs.twimg.com/profile_banners/1193908437362577408/1730483374")</f>
        <v>https://pbs.twimg.com/profile_banners/1193908437362577408/1730483374</v>
      </c>
      <c r="BJ82" t="s">
        <v>4320</v>
      </c>
      <c r="BK82" t="b">
        <v>0</v>
      </c>
      <c r="BM82" t="s">
        <v>65</v>
      </c>
      <c r="BN82" t="s">
        <v>4322</v>
      </c>
      <c r="BO82" s="79" t="str">
        <f>HYPERLINK("https://twitter.com/criscalonje")</f>
        <v>https://twitter.com/criscalonje</v>
      </c>
      <c r="BP82" s="112" t="str">
        <f>REPLACE(INDEX(GroupVertices[Group], MATCH("~"&amp;Vertices[[#This Row],[Vertex]],GroupVertices[Vertex],0)),1,1,"")</f>
        <v>63</v>
      </c>
      <c r="BQ82" s="2"/>
    </row>
    <row r="83" spans="1:69" x14ac:dyDescent="0.25">
      <c r="A83" s="61" t="s">
        <v>230</v>
      </c>
      <c r="B83" s="62"/>
      <c r="C83" s="62"/>
      <c r="D83" s="63">
        <v>1.5</v>
      </c>
      <c r="E83" s="65"/>
      <c r="F83" s="97" t="str">
        <f>HYPERLINK("https://pbs.twimg.com/profile_images/1631894633994133504/W7QoDFMj_normal.jpg")</f>
        <v>https://pbs.twimg.com/profile_images/1631894633994133504/W7QoDFMj_normal.jpg</v>
      </c>
      <c r="G83" s="62"/>
      <c r="H83" s="66"/>
      <c r="I83" s="67"/>
      <c r="J83" s="67"/>
      <c r="K83" s="66" t="s">
        <v>4334</v>
      </c>
      <c r="L83" s="70"/>
      <c r="M83" s="71">
        <v>3007.16064453125</v>
      </c>
      <c r="N83" s="71">
        <v>1875.441650390625</v>
      </c>
      <c r="O83" s="72"/>
      <c r="P83" s="73"/>
      <c r="Q83" s="73"/>
      <c r="R83" s="81"/>
      <c r="S83" s="45">
        <v>1</v>
      </c>
      <c r="T83" s="45">
        <v>1</v>
      </c>
      <c r="U83" s="46">
        <v>0</v>
      </c>
      <c r="V83" s="46">
        <v>0</v>
      </c>
      <c r="W83" s="47"/>
      <c r="X83" s="47"/>
      <c r="Y83" s="47"/>
      <c r="Z83" s="46"/>
      <c r="AA83" s="68">
        <v>83</v>
      </c>
      <c r="AB83"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83" s="69"/>
      <c r="AD83" t="s">
        <v>2696</v>
      </c>
      <c r="AE83" s="77" t="s">
        <v>3160</v>
      </c>
      <c r="AF83">
        <v>712</v>
      </c>
      <c r="AG83">
        <v>519</v>
      </c>
      <c r="AH83">
        <v>34913</v>
      </c>
      <c r="AI83">
        <v>16</v>
      </c>
      <c r="AJ83">
        <v>5588</v>
      </c>
      <c r="AK83">
        <v>425</v>
      </c>
      <c r="AL83" t="b">
        <v>0</v>
      </c>
      <c r="AM83" s="76">
        <v>40074.021493055552</v>
      </c>
      <c r="AN83" t="s">
        <v>3408</v>
      </c>
      <c r="AO83" t="s">
        <v>3645</v>
      </c>
      <c r="AX83" t="b">
        <v>0</v>
      </c>
      <c r="BA83" t="b">
        <v>0</v>
      </c>
      <c r="BB83" t="b">
        <v>0</v>
      </c>
      <c r="BC83" t="b">
        <v>0</v>
      </c>
      <c r="BD83" t="b">
        <v>0</v>
      </c>
      <c r="BE83" t="b">
        <v>1</v>
      </c>
      <c r="BF83" t="b">
        <v>0</v>
      </c>
      <c r="BG83" t="b">
        <v>0</v>
      </c>
      <c r="BH83" s="79" t="str">
        <f>HYPERLINK("https://pbs.twimg.com/profile_banners/75157099/1646467401")</f>
        <v>https://pbs.twimg.com/profile_banners/75157099/1646467401</v>
      </c>
      <c r="BJ83" t="s">
        <v>4320</v>
      </c>
      <c r="BK83" t="b">
        <v>0</v>
      </c>
      <c r="BM83" t="s">
        <v>66</v>
      </c>
      <c r="BN83" t="s">
        <v>4322</v>
      </c>
      <c r="BO83" s="79" t="str">
        <f>HYPERLINK("https://twitter.com/vanneezaa")</f>
        <v>https://twitter.com/vanneezaa</v>
      </c>
      <c r="BP83" s="112" t="str">
        <f>REPLACE(INDEX(GroupVertices[Group], MATCH("~"&amp;Vertices[[#This Row],[Vertex]],GroupVertices[Vertex],0)),1,1,"")</f>
        <v>121</v>
      </c>
      <c r="BQ83" s="2"/>
    </row>
    <row r="84" spans="1:69" x14ac:dyDescent="0.25">
      <c r="A84" s="61" t="s">
        <v>231</v>
      </c>
      <c r="B84" s="62"/>
      <c r="C84" s="62"/>
      <c r="D84" s="63">
        <v>1.5</v>
      </c>
      <c r="E84" s="65"/>
      <c r="F84" s="97" t="str">
        <f>HYPERLINK("https://pbs.twimg.com/profile_images/1472894161590403078/vrzppNV7_normal.jpg")</f>
        <v>https://pbs.twimg.com/profile_images/1472894161590403078/vrzppNV7_normal.jpg</v>
      </c>
      <c r="G84" s="62"/>
      <c r="H84" s="66"/>
      <c r="I84" s="67"/>
      <c r="J84" s="67"/>
      <c r="K84" s="66" t="s">
        <v>4335</v>
      </c>
      <c r="L84" s="70"/>
      <c r="M84" s="71">
        <v>6112.3603515625</v>
      </c>
      <c r="N84" s="71">
        <v>953.4921875</v>
      </c>
      <c r="O84" s="72"/>
      <c r="P84" s="73"/>
      <c r="Q84" s="73"/>
      <c r="R84" s="81"/>
      <c r="S84" s="45">
        <v>0</v>
      </c>
      <c r="T84" s="45">
        <v>1</v>
      </c>
      <c r="U84" s="46">
        <v>0</v>
      </c>
      <c r="V84" s="46">
        <v>2.0960000000000002E-3</v>
      </c>
      <c r="W84" s="47"/>
      <c r="X84" s="47"/>
      <c r="Y84" s="47"/>
      <c r="Z84" s="46"/>
      <c r="AA84" s="68">
        <v>84</v>
      </c>
      <c r="AB84"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84" s="69"/>
      <c r="AD84" t="s">
        <v>2697</v>
      </c>
      <c r="AE84" s="77" t="s">
        <v>2535</v>
      </c>
      <c r="AF84">
        <v>17866</v>
      </c>
      <c r="AG84">
        <v>15335</v>
      </c>
      <c r="AH84">
        <v>70515</v>
      </c>
      <c r="AI84">
        <v>26</v>
      </c>
      <c r="AJ84">
        <v>739</v>
      </c>
      <c r="AK84">
        <v>20421</v>
      </c>
      <c r="AL84" t="b">
        <v>0</v>
      </c>
      <c r="AM84" s="76">
        <v>42748.052442129629</v>
      </c>
      <c r="AN84" t="s">
        <v>3409</v>
      </c>
      <c r="AO84" t="s">
        <v>3646</v>
      </c>
      <c r="AV84">
        <v>8.2352922879263501E+17</v>
      </c>
      <c r="AX84" t="b">
        <v>0</v>
      </c>
      <c r="BA84" t="b">
        <v>0</v>
      </c>
      <c r="BB84" t="b">
        <v>0</v>
      </c>
      <c r="BC84" t="b">
        <v>1</v>
      </c>
      <c r="BD84" t="b">
        <v>0</v>
      </c>
      <c r="BE84" t="b">
        <v>0</v>
      </c>
      <c r="BF84" t="b">
        <v>0</v>
      </c>
      <c r="BG84" t="b">
        <v>0</v>
      </c>
      <c r="BH84" s="79" t="str">
        <f>HYPERLINK("https://pbs.twimg.com/profile_banners/819714458742325248/1625665514")</f>
        <v>https://pbs.twimg.com/profile_banners/819714458742325248/1625665514</v>
      </c>
      <c r="BJ84" t="s">
        <v>4320</v>
      </c>
      <c r="BK84" t="b">
        <v>0</v>
      </c>
      <c r="BM84" t="s">
        <v>66</v>
      </c>
      <c r="BN84" t="s">
        <v>4322</v>
      </c>
      <c r="BO84" s="79" t="str">
        <f>HYPERLINK("https://twitter.com/pwartemberg1")</f>
        <v>https://twitter.com/pwartemberg1</v>
      </c>
      <c r="BP84" s="112" t="str">
        <f>REPLACE(INDEX(GroupVertices[Group], MATCH("~"&amp;Vertices[[#This Row],[Vertex]],GroupVertices[Vertex],0)),1,1,"")</f>
        <v>85</v>
      </c>
      <c r="BQ84" s="2"/>
    </row>
    <row r="85" spans="1:69" x14ac:dyDescent="0.25">
      <c r="A85" s="61" t="s">
        <v>478</v>
      </c>
      <c r="B85" s="62"/>
      <c r="C85" s="62"/>
      <c r="D85" s="63">
        <v>1.5</v>
      </c>
      <c r="E85" s="65"/>
      <c r="F85" s="97" t="str">
        <f>HYPERLINK("https://pbs.twimg.com/profile_images/1924922438195765248/r4qbDJ3S_normal.jpg")</f>
        <v>https://pbs.twimg.com/profile_images/1924922438195765248/r4qbDJ3S_normal.jpg</v>
      </c>
      <c r="G85" s="62"/>
      <c r="H85" s="66"/>
      <c r="I85" s="67"/>
      <c r="J85" s="67"/>
      <c r="K85" s="66" t="s">
        <v>4336</v>
      </c>
      <c r="L85" s="70"/>
      <c r="M85" s="71">
        <v>4701.22509765625</v>
      </c>
      <c r="N85" s="71">
        <v>1235.7261962890625</v>
      </c>
      <c r="O85" s="72"/>
      <c r="P85" s="73"/>
      <c r="Q85" s="73"/>
      <c r="R85" s="81"/>
      <c r="S85" s="45">
        <v>2</v>
      </c>
      <c r="T85" s="45">
        <v>1</v>
      </c>
      <c r="U85" s="46">
        <v>0</v>
      </c>
      <c r="V85" s="46">
        <v>2.0960000000000002E-3</v>
      </c>
      <c r="W85" s="47"/>
      <c r="X85" s="47"/>
      <c r="Y85" s="47"/>
      <c r="Z85" s="46"/>
      <c r="AA85" s="68">
        <v>85</v>
      </c>
      <c r="AB85"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85" s="69"/>
      <c r="AD85" t="s">
        <v>2698</v>
      </c>
      <c r="AE85" s="77" t="s">
        <v>3161</v>
      </c>
      <c r="AF85">
        <v>2821107</v>
      </c>
      <c r="AG85">
        <v>2091</v>
      </c>
      <c r="AH85">
        <v>627082</v>
      </c>
      <c r="AI85">
        <v>3553</v>
      </c>
      <c r="AJ85">
        <v>10798</v>
      </c>
      <c r="AK85">
        <v>343577</v>
      </c>
      <c r="AL85" t="b">
        <v>0</v>
      </c>
      <c r="AM85" s="76">
        <v>40462.997337962966</v>
      </c>
      <c r="AN85" t="s">
        <v>3410</v>
      </c>
      <c r="AO85" t="s">
        <v>3647</v>
      </c>
      <c r="AP85" s="79" t="str">
        <f>HYPERLINK("https://t.co/ILODNHxZ1J")</f>
        <v>https://t.co/ILODNHxZ1J</v>
      </c>
      <c r="AQ85" s="79" t="str">
        <f>HYPERLINK("http://www.adn.cl")</f>
        <v>http://www.adn.cl</v>
      </c>
      <c r="AR85" t="s">
        <v>4063</v>
      </c>
      <c r="AS85" s="79" t="str">
        <f>HYPERLINK("https://t.co/KnHI5vlxIi")</f>
        <v>https://t.co/KnHI5vlxIi</v>
      </c>
      <c r="AT85" s="79" t="str">
        <f>HYPERLINK("https://www.adnradio.cl/")</f>
        <v>https://www.adnradio.cl/</v>
      </c>
      <c r="AU85" t="s">
        <v>1134</v>
      </c>
      <c r="AW85" s="79" t="str">
        <f>HYPERLINK("https://t.co/ILODNHxZ1J")</f>
        <v>https://t.co/ILODNHxZ1J</v>
      </c>
      <c r="AX85" t="b">
        <v>1</v>
      </c>
      <c r="BA85" t="b">
        <v>1</v>
      </c>
      <c r="BB85" t="b">
        <v>0</v>
      </c>
      <c r="BC85" t="b">
        <v>0</v>
      </c>
      <c r="BD85" t="b">
        <v>0</v>
      </c>
      <c r="BE85" t="b">
        <v>1</v>
      </c>
      <c r="BF85" t="b">
        <v>0</v>
      </c>
      <c r="BG85" t="b">
        <v>0</v>
      </c>
      <c r="BH85" s="79" t="str">
        <f>HYPERLINK("https://pbs.twimg.com/profile_banners/201493641/1747772249")</f>
        <v>https://pbs.twimg.com/profile_banners/201493641/1747772249</v>
      </c>
      <c r="BJ85" t="s">
        <v>4320</v>
      </c>
      <c r="BK85" t="b">
        <v>0</v>
      </c>
      <c r="BM85" t="s">
        <v>66</v>
      </c>
      <c r="BN85" t="s">
        <v>4322</v>
      </c>
      <c r="BO85" s="79" t="str">
        <f>HYPERLINK("https://twitter.com/adnradiochile")</f>
        <v>https://twitter.com/adnradiochile</v>
      </c>
      <c r="BP85" s="112" t="str">
        <f>REPLACE(INDEX(GroupVertices[Group], MATCH("~"&amp;Vertices[[#This Row],[Vertex]],GroupVertices[Vertex],0)),1,1,"")</f>
        <v>85</v>
      </c>
      <c r="BQ85" s="2"/>
    </row>
    <row r="86" spans="1:69" x14ac:dyDescent="0.25">
      <c r="A86" s="61" t="s">
        <v>232</v>
      </c>
      <c r="B86" s="62"/>
      <c r="C86" s="62"/>
      <c r="D86" s="63">
        <v>1.5</v>
      </c>
      <c r="E86" s="65"/>
      <c r="F86" s="97" t="str">
        <f>HYPERLINK("https://pbs.twimg.com/profile_images/1313203318299201544/Iq1fikES_normal.jpg")</f>
        <v>https://pbs.twimg.com/profile_images/1313203318299201544/Iq1fikES_normal.jpg</v>
      </c>
      <c r="G86" s="62"/>
      <c r="H86" s="66"/>
      <c r="I86" s="67"/>
      <c r="J86" s="67"/>
      <c r="K86" s="66" t="s">
        <v>4337</v>
      </c>
      <c r="L86" s="70"/>
      <c r="M86" s="71">
        <v>8931.658203125</v>
      </c>
      <c r="N86" s="71">
        <v>2535.123046875</v>
      </c>
      <c r="O86" s="72"/>
      <c r="P86" s="73"/>
      <c r="Q86" s="73"/>
      <c r="R86" s="81"/>
      <c r="S86" s="45">
        <v>1</v>
      </c>
      <c r="T86" s="45">
        <v>1</v>
      </c>
      <c r="U86" s="46">
        <v>0</v>
      </c>
      <c r="V86" s="46">
        <v>0</v>
      </c>
      <c r="W86" s="47"/>
      <c r="X86" s="47"/>
      <c r="Y86" s="47"/>
      <c r="Z86" s="46"/>
      <c r="AA86" s="68">
        <v>86</v>
      </c>
      <c r="AB86"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86" s="69"/>
      <c r="AD86" t="s">
        <v>2699</v>
      </c>
      <c r="AE86" s="77" t="s">
        <v>3162</v>
      </c>
      <c r="AF86">
        <v>210118</v>
      </c>
      <c r="AG86">
        <v>8213</v>
      </c>
      <c r="AH86">
        <v>386562</v>
      </c>
      <c r="AI86">
        <v>803</v>
      </c>
      <c r="AJ86">
        <v>1222</v>
      </c>
      <c r="AK86">
        <v>44065</v>
      </c>
      <c r="AL86" t="b">
        <v>0</v>
      </c>
      <c r="AM86" s="76">
        <v>39932.712037037039</v>
      </c>
      <c r="AN86" t="s">
        <v>3411</v>
      </c>
      <c r="AO86" t="s">
        <v>3648</v>
      </c>
      <c r="AP86" s="79" t="str">
        <f>HYPERLINK("https://t.co/Jeb7nuVn44")</f>
        <v>https://t.co/Jeb7nuVn44</v>
      </c>
      <c r="AQ86" s="79" t="str">
        <f>HYPERLINK("http://www.radioagricultura.cl")</f>
        <v>http://www.radioagricultura.cl</v>
      </c>
      <c r="AR86" t="s">
        <v>1135</v>
      </c>
      <c r="AS86" t="s">
        <v>4238</v>
      </c>
      <c r="AT86" t="s">
        <v>4251</v>
      </c>
      <c r="AU86" t="s">
        <v>4266</v>
      </c>
      <c r="AV86">
        <v>1.9291610379886899E+18</v>
      </c>
      <c r="AW86" s="79" t="str">
        <f>HYPERLINK("https://t.co/Jeb7nuVn44")</f>
        <v>https://t.co/Jeb7nuVn44</v>
      </c>
      <c r="AX86" t="b">
        <v>1</v>
      </c>
      <c r="BA86" t="b">
        <v>0</v>
      </c>
      <c r="BB86" t="b">
        <v>0</v>
      </c>
      <c r="BC86" t="b">
        <v>0</v>
      </c>
      <c r="BD86" t="b">
        <v>0</v>
      </c>
      <c r="BE86" t="b">
        <v>1</v>
      </c>
      <c r="BF86" t="b">
        <v>0</v>
      </c>
      <c r="BG86" t="b">
        <v>0</v>
      </c>
      <c r="BH86" s="79" t="str">
        <f>HYPERLINK("https://pbs.twimg.com/profile_banners/36409216/1601927045")</f>
        <v>https://pbs.twimg.com/profile_banners/36409216/1601927045</v>
      </c>
      <c r="BJ86" t="s">
        <v>4320</v>
      </c>
      <c r="BK86" t="b">
        <v>0</v>
      </c>
      <c r="BM86" t="s">
        <v>66</v>
      </c>
      <c r="BN86" t="s">
        <v>4322</v>
      </c>
      <c r="BO86" s="79" t="str">
        <f>HYPERLINK("https://twitter.com/agriculturafm")</f>
        <v>https://twitter.com/agriculturafm</v>
      </c>
      <c r="BP86" s="112" t="str">
        <f>REPLACE(INDEX(GroupVertices[Group], MATCH("~"&amp;Vertices[[#This Row],[Vertex]],GroupVertices[Vertex],0)),1,1,"")</f>
        <v>199</v>
      </c>
      <c r="BQ86" s="2"/>
    </row>
    <row r="87" spans="1:69" x14ac:dyDescent="0.25">
      <c r="A87" s="61" t="s">
        <v>512</v>
      </c>
      <c r="B87" s="62"/>
      <c r="C87" s="62"/>
      <c r="D87" s="63">
        <v>1.5</v>
      </c>
      <c r="E87" s="65"/>
      <c r="F87" s="97" t="str">
        <f>HYPERLINK("https://pbs.twimg.com/profile_images/1562413020877393920/rccNzRy6_normal.jpg")</f>
        <v>https://pbs.twimg.com/profile_images/1562413020877393920/rccNzRy6_normal.jpg</v>
      </c>
      <c r="G87" s="62"/>
      <c r="H87" s="66"/>
      <c r="I87" s="67"/>
      <c r="J87" s="67"/>
      <c r="K87" s="66" t="s">
        <v>4339</v>
      </c>
      <c r="L87" s="70"/>
      <c r="M87" s="71">
        <v>3880.889404296875</v>
      </c>
      <c r="N87" s="71">
        <v>956.77764892578125</v>
      </c>
      <c r="O87" s="72"/>
      <c r="P87" s="73"/>
      <c r="Q87" s="73"/>
      <c r="R87" s="81"/>
      <c r="S87" s="45">
        <v>1</v>
      </c>
      <c r="T87" s="45">
        <v>0</v>
      </c>
      <c r="U87" s="46">
        <v>0</v>
      </c>
      <c r="V87" s="46">
        <v>2.7950000000000002E-3</v>
      </c>
      <c r="W87" s="47"/>
      <c r="X87" s="47"/>
      <c r="Y87" s="47"/>
      <c r="Z87" s="46"/>
      <c r="AA87" s="68">
        <v>87</v>
      </c>
      <c r="AB87"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87" s="69"/>
      <c r="AD87" t="s">
        <v>2701</v>
      </c>
      <c r="AE87" s="77" t="s">
        <v>3163</v>
      </c>
      <c r="AF87">
        <v>8726</v>
      </c>
      <c r="AG87">
        <v>4307</v>
      </c>
      <c r="AH87">
        <v>36524</v>
      </c>
      <c r="AI87">
        <v>76</v>
      </c>
      <c r="AJ87">
        <v>1552</v>
      </c>
      <c r="AK87">
        <v>2640</v>
      </c>
      <c r="AL87" t="b">
        <v>0</v>
      </c>
      <c r="AM87" s="76">
        <v>39960.849421296298</v>
      </c>
      <c r="AN87" t="s">
        <v>3412</v>
      </c>
      <c r="AO87" t="s">
        <v>3650</v>
      </c>
      <c r="AP87" s="79" t="str">
        <f>HYPERLINK("https://t.co/mi60edRm6Z")</f>
        <v>https://t.co/mi60edRm6Z</v>
      </c>
      <c r="AQ87" s="79" t="str">
        <f>HYPERLINK("http://rvl.uv.cl")</f>
        <v>http://rvl.uv.cl</v>
      </c>
      <c r="AR87" t="s">
        <v>4065</v>
      </c>
      <c r="AS87" s="79" t="str">
        <f>HYPERLINK("https://t.co/4n3nT97d6X")</f>
        <v>https://t.co/4n3nT97d6X</v>
      </c>
      <c r="AT87" s="79" t="str">
        <f>HYPERLINK("http://uv.cl/radio/")</f>
        <v>http://uv.cl/radio/</v>
      </c>
      <c r="AU87" t="s">
        <v>4267</v>
      </c>
      <c r="AV87">
        <v>1.9298934522269199E+18</v>
      </c>
      <c r="AW87" s="79" t="str">
        <f>HYPERLINK("https://t.co/mi60edRm6Z")</f>
        <v>https://t.co/mi60edRm6Z</v>
      </c>
      <c r="AX87" t="b">
        <v>0</v>
      </c>
      <c r="AZ87" t="b">
        <v>0</v>
      </c>
      <c r="BA87" t="b">
        <v>0</v>
      </c>
      <c r="BB87" t="b">
        <v>1</v>
      </c>
      <c r="BC87" t="b">
        <v>0</v>
      </c>
      <c r="BD87" t="b">
        <v>0</v>
      </c>
      <c r="BE87" t="b">
        <v>1</v>
      </c>
      <c r="BF87" t="b">
        <v>0</v>
      </c>
      <c r="BG87" t="b">
        <v>0</v>
      </c>
      <c r="BH87" s="79" t="str">
        <f>HYPERLINK("https://pbs.twimg.com/profile_banners/42961651/1661343490")</f>
        <v>https://pbs.twimg.com/profile_banners/42961651/1661343490</v>
      </c>
      <c r="BJ87" t="s">
        <v>4320</v>
      </c>
      <c r="BK87" t="b">
        <v>0</v>
      </c>
      <c r="BM87" t="s">
        <v>65</v>
      </c>
      <c r="BN87" t="s">
        <v>4322</v>
      </c>
      <c r="BO87" s="79" t="str">
        <f>HYPERLINK("https://twitter.com/rvletelier")</f>
        <v>https://twitter.com/rvletelier</v>
      </c>
      <c r="BP87" s="112" t="str">
        <f>REPLACE(INDEX(GroupVertices[Group], MATCH("~"&amp;Vertices[[#This Row],[Vertex]],GroupVertices[Vertex],0)),1,1,"")</f>
        <v>36</v>
      </c>
      <c r="BQ87" s="2"/>
    </row>
    <row r="88" spans="1:69" x14ac:dyDescent="0.25">
      <c r="A88" s="61" t="s">
        <v>513</v>
      </c>
      <c r="B88" s="62"/>
      <c r="C88" s="62"/>
      <c r="D88" s="63">
        <v>1.5</v>
      </c>
      <c r="E88" s="65"/>
      <c r="F88" s="97" t="str">
        <f>HYPERLINK("https://pbs.twimg.com/profile_images/1707699003029118976/zc44vf01_normal.jpg")</f>
        <v>https://pbs.twimg.com/profile_images/1707699003029118976/zc44vf01_normal.jpg</v>
      </c>
      <c r="G88" s="62"/>
      <c r="H88" s="66"/>
      <c r="I88" s="67"/>
      <c r="J88" s="67"/>
      <c r="K88" s="66" t="s">
        <v>4340</v>
      </c>
      <c r="L88" s="70"/>
      <c r="M88" s="71">
        <v>1115.551513671875</v>
      </c>
      <c r="N88" s="71">
        <v>2908.83203125</v>
      </c>
      <c r="O88" s="72"/>
      <c r="P88" s="73"/>
      <c r="Q88" s="73"/>
      <c r="R88" s="81"/>
      <c r="S88" s="45">
        <v>1</v>
      </c>
      <c r="T88" s="45">
        <v>0</v>
      </c>
      <c r="U88" s="46">
        <v>0</v>
      </c>
      <c r="V88" s="46">
        <v>2.7950000000000002E-3</v>
      </c>
      <c r="W88" s="47"/>
      <c r="X88" s="47"/>
      <c r="Y88" s="47"/>
      <c r="Z88" s="46"/>
      <c r="AA88" s="68">
        <v>88</v>
      </c>
      <c r="AB88"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88" s="69"/>
      <c r="AD88" t="s">
        <v>2702</v>
      </c>
      <c r="AE88" s="77" t="s">
        <v>3164</v>
      </c>
      <c r="AF88">
        <v>2249</v>
      </c>
      <c r="AG88">
        <v>3620</v>
      </c>
      <c r="AH88">
        <v>9950</v>
      </c>
      <c r="AI88">
        <v>10</v>
      </c>
      <c r="AJ88">
        <v>2125</v>
      </c>
      <c r="AK88">
        <v>1046</v>
      </c>
      <c r="AL88" t="b">
        <v>0</v>
      </c>
      <c r="AM88" s="76">
        <v>40037.807083333333</v>
      </c>
      <c r="AN88" t="s">
        <v>3413</v>
      </c>
      <c r="AO88" t="s">
        <v>3651</v>
      </c>
      <c r="AX88" t="b">
        <v>0</v>
      </c>
      <c r="AZ88" t="b">
        <v>0</v>
      </c>
      <c r="BA88" t="b">
        <v>0</v>
      </c>
      <c r="BB88" t="b">
        <v>1</v>
      </c>
      <c r="BC88" t="b">
        <v>0</v>
      </c>
      <c r="BD88" t="b">
        <v>0</v>
      </c>
      <c r="BE88" t="b">
        <v>1</v>
      </c>
      <c r="BF88" t="b">
        <v>0</v>
      </c>
      <c r="BG88" t="b">
        <v>0</v>
      </c>
      <c r="BH88" s="79" t="str">
        <f>HYPERLINK("https://pbs.twimg.com/profile_banners/65131520/1526690443")</f>
        <v>https://pbs.twimg.com/profile_banners/65131520/1526690443</v>
      </c>
      <c r="BJ88" t="s">
        <v>4320</v>
      </c>
      <c r="BK88" t="b">
        <v>0</v>
      </c>
      <c r="BM88" t="s">
        <v>65</v>
      </c>
      <c r="BN88" t="s">
        <v>4322</v>
      </c>
      <c r="BO88" s="79" t="str">
        <f>HYPERLINK("https://twitter.com/pmecklenburg")</f>
        <v>https://twitter.com/pmecklenburg</v>
      </c>
      <c r="BP88" s="112" t="str">
        <f>REPLACE(INDEX(GroupVertices[Group], MATCH("~"&amp;Vertices[[#This Row],[Vertex]],GroupVertices[Vertex],0)),1,1,"")</f>
        <v>36</v>
      </c>
      <c r="BQ88" s="2"/>
    </row>
    <row r="89" spans="1:69" x14ac:dyDescent="0.25">
      <c r="A89" s="61" t="s">
        <v>234</v>
      </c>
      <c r="B89" s="62"/>
      <c r="C89" s="62"/>
      <c r="D89" s="63">
        <v>1.5</v>
      </c>
      <c r="E89" s="65"/>
      <c r="F89" s="97" t="str">
        <f>HYPERLINK("https://pbs.twimg.com/profile_images/1199494484297428992/i5oXT39R_normal.jpg")</f>
        <v>https://pbs.twimg.com/profile_images/1199494484297428992/i5oXT39R_normal.jpg</v>
      </c>
      <c r="G89" s="62"/>
      <c r="H89" s="66"/>
      <c r="I89" s="67"/>
      <c r="J89" s="67"/>
      <c r="K89" s="66" t="s">
        <v>4341</v>
      </c>
      <c r="L89" s="70"/>
      <c r="M89" s="71">
        <v>4445.77001953125</v>
      </c>
      <c r="N89" s="71">
        <v>2597.60595703125</v>
      </c>
      <c r="O89" s="72"/>
      <c r="P89" s="73"/>
      <c r="Q89" s="73"/>
      <c r="R89" s="81"/>
      <c r="S89" s="45">
        <v>0</v>
      </c>
      <c r="T89" s="45">
        <v>1</v>
      </c>
      <c r="U89" s="46">
        <v>0</v>
      </c>
      <c r="V89" s="46">
        <v>8.9449999999999998E-3</v>
      </c>
      <c r="W89" s="47"/>
      <c r="X89" s="47"/>
      <c r="Y89" s="47"/>
      <c r="Z89" s="46"/>
      <c r="AA89" s="68">
        <v>89</v>
      </c>
      <c r="AB89"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89" s="69"/>
      <c r="AD89" t="s">
        <v>2703</v>
      </c>
      <c r="AE89" s="77" t="s">
        <v>2537</v>
      </c>
      <c r="AF89">
        <v>122</v>
      </c>
      <c r="AG89">
        <v>164</v>
      </c>
      <c r="AH89">
        <v>6211</v>
      </c>
      <c r="AI89">
        <v>1</v>
      </c>
      <c r="AJ89">
        <v>8268</v>
      </c>
      <c r="AK89">
        <v>20</v>
      </c>
      <c r="AL89" t="b">
        <v>0</v>
      </c>
      <c r="AM89" s="76">
        <v>43782.936180555553</v>
      </c>
      <c r="AX89" t="b">
        <v>0</v>
      </c>
      <c r="BA89" t="b">
        <v>0</v>
      </c>
      <c r="BB89" t="b">
        <v>0</v>
      </c>
      <c r="BC89" t="b">
        <v>1</v>
      </c>
      <c r="BD89" t="b">
        <v>0</v>
      </c>
      <c r="BE89" t="b">
        <v>1</v>
      </c>
      <c r="BF89" t="b">
        <v>0</v>
      </c>
      <c r="BG89" t="b">
        <v>0</v>
      </c>
      <c r="BJ89" t="s">
        <v>4320</v>
      </c>
      <c r="BK89" t="b">
        <v>0</v>
      </c>
      <c r="BM89" t="s">
        <v>66</v>
      </c>
      <c r="BN89" t="s">
        <v>4322</v>
      </c>
      <c r="BO89" s="79" t="str">
        <f>HYPERLINK("https://twitter.com/franciscoav13")</f>
        <v>https://twitter.com/franciscoav13</v>
      </c>
      <c r="BP89" s="112" t="str">
        <f>REPLACE(INDEX(GroupVertices[Group], MATCH("~"&amp;Vertices[[#This Row],[Vertex]],GroupVertices[Vertex],0)),1,1,"")</f>
        <v>7</v>
      </c>
      <c r="BQ89" s="2"/>
    </row>
    <row r="90" spans="1:69" x14ac:dyDescent="0.25">
      <c r="A90" s="61" t="s">
        <v>515</v>
      </c>
      <c r="B90" s="62"/>
      <c r="C90" s="62"/>
      <c r="D90" s="63">
        <v>1.5</v>
      </c>
      <c r="E90" s="65"/>
      <c r="F90" s="97" t="str">
        <f>HYPERLINK("https://pbs.twimg.com/profile_images/1793858909062459392/yTUWal2O_normal.jpg")</f>
        <v>https://pbs.twimg.com/profile_images/1793858909062459392/yTUWal2O_normal.jpg</v>
      </c>
      <c r="G90" s="62"/>
      <c r="H90" s="66"/>
      <c r="I90" s="67"/>
      <c r="J90" s="67"/>
      <c r="K90" s="66" t="s">
        <v>4343</v>
      </c>
      <c r="L90" s="70"/>
      <c r="M90" s="71">
        <v>4020.125244140625</v>
      </c>
      <c r="N90" s="71">
        <v>8715.3515625</v>
      </c>
      <c r="O90" s="72"/>
      <c r="P90" s="73"/>
      <c r="Q90" s="73"/>
      <c r="R90" s="81"/>
      <c r="S90" s="45">
        <v>1</v>
      </c>
      <c r="T90" s="45">
        <v>0</v>
      </c>
      <c r="U90" s="46">
        <v>0</v>
      </c>
      <c r="V90" s="46">
        <v>7.4869999999999997E-3</v>
      </c>
      <c r="W90" s="47"/>
      <c r="X90" s="47"/>
      <c r="Y90" s="47"/>
      <c r="Z90" s="46"/>
      <c r="AA90" s="68">
        <v>90</v>
      </c>
      <c r="AB90"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90" s="69"/>
      <c r="AD90" t="s">
        <v>2705</v>
      </c>
      <c r="AE90" s="77" t="s">
        <v>2374</v>
      </c>
      <c r="AF90">
        <v>23141</v>
      </c>
      <c r="AG90">
        <v>1494</v>
      </c>
      <c r="AH90">
        <v>10558</v>
      </c>
      <c r="AI90">
        <v>102</v>
      </c>
      <c r="AJ90">
        <v>26587</v>
      </c>
      <c r="AK90">
        <v>910</v>
      </c>
      <c r="AL90" t="b">
        <v>0</v>
      </c>
      <c r="AM90" s="76">
        <v>40423.075983796298</v>
      </c>
      <c r="AN90" t="s">
        <v>3414</v>
      </c>
      <c r="AO90" t="s">
        <v>3653</v>
      </c>
      <c r="AP90" s="79" t="str">
        <f>HYPERLINK("https://t.co/RUu8DrwV52")</f>
        <v>https://t.co/RUu8DrwV52</v>
      </c>
      <c r="AQ90" s="79" t="str">
        <f>HYPERLINK("http://www.claudiadebuen.com")</f>
        <v>http://www.claudiadebuen.com</v>
      </c>
      <c r="AR90" t="s">
        <v>4066</v>
      </c>
      <c r="AW90" s="79" t="str">
        <f>HYPERLINK("https://t.co/RUu8DrwV52")</f>
        <v>https://t.co/RUu8DrwV52</v>
      </c>
      <c r="AX90" t="b">
        <v>1</v>
      </c>
      <c r="AZ90" t="b">
        <v>0</v>
      </c>
      <c r="BA90" t="b">
        <v>0</v>
      </c>
      <c r="BB90" t="b">
        <v>1</v>
      </c>
      <c r="BC90" t="b">
        <v>1</v>
      </c>
      <c r="BD90" t="b">
        <v>0</v>
      </c>
      <c r="BE90" t="b">
        <v>1</v>
      </c>
      <c r="BF90" t="b">
        <v>0</v>
      </c>
      <c r="BG90" t="b">
        <v>0</v>
      </c>
      <c r="BH90" s="79" t="str">
        <f>HYPERLINK("https://pbs.twimg.com/profile_banners/185882316/1637856156")</f>
        <v>https://pbs.twimg.com/profile_banners/185882316/1637856156</v>
      </c>
      <c r="BJ90" t="s">
        <v>4320</v>
      </c>
      <c r="BK90" t="b">
        <v>0</v>
      </c>
      <c r="BM90" t="s">
        <v>65</v>
      </c>
      <c r="BN90" t="s">
        <v>4322</v>
      </c>
      <c r="BO90" s="79" t="str">
        <f>HYPERLINK("https://twitter.com/clausdebuen")</f>
        <v>https://twitter.com/clausdebuen</v>
      </c>
      <c r="BP90" s="112" t="str">
        <f>REPLACE(INDEX(GroupVertices[Group], MATCH("~"&amp;Vertices[[#This Row],[Vertex]],GroupVertices[Vertex],0)),1,1,"")</f>
        <v>6</v>
      </c>
      <c r="BQ90" s="2"/>
    </row>
    <row r="91" spans="1:69" x14ac:dyDescent="0.25">
      <c r="A91" s="61" t="s">
        <v>236</v>
      </c>
      <c r="B91" s="62"/>
      <c r="C91" s="62"/>
      <c r="D91" s="63">
        <v>1.5</v>
      </c>
      <c r="E91" s="65"/>
      <c r="F91" s="97" t="str">
        <f>HYPERLINK("https://pbs.twimg.com/profile_images/1925109894241243136/UMtjvxHI_normal.jpg")</f>
        <v>https://pbs.twimg.com/profile_images/1925109894241243136/UMtjvxHI_normal.jpg</v>
      </c>
      <c r="G91" s="62"/>
      <c r="H91" s="66"/>
      <c r="I91" s="67"/>
      <c r="J91" s="67"/>
      <c r="K91" s="66" t="s">
        <v>4345</v>
      </c>
      <c r="L91" s="70"/>
      <c r="M91" s="71">
        <v>221.55313110351563</v>
      </c>
      <c r="N91" s="71">
        <v>3676.978271484375</v>
      </c>
      <c r="O91" s="72"/>
      <c r="P91" s="73"/>
      <c r="Q91" s="73"/>
      <c r="R91" s="81"/>
      <c r="S91" s="45">
        <v>1</v>
      </c>
      <c r="T91" s="45">
        <v>1</v>
      </c>
      <c r="U91" s="46">
        <v>0</v>
      </c>
      <c r="V91" s="46">
        <v>0</v>
      </c>
      <c r="W91" s="47"/>
      <c r="X91" s="47"/>
      <c r="Y91" s="47"/>
      <c r="Z91" s="46"/>
      <c r="AA91" s="68">
        <v>91</v>
      </c>
      <c r="AB91"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91" s="69"/>
      <c r="AD91" t="s">
        <v>2707</v>
      </c>
      <c r="AE91" s="77" t="s">
        <v>2538</v>
      </c>
      <c r="AF91">
        <v>1127</v>
      </c>
      <c r="AG91">
        <v>434</v>
      </c>
      <c r="AH91">
        <v>27240</v>
      </c>
      <c r="AI91">
        <v>8</v>
      </c>
      <c r="AJ91">
        <v>72142</v>
      </c>
      <c r="AK91">
        <v>3622</v>
      </c>
      <c r="AL91" t="b">
        <v>0</v>
      </c>
      <c r="AM91" s="76">
        <v>44686.69253472222</v>
      </c>
      <c r="AN91" t="s">
        <v>3416</v>
      </c>
      <c r="AO91" t="s">
        <v>3655</v>
      </c>
      <c r="AV91">
        <v>1.80567024232639E+18</v>
      </c>
      <c r="AX91" t="b">
        <v>0</v>
      </c>
      <c r="BA91" t="b">
        <v>0</v>
      </c>
      <c r="BB91" t="b">
        <v>1</v>
      </c>
      <c r="BC91" t="b">
        <v>1</v>
      </c>
      <c r="BD91" t="b">
        <v>0</v>
      </c>
      <c r="BE91" t="b">
        <v>1</v>
      </c>
      <c r="BF91" t="b">
        <v>0</v>
      </c>
      <c r="BG91" t="b">
        <v>0</v>
      </c>
      <c r="BH91" s="79" t="str">
        <f>HYPERLINK("https://pbs.twimg.com/profile_banners/1522254046735876104/1736623102")</f>
        <v>https://pbs.twimg.com/profile_banners/1522254046735876104/1736623102</v>
      </c>
      <c r="BJ91" t="s">
        <v>4320</v>
      </c>
      <c r="BK91" t="b">
        <v>0</v>
      </c>
      <c r="BM91" t="s">
        <v>66</v>
      </c>
      <c r="BN91" t="s">
        <v>4322</v>
      </c>
      <c r="BO91" s="79" t="str">
        <f>HYPERLINK("https://twitter.com/fridomessi")</f>
        <v>https://twitter.com/fridomessi</v>
      </c>
      <c r="BP91" s="112" t="str">
        <f>REPLACE(INDEX(GroupVertices[Group], MATCH("~"&amp;Vertices[[#This Row],[Vertex]],GroupVertices[Vertex],0)),1,1,"")</f>
        <v>169</v>
      </c>
      <c r="BQ91" s="2"/>
    </row>
    <row r="92" spans="1:69" x14ac:dyDescent="0.25">
      <c r="A92" s="61" t="s">
        <v>237</v>
      </c>
      <c r="B92" s="62"/>
      <c r="C92" s="62"/>
      <c r="D92" s="63">
        <v>1.5</v>
      </c>
      <c r="E92" s="65"/>
      <c r="F92" s="97" t="str">
        <f>HYPERLINK("https://pbs.twimg.com/profile_images/1734243095963709440/M5u1bG76_normal.jpg")</f>
        <v>https://pbs.twimg.com/profile_images/1734243095963709440/M5u1bG76_normal.jpg</v>
      </c>
      <c r="G92" s="62"/>
      <c r="H92" s="66"/>
      <c r="I92" s="67"/>
      <c r="J92" s="67"/>
      <c r="K92" s="66" t="s">
        <v>4346</v>
      </c>
      <c r="L92" s="70"/>
      <c r="M92" s="71">
        <v>5916.03125</v>
      </c>
      <c r="N92" s="71">
        <v>4727.01806640625</v>
      </c>
      <c r="O92" s="72"/>
      <c r="P92" s="73"/>
      <c r="Q92" s="73"/>
      <c r="R92" s="81"/>
      <c r="S92" s="45">
        <v>0</v>
      </c>
      <c r="T92" s="45">
        <v>1</v>
      </c>
      <c r="U92" s="46">
        <v>0</v>
      </c>
      <c r="V92" s="46">
        <v>2.0960000000000002E-3</v>
      </c>
      <c r="W92" s="47"/>
      <c r="X92" s="47"/>
      <c r="Y92" s="47"/>
      <c r="Z92" s="46"/>
      <c r="AA92" s="68">
        <v>92</v>
      </c>
      <c r="AB92"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92" s="69"/>
      <c r="AD92" t="s">
        <v>2708</v>
      </c>
      <c r="AE92" s="77" t="s">
        <v>3167</v>
      </c>
      <c r="AF92">
        <v>68</v>
      </c>
      <c r="AG92">
        <v>247</v>
      </c>
      <c r="AH92">
        <v>664</v>
      </c>
      <c r="AI92">
        <v>0</v>
      </c>
      <c r="AJ92">
        <v>9779</v>
      </c>
      <c r="AK92">
        <v>36</v>
      </c>
      <c r="AL92" t="b">
        <v>0</v>
      </c>
      <c r="AM92" s="76">
        <v>41738.657951388886</v>
      </c>
      <c r="AN92" t="s">
        <v>3417</v>
      </c>
      <c r="AO92" t="s">
        <v>3656</v>
      </c>
      <c r="AX92" t="b">
        <v>0</v>
      </c>
      <c r="BA92" t="b">
        <v>0</v>
      </c>
      <c r="BB92" t="b">
        <v>1</v>
      </c>
      <c r="BC92" t="b">
        <v>1</v>
      </c>
      <c r="BD92" t="b">
        <v>0</v>
      </c>
      <c r="BE92" t="b">
        <v>0</v>
      </c>
      <c r="BF92" t="b">
        <v>0</v>
      </c>
      <c r="BG92" t="b">
        <v>0</v>
      </c>
      <c r="BH92" s="79" t="str">
        <f>HYPERLINK("https://pbs.twimg.com/profile_banners/2471929277/1702310750")</f>
        <v>https://pbs.twimg.com/profile_banners/2471929277/1702310750</v>
      </c>
      <c r="BJ92" t="s">
        <v>4320</v>
      </c>
      <c r="BK92" t="b">
        <v>0</v>
      </c>
      <c r="BM92" t="s">
        <v>66</v>
      </c>
      <c r="BN92" t="s">
        <v>4322</v>
      </c>
      <c r="BO92" s="79" t="str">
        <f>HYPERLINK("https://twitter.com/piernasdcolusso")</f>
        <v>https://twitter.com/piernasdcolusso</v>
      </c>
      <c r="BP92" s="112" t="str">
        <f>REPLACE(INDEX(GroupVertices[Group], MATCH("~"&amp;Vertices[[#This Row],[Vertex]],GroupVertices[Vertex],0)),1,1,"")</f>
        <v>97</v>
      </c>
      <c r="BQ92" s="2"/>
    </row>
    <row r="93" spans="1:69" x14ac:dyDescent="0.25">
      <c r="A93" s="61" t="s">
        <v>517</v>
      </c>
      <c r="B93" s="62"/>
      <c r="C93" s="62"/>
      <c r="D93" s="63">
        <v>1.5</v>
      </c>
      <c r="E93" s="65"/>
      <c r="F93" s="97" t="str">
        <f>HYPERLINK("https://pbs.twimg.com/profile_images/1927412516679733248/7T65LB-M_normal.jpg")</f>
        <v>https://pbs.twimg.com/profile_images/1927412516679733248/7T65LB-M_normal.jpg</v>
      </c>
      <c r="G93" s="62"/>
      <c r="H93" s="66"/>
      <c r="I93" s="67"/>
      <c r="J93" s="67"/>
      <c r="K93" s="66" t="s">
        <v>4347</v>
      </c>
      <c r="L93" s="70"/>
      <c r="M93" s="71">
        <v>5075.716796875</v>
      </c>
      <c r="N93" s="71">
        <v>6567.31103515625</v>
      </c>
      <c r="O93" s="72"/>
      <c r="P93" s="73"/>
      <c r="Q93" s="73"/>
      <c r="R93" s="81"/>
      <c r="S93" s="45">
        <v>1</v>
      </c>
      <c r="T93" s="45">
        <v>0</v>
      </c>
      <c r="U93" s="46">
        <v>0</v>
      </c>
      <c r="V93" s="46">
        <v>2.0960000000000002E-3</v>
      </c>
      <c r="W93" s="47"/>
      <c r="X93" s="47"/>
      <c r="Y93" s="47"/>
      <c r="Z93" s="46"/>
      <c r="AA93" s="68">
        <v>93</v>
      </c>
      <c r="AB93"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93" s="69"/>
      <c r="AD93" t="s">
        <v>2709</v>
      </c>
      <c r="AE93" s="77" t="s">
        <v>2375</v>
      </c>
      <c r="AF93">
        <v>3082</v>
      </c>
      <c r="AG93">
        <v>1053</v>
      </c>
      <c r="AH93">
        <v>79890</v>
      </c>
      <c r="AI93">
        <v>18</v>
      </c>
      <c r="AJ93">
        <v>27053</v>
      </c>
      <c r="AK93">
        <v>5397</v>
      </c>
      <c r="AL93" t="b">
        <v>0</v>
      </c>
      <c r="AM93" s="76">
        <v>40952.967488425929</v>
      </c>
      <c r="AN93" t="s">
        <v>3418</v>
      </c>
      <c r="AO93" t="s">
        <v>3657</v>
      </c>
      <c r="AV93">
        <v>1.83232170943041E+18</v>
      </c>
      <c r="AX93" t="b">
        <v>0</v>
      </c>
      <c r="AZ93" t="b">
        <v>0</v>
      </c>
      <c r="BA93" t="b">
        <v>1</v>
      </c>
      <c r="BB93" t="b">
        <v>0</v>
      </c>
      <c r="BC93" t="b">
        <v>1</v>
      </c>
      <c r="BD93" t="b">
        <v>0</v>
      </c>
      <c r="BE93" t="b">
        <v>1</v>
      </c>
      <c r="BF93" t="b">
        <v>0</v>
      </c>
      <c r="BG93" t="b">
        <v>0</v>
      </c>
      <c r="BH93" s="79" t="str">
        <f>HYPERLINK("https://pbs.twimg.com/profile_banners/491718378/1524418665")</f>
        <v>https://pbs.twimg.com/profile_banners/491718378/1524418665</v>
      </c>
      <c r="BJ93" t="s">
        <v>4320</v>
      </c>
      <c r="BK93" t="b">
        <v>0</v>
      </c>
      <c r="BM93" t="s">
        <v>65</v>
      </c>
      <c r="BN93" t="s">
        <v>4322</v>
      </c>
      <c r="BO93" s="79" t="str">
        <f>HYPERLINK("https://twitter.com/osopinonne")</f>
        <v>https://twitter.com/osopinonne</v>
      </c>
      <c r="BP93" s="112" t="str">
        <f>REPLACE(INDEX(GroupVertices[Group], MATCH("~"&amp;Vertices[[#This Row],[Vertex]],GroupVertices[Vertex],0)),1,1,"")</f>
        <v>97</v>
      </c>
      <c r="BQ93" s="2"/>
    </row>
    <row r="94" spans="1:69" x14ac:dyDescent="0.25">
      <c r="A94" s="61" t="s">
        <v>238</v>
      </c>
      <c r="B94" s="62"/>
      <c r="C94" s="62"/>
      <c r="D94" s="63">
        <v>1.5</v>
      </c>
      <c r="E94" s="65"/>
      <c r="F94" s="97" t="str">
        <f>HYPERLINK("https://pbs.twimg.com/profile_images/617760980643258368/LigwWM0t_normal.jpg")</f>
        <v>https://pbs.twimg.com/profile_images/617760980643258368/LigwWM0t_normal.jpg</v>
      </c>
      <c r="G94" s="62"/>
      <c r="H94" s="66"/>
      <c r="I94" s="67"/>
      <c r="J94" s="67"/>
      <c r="K94" s="66" t="s">
        <v>4348</v>
      </c>
      <c r="L94" s="70"/>
      <c r="M94" s="71">
        <v>8434.466796875</v>
      </c>
      <c r="N94" s="71">
        <v>8226.537109375</v>
      </c>
      <c r="O94" s="72"/>
      <c r="P94" s="73"/>
      <c r="Q94" s="73"/>
      <c r="R94" s="81"/>
      <c r="S94" s="45">
        <v>0</v>
      </c>
      <c r="T94" s="45">
        <v>1</v>
      </c>
      <c r="U94" s="46">
        <v>0</v>
      </c>
      <c r="V94" s="46">
        <v>2.0960000000000002E-3</v>
      </c>
      <c r="W94" s="47"/>
      <c r="X94" s="47"/>
      <c r="Y94" s="47"/>
      <c r="Z94" s="46"/>
      <c r="AA94" s="68">
        <v>94</v>
      </c>
      <c r="AB94"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94" s="69"/>
      <c r="AD94" t="s">
        <v>2710</v>
      </c>
      <c r="AE94" s="77" t="s">
        <v>3168</v>
      </c>
      <c r="AF94">
        <v>3290</v>
      </c>
      <c r="AG94">
        <v>3230</v>
      </c>
      <c r="AH94">
        <v>821946</v>
      </c>
      <c r="AI94">
        <v>38</v>
      </c>
      <c r="AJ94">
        <v>32335</v>
      </c>
      <c r="AK94">
        <v>5008</v>
      </c>
      <c r="AL94" t="b">
        <v>0</v>
      </c>
      <c r="AM94" s="76">
        <v>42179.688194444447</v>
      </c>
      <c r="AN94" t="s">
        <v>3419</v>
      </c>
      <c r="AV94">
        <v>1.5855985355458801E+18</v>
      </c>
      <c r="AX94" t="b">
        <v>0</v>
      </c>
      <c r="BA94" t="b">
        <v>0</v>
      </c>
      <c r="BB94" t="b">
        <v>0</v>
      </c>
      <c r="BC94" t="b">
        <v>1</v>
      </c>
      <c r="BD94" t="b">
        <v>0</v>
      </c>
      <c r="BE94" t="b">
        <v>1</v>
      </c>
      <c r="BF94" t="b">
        <v>0</v>
      </c>
      <c r="BG94" t="b">
        <v>0</v>
      </c>
      <c r="BH94" s="79" t="str">
        <f>HYPERLINK("https://pbs.twimg.com/profile_banners/3344268101/1436120629")</f>
        <v>https://pbs.twimg.com/profile_banners/3344268101/1436120629</v>
      </c>
      <c r="BJ94" t="s">
        <v>4320</v>
      </c>
      <c r="BK94" t="b">
        <v>0</v>
      </c>
      <c r="BM94" t="s">
        <v>66</v>
      </c>
      <c r="BN94" t="s">
        <v>4322</v>
      </c>
      <c r="BO94" s="79" t="str">
        <f>HYPERLINK("https://twitter.com/gracimou")</f>
        <v>https://twitter.com/gracimou</v>
      </c>
      <c r="BP94" s="112" t="str">
        <f>REPLACE(INDEX(GroupVertices[Group], MATCH("~"&amp;Vertices[[#This Row],[Vertex]],GroupVertices[Vertex],0)),1,1,"")</f>
        <v>66</v>
      </c>
      <c r="BQ94" s="2"/>
    </row>
    <row r="95" spans="1:69" x14ac:dyDescent="0.25">
      <c r="A95" s="61" t="s">
        <v>518</v>
      </c>
      <c r="B95" s="62"/>
      <c r="C95" s="62"/>
      <c r="D95" s="63">
        <v>1.5</v>
      </c>
      <c r="E95" s="65"/>
      <c r="F95" s="97" t="str">
        <f>HYPERLINK("https://pbs.twimg.com/profile_images/1712506874665345024/1IN-_Awb_normal.jpg")</f>
        <v>https://pbs.twimg.com/profile_images/1712506874665345024/1IN-_Awb_normal.jpg</v>
      </c>
      <c r="G95" s="62"/>
      <c r="H95" s="66"/>
      <c r="I95" s="67"/>
      <c r="J95" s="67"/>
      <c r="K95" s="66" t="s">
        <v>4349</v>
      </c>
      <c r="L95" s="70"/>
      <c r="M95" s="71">
        <v>5895.56640625</v>
      </c>
      <c r="N95" s="71">
        <v>6847.7587890625</v>
      </c>
      <c r="O95" s="72"/>
      <c r="P95" s="73"/>
      <c r="Q95" s="73"/>
      <c r="R95" s="81"/>
      <c r="S95" s="45">
        <v>1</v>
      </c>
      <c r="T95" s="45">
        <v>0</v>
      </c>
      <c r="U95" s="46">
        <v>0</v>
      </c>
      <c r="V95" s="46">
        <v>2.0960000000000002E-3</v>
      </c>
      <c r="W95" s="47"/>
      <c r="X95" s="47"/>
      <c r="Y95" s="47"/>
      <c r="Z95" s="46"/>
      <c r="AA95" s="68">
        <v>95</v>
      </c>
      <c r="AB95"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95" s="69"/>
      <c r="AD95" t="s">
        <v>2711</v>
      </c>
      <c r="AE95" s="77" t="s">
        <v>2376</v>
      </c>
      <c r="AF95">
        <v>3734630</v>
      </c>
      <c r="AG95">
        <v>2</v>
      </c>
      <c r="AH95">
        <v>478923</v>
      </c>
      <c r="AI95">
        <v>2714</v>
      </c>
      <c r="AJ95">
        <v>33831</v>
      </c>
      <c r="AK95">
        <v>28468</v>
      </c>
      <c r="AL95" t="b">
        <v>0</v>
      </c>
      <c r="AM95" s="76">
        <v>40315.139837962961</v>
      </c>
      <c r="AN95" t="s">
        <v>3419</v>
      </c>
      <c r="AO95" t="s">
        <v>3658</v>
      </c>
      <c r="AP95" s="79" t="str">
        <f>HYPERLINK("https://t.co/UUfYQFxbFA")</f>
        <v>https://t.co/UUfYQFxbFA</v>
      </c>
      <c r="AQ95" s="79" t="str">
        <f>HYPERLINK("http://instagram.com/angeldebritooki")</f>
        <v>http://instagram.com/angeldebritooki</v>
      </c>
      <c r="AR95" t="s">
        <v>4068</v>
      </c>
      <c r="AS95" s="79" t="str">
        <f>HYPERLINK("https://t.co/NCwx9sowPv")</f>
        <v>https://t.co/NCwx9sowPv</v>
      </c>
      <c r="AT95" s="79" t="str">
        <f>HYPERLINK("https://youtube.com/@elejercitodeangel?si=D7g_XiUzhyJlTzl7")</f>
        <v>https://youtube.com/@elejercitodeangel?si=D7g_XiUzhyJlTzl7</v>
      </c>
      <c r="AU95" t="s">
        <v>4268</v>
      </c>
      <c r="AV95">
        <v>1.9298760187114399E+18</v>
      </c>
      <c r="AW95" s="79" t="str">
        <f>HYPERLINK("https://t.co/UUfYQFxbFA")</f>
        <v>https://t.co/UUfYQFxbFA</v>
      </c>
      <c r="AX95" t="b">
        <v>1</v>
      </c>
      <c r="AZ95" t="b">
        <v>0</v>
      </c>
      <c r="BA95" t="b">
        <v>1</v>
      </c>
      <c r="BB95" t="b">
        <v>0</v>
      </c>
      <c r="BC95" t="b">
        <v>1</v>
      </c>
      <c r="BD95" t="b">
        <v>0</v>
      </c>
      <c r="BE95" t="b">
        <v>1</v>
      </c>
      <c r="BF95" t="b">
        <v>0</v>
      </c>
      <c r="BG95" t="b">
        <v>0</v>
      </c>
      <c r="BH95" s="79" t="str">
        <f>HYPERLINK("https://pbs.twimg.com/profile_banners/144712423/1746215724")</f>
        <v>https://pbs.twimg.com/profile_banners/144712423/1746215724</v>
      </c>
      <c r="BJ95" t="s">
        <v>4321</v>
      </c>
      <c r="BK95" t="b">
        <v>0</v>
      </c>
      <c r="BM95" t="s">
        <v>65</v>
      </c>
      <c r="BN95" t="s">
        <v>4322</v>
      </c>
      <c r="BO95" s="79" t="str">
        <f>HYPERLINK("https://twitter.com/angeldebritook")</f>
        <v>https://twitter.com/angeldebritook</v>
      </c>
      <c r="BP95" s="112" t="str">
        <f>REPLACE(INDEX(GroupVertices[Group], MATCH("~"&amp;Vertices[[#This Row],[Vertex]],GroupVertices[Vertex],0)),1,1,"")</f>
        <v>66</v>
      </c>
      <c r="BQ95" s="2"/>
    </row>
    <row r="96" spans="1:69" x14ac:dyDescent="0.25">
      <c r="A96" s="61" t="s">
        <v>239</v>
      </c>
      <c r="B96" s="62"/>
      <c r="C96" s="62"/>
      <c r="D96" s="63">
        <v>1.5</v>
      </c>
      <c r="E96" s="65"/>
      <c r="F96" s="97" t="str">
        <f>HYPERLINK("https://pbs.twimg.com/profile_images/905960368308076544/1mOxwZ-f_normal.jpg")</f>
        <v>https://pbs.twimg.com/profile_images/905960368308076544/1mOxwZ-f_normal.jpg</v>
      </c>
      <c r="G96" s="62"/>
      <c r="H96" s="66"/>
      <c r="I96" s="67"/>
      <c r="J96" s="67"/>
      <c r="K96" s="66" t="s">
        <v>4350</v>
      </c>
      <c r="L96" s="70"/>
      <c r="M96" s="71">
        <v>4977.24169921875</v>
      </c>
      <c r="N96" s="71">
        <v>4440.970703125</v>
      </c>
      <c r="O96" s="72"/>
      <c r="P96" s="73"/>
      <c r="Q96" s="73"/>
      <c r="R96" s="81"/>
      <c r="S96" s="45">
        <v>0</v>
      </c>
      <c r="T96" s="45">
        <v>1</v>
      </c>
      <c r="U96" s="46">
        <v>0</v>
      </c>
      <c r="V96" s="46">
        <v>1.1611E-2</v>
      </c>
      <c r="W96" s="47"/>
      <c r="X96" s="47"/>
      <c r="Y96" s="47"/>
      <c r="Z96" s="46"/>
      <c r="AA96" s="68">
        <v>96</v>
      </c>
      <c r="AB96"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96" s="69"/>
      <c r="AD96" t="s">
        <v>2712</v>
      </c>
      <c r="AE96" s="77" t="s">
        <v>3169</v>
      </c>
      <c r="AF96">
        <v>700</v>
      </c>
      <c r="AG96">
        <v>322</v>
      </c>
      <c r="AH96">
        <v>221126</v>
      </c>
      <c r="AI96">
        <v>4</v>
      </c>
      <c r="AJ96">
        <v>845</v>
      </c>
      <c r="AK96">
        <v>329</v>
      </c>
      <c r="AL96" t="b">
        <v>0</v>
      </c>
      <c r="AM96" s="76">
        <v>41223.884375000001</v>
      </c>
      <c r="AN96" t="s">
        <v>3420</v>
      </c>
      <c r="AO96" t="s">
        <v>3659</v>
      </c>
      <c r="AV96">
        <v>9.1494261840410202E+17</v>
      </c>
      <c r="AX96" t="b">
        <v>0</v>
      </c>
      <c r="BA96" t="b">
        <v>1</v>
      </c>
      <c r="BB96" t="b">
        <v>1</v>
      </c>
      <c r="BC96" t="b">
        <v>0</v>
      </c>
      <c r="BD96" t="b">
        <v>0</v>
      </c>
      <c r="BE96" t="b">
        <v>1</v>
      </c>
      <c r="BF96" t="b">
        <v>0</v>
      </c>
      <c r="BG96" t="b">
        <v>0</v>
      </c>
      <c r="BH96" s="79" t="str">
        <f>HYPERLINK("https://pbs.twimg.com/profile_banners/939952549/1441131207")</f>
        <v>https://pbs.twimg.com/profile_banners/939952549/1441131207</v>
      </c>
      <c r="BJ96" t="s">
        <v>4320</v>
      </c>
      <c r="BK96" t="b">
        <v>0</v>
      </c>
      <c r="BM96" t="s">
        <v>66</v>
      </c>
      <c r="BN96" t="s">
        <v>4322</v>
      </c>
      <c r="BO96" s="79" t="str">
        <f>HYPERLINK("https://twitter.com/gdehoyos100")</f>
        <v>https://twitter.com/gdehoyos100</v>
      </c>
      <c r="BP96" s="112" t="str">
        <f>REPLACE(INDEX(GroupVertices[Group], MATCH("~"&amp;Vertices[[#This Row],[Vertex]],GroupVertices[Vertex],0)),1,1,"")</f>
        <v>4</v>
      </c>
      <c r="BQ96" s="2"/>
    </row>
    <row r="97" spans="1:69" x14ac:dyDescent="0.25">
      <c r="A97" s="61" t="s">
        <v>240</v>
      </c>
      <c r="B97" s="62"/>
      <c r="C97" s="62"/>
      <c r="D97" s="63">
        <v>1.5</v>
      </c>
      <c r="E97" s="65"/>
      <c r="F97" s="97" t="str">
        <f>HYPERLINK("https://pbs.twimg.com/profile_images/1929292254713184257/9A9axR4J_normal.jpg")</f>
        <v>https://pbs.twimg.com/profile_images/1929292254713184257/9A9axR4J_normal.jpg</v>
      </c>
      <c r="G97" s="62"/>
      <c r="H97" s="66"/>
      <c r="I97" s="67"/>
      <c r="J97" s="67"/>
      <c r="K97" s="66" t="s">
        <v>4352</v>
      </c>
      <c r="L97" s="70"/>
      <c r="M97" s="71">
        <v>5726.7314453125</v>
      </c>
      <c r="N97" s="71">
        <v>1363.825927734375</v>
      </c>
      <c r="O97" s="72"/>
      <c r="P97" s="73"/>
      <c r="Q97" s="73"/>
      <c r="R97" s="81"/>
      <c r="S97" s="45">
        <v>0</v>
      </c>
      <c r="T97" s="45">
        <v>1</v>
      </c>
      <c r="U97" s="46">
        <v>0</v>
      </c>
      <c r="V97" s="46">
        <v>2.0960000000000002E-3</v>
      </c>
      <c r="W97" s="47"/>
      <c r="X97" s="47"/>
      <c r="Y97" s="47"/>
      <c r="Z97" s="46"/>
      <c r="AA97" s="68">
        <v>97</v>
      </c>
      <c r="AB97"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97" s="69"/>
      <c r="AD97" t="s">
        <v>2714</v>
      </c>
      <c r="AE97" s="77" t="s">
        <v>2539</v>
      </c>
      <c r="AF97">
        <v>117</v>
      </c>
      <c r="AG97">
        <v>236</v>
      </c>
      <c r="AH97">
        <v>12340</v>
      </c>
      <c r="AI97">
        <v>2</v>
      </c>
      <c r="AJ97">
        <v>6122</v>
      </c>
      <c r="AK97">
        <v>1433</v>
      </c>
      <c r="AL97" t="b">
        <v>0</v>
      </c>
      <c r="AM97" s="76">
        <v>44689.942337962966</v>
      </c>
      <c r="AN97" t="s">
        <v>3422</v>
      </c>
      <c r="AO97" t="s">
        <v>3661</v>
      </c>
      <c r="AV97">
        <v>1.82534651075981E+18</v>
      </c>
      <c r="AX97" t="b">
        <v>0</v>
      </c>
      <c r="BA97" t="b">
        <v>0</v>
      </c>
      <c r="BB97" t="b">
        <v>0</v>
      </c>
      <c r="BC97" t="b">
        <v>1</v>
      </c>
      <c r="BD97" t="b">
        <v>0</v>
      </c>
      <c r="BE97" t="b">
        <v>0</v>
      </c>
      <c r="BF97" t="b">
        <v>0</v>
      </c>
      <c r="BG97" t="b">
        <v>0</v>
      </c>
      <c r="BH97" s="79" t="str">
        <f>HYPERLINK("https://pbs.twimg.com/profile_banners/1523431745470689280/1722479253")</f>
        <v>https://pbs.twimg.com/profile_banners/1523431745470689280/1722479253</v>
      </c>
      <c r="BJ97" t="s">
        <v>4320</v>
      </c>
      <c r="BK97" t="b">
        <v>0</v>
      </c>
      <c r="BM97" t="s">
        <v>66</v>
      </c>
      <c r="BN97" t="s">
        <v>4322</v>
      </c>
      <c r="BO97" s="79" t="str">
        <f>HYPERLINK("https://twitter.com/baeccipink")</f>
        <v>https://twitter.com/baeccipink</v>
      </c>
      <c r="BP97" s="112" t="str">
        <f>REPLACE(INDEX(GroupVertices[Group], MATCH("~"&amp;Vertices[[#This Row],[Vertex]],GroupVertices[Vertex],0)),1,1,"")</f>
        <v>83</v>
      </c>
      <c r="BQ97" s="2"/>
    </row>
    <row r="98" spans="1:69" x14ac:dyDescent="0.25">
      <c r="A98" s="61" t="s">
        <v>424</v>
      </c>
      <c r="B98" s="62"/>
      <c r="C98" s="62"/>
      <c r="D98" s="63">
        <v>1.5</v>
      </c>
      <c r="E98" s="65"/>
      <c r="F98" s="97" t="str">
        <f>HYPERLINK("https://pbs.twimg.com/profile_images/1925518124452880384/MhrIv2ux_normal.jpg")</f>
        <v>https://pbs.twimg.com/profile_images/1925518124452880384/MhrIv2ux_normal.jpg</v>
      </c>
      <c r="G98" s="62"/>
      <c r="H98" s="66"/>
      <c r="I98" s="67"/>
      <c r="J98" s="67"/>
      <c r="K98" s="66" t="s">
        <v>4353</v>
      </c>
      <c r="L98" s="70"/>
      <c r="M98" s="71">
        <v>3359.84521484375</v>
      </c>
      <c r="N98" s="71">
        <v>1215.5343017578125</v>
      </c>
      <c r="O98" s="72"/>
      <c r="P98" s="73"/>
      <c r="Q98" s="73"/>
      <c r="R98" s="81"/>
      <c r="S98" s="45">
        <v>2</v>
      </c>
      <c r="T98" s="45">
        <v>1</v>
      </c>
      <c r="U98" s="46">
        <v>0</v>
      </c>
      <c r="V98" s="46">
        <v>2.0960000000000002E-3</v>
      </c>
      <c r="W98" s="47"/>
      <c r="X98" s="47"/>
      <c r="Y98" s="47"/>
      <c r="Z98" s="46"/>
      <c r="AA98" s="68">
        <v>98</v>
      </c>
      <c r="AB98"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98" s="69"/>
      <c r="AD98" t="s">
        <v>2715</v>
      </c>
      <c r="AE98" s="77" t="s">
        <v>3171</v>
      </c>
      <c r="AF98">
        <v>1674</v>
      </c>
      <c r="AG98">
        <v>1805</v>
      </c>
      <c r="AH98">
        <v>78891</v>
      </c>
      <c r="AI98">
        <v>20</v>
      </c>
      <c r="AJ98">
        <v>86340</v>
      </c>
      <c r="AK98">
        <v>11718</v>
      </c>
      <c r="AL98" t="b">
        <v>0</v>
      </c>
      <c r="AM98" s="76">
        <v>42204.799791666665</v>
      </c>
      <c r="AN98" t="s">
        <v>3423</v>
      </c>
      <c r="AO98" t="s">
        <v>3662</v>
      </c>
      <c r="AP98" s="79" t="str">
        <f>HYPERLINK("https://t.co/2iWvELQ0rL")</f>
        <v>https://t.co/2iWvELQ0rL</v>
      </c>
      <c r="AQ98" s="79" t="str">
        <f>HYPERLINK("https://kykyschan.straw.page/")</f>
        <v>https://kykyschan.straw.page/</v>
      </c>
      <c r="AR98" t="s">
        <v>4070</v>
      </c>
      <c r="AV98">
        <v>1.92879462391839E+18</v>
      </c>
      <c r="AW98" s="79" t="str">
        <f>HYPERLINK("https://t.co/2iWvELQ0rL")</f>
        <v>https://t.co/2iWvELQ0rL</v>
      </c>
      <c r="AX98" t="b">
        <v>0</v>
      </c>
      <c r="BA98" t="b">
        <v>0</v>
      </c>
      <c r="BB98" t="b">
        <v>0</v>
      </c>
      <c r="BC98" t="b">
        <v>1</v>
      </c>
      <c r="BD98" t="b">
        <v>0</v>
      </c>
      <c r="BE98" t="b">
        <v>1</v>
      </c>
      <c r="BF98" t="b">
        <v>0</v>
      </c>
      <c r="BG98" t="b">
        <v>0</v>
      </c>
      <c r="BH98" s="79" t="str">
        <f>HYPERLINK("https://pbs.twimg.com/profile_banners/3284663407/1743546660")</f>
        <v>https://pbs.twimg.com/profile_banners/3284663407/1743546660</v>
      </c>
      <c r="BJ98" t="s">
        <v>4320</v>
      </c>
      <c r="BK98" t="b">
        <v>0</v>
      </c>
      <c r="BM98" t="s">
        <v>66</v>
      </c>
      <c r="BN98" t="s">
        <v>4322</v>
      </c>
      <c r="BO98" s="79" t="str">
        <f>HYPERLINK("https://twitter.com/kykyschan")</f>
        <v>https://twitter.com/kykyschan</v>
      </c>
      <c r="BP98" s="112" t="str">
        <f>REPLACE(INDEX(GroupVertices[Group], MATCH("~"&amp;Vertices[[#This Row],[Vertex]],GroupVertices[Vertex],0)),1,1,"")</f>
        <v>83</v>
      </c>
      <c r="BQ98" s="2"/>
    </row>
    <row r="99" spans="1:69" x14ac:dyDescent="0.25">
      <c r="A99" s="61" t="s">
        <v>241</v>
      </c>
      <c r="B99" s="62"/>
      <c r="C99" s="62"/>
      <c r="D99" s="63">
        <v>1.5</v>
      </c>
      <c r="E99" s="65"/>
      <c r="F99" s="97" t="str">
        <f>HYPERLINK("https://pbs.twimg.com/profile_images/1877711056161693696/6Snnf-l5_normal.jpg")</f>
        <v>https://pbs.twimg.com/profile_images/1877711056161693696/6Snnf-l5_normal.jpg</v>
      </c>
      <c r="G99" s="62"/>
      <c r="H99" s="66"/>
      <c r="I99" s="67"/>
      <c r="J99" s="67"/>
      <c r="K99" s="66" t="s">
        <v>4354</v>
      </c>
      <c r="L99" s="70"/>
      <c r="M99" s="71">
        <v>5383.07763671875</v>
      </c>
      <c r="N99" s="71">
        <v>9756.0791015625</v>
      </c>
      <c r="O99" s="72"/>
      <c r="P99" s="73"/>
      <c r="Q99" s="73"/>
      <c r="R99" s="81"/>
      <c r="S99" s="45">
        <v>1</v>
      </c>
      <c r="T99" s="45">
        <v>1</v>
      </c>
      <c r="U99" s="46">
        <v>0</v>
      </c>
      <c r="V99" s="46">
        <v>0</v>
      </c>
      <c r="W99" s="47"/>
      <c r="X99" s="47"/>
      <c r="Y99" s="47"/>
      <c r="Z99" s="46"/>
      <c r="AA99" s="68">
        <v>99</v>
      </c>
      <c r="AB99"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99" s="69"/>
      <c r="AD99" t="s">
        <v>2716</v>
      </c>
      <c r="AE99" s="77" t="s">
        <v>3172</v>
      </c>
      <c r="AF99">
        <v>3595</v>
      </c>
      <c r="AG99">
        <v>1003</v>
      </c>
      <c r="AH99">
        <v>19141</v>
      </c>
      <c r="AI99">
        <v>53</v>
      </c>
      <c r="AJ99">
        <v>4134</v>
      </c>
      <c r="AK99">
        <v>16380</v>
      </c>
      <c r="AL99" t="b">
        <v>0</v>
      </c>
      <c r="AM99" s="76">
        <v>41457.092766203707</v>
      </c>
      <c r="AN99" t="s">
        <v>3424</v>
      </c>
      <c r="AO99" t="s">
        <v>3663</v>
      </c>
      <c r="AP99" s="79" t="str">
        <f>HYPERLINK("https://t.co/dbVRCjcC3H")</f>
        <v>https://t.co/dbVRCjcC3H</v>
      </c>
      <c r="AQ99" s="79" t="str">
        <f>HYPERLINK("http://www.municipalidadalhue.cl/")</f>
        <v>http://www.municipalidadalhue.cl/</v>
      </c>
      <c r="AR99" t="s">
        <v>4071</v>
      </c>
      <c r="AW99" s="79" t="str">
        <f>HYPERLINK("https://t.co/dbVRCjcC3H")</f>
        <v>https://t.co/dbVRCjcC3H</v>
      </c>
      <c r="AX99" t="b">
        <v>0</v>
      </c>
      <c r="BA99" t="b">
        <v>0</v>
      </c>
      <c r="BB99" t="b">
        <v>1</v>
      </c>
      <c r="BC99" t="b">
        <v>0</v>
      </c>
      <c r="BD99" t="b">
        <v>0</v>
      </c>
      <c r="BE99" t="b">
        <v>1</v>
      </c>
      <c r="BF99" t="b">
        <v>0</v>
      </c>
      <c r="BG99" t="b">
        <v>0</v>
      </c>
      <c r="BH99" s="79" t="str">
        <f>HYPERLINK("https://pbs.twimg.com/profile_banners/1561982048/1727357593")</f>
        <v>https://pbs.twimg.com/profile_banners/1561982048/1727357593</v>
      </c>
      <c r="BJ99" t="s">
        <v>4320</v>
      </c>
      <c r="BK99" t="b">
        <v>0</v>
      </c>
      <c r="BM99" t="s">
        <v>66</v>
      </c>
      <c r="BN99" t="s">
        <v>4322</v>
      </c>
      <c r="BO99" s="79" t="str">
        <f>HYPERLINK("https://twitter.com/muni_alhue")</f>
        <v>https://twitter.com/muni_alhue</v>
      </c>
      <c r="BP99" s="112" t="str">
        <f>REPLACE(INDEX(GroupVertices[Group], MATCH("~"&amp;Vertices[[#This Row],[Vertex]],GroupVertices[Vertex],0)),1,1,"")</f>
        <v>123</v>
      </c>
      <c r="BQ99" s="2"/>
    </row>
    <row r="100" spans="1:69" x14ac:dyDescent="0.25">
      <c r="A100" s="61" t="s">
        <v>242</v>
      </c>
      <c r="B100" s="62"/>
      <c r="C100" s="62"/>
      <c r="D100" s="63">
        <v>1.5</v>
      </c>
      <c r="E100" s="65"/>
      <c r="F100" s="97" t="str">
        <f>HYPERLINK("https://pbs.twimg.com/profile_images/1422913232369553408/-0Fc5dsn_normal.jpg")</f>
        <v>https://pbs.twimg.com/profile_images/1422913232369553408/-0Fc5dsn_normal.jpg</v>
      </c>
      <c r="G100" s="62"/>
      <c r="H100" s="66"/>
      <c r="I100" s="67"/>
      <c r="J100" s="67"/>
      <c r="K100" s="66" t="s">
        <v>4355</v>
      </c>
      <c r="L100" s="70"/>
      <c r="M100" s="71">
        <v>575.1029052734375</v>
      </c>
      <c r="N100" s="71">
        <v>3197.9755859375</v>
      </c>
      <c r="O100" s="72"/>
      <c r="P100" s="73"/>
      <c r="Q100" s="73"/>
      <c r="R100" s="81"/>
      <c r="S100" s="45">
        <v>1</v>
      </c>
      <c r="T100" s="45">
        <v>1</v>
      </c>
      <c r="U100" s="46">
        <v>0</v>
      </c>
      <c r="V100" s="46">
        <v>0</v>
      </c>
      <c r="W100" s="47"/>
      <c r="X100" s="47"/>
      <c r="Y100" s="47"/>
      <c r="Z100" s="46"/>
      <c r="AA100" s="68">
        <v>100</v>
      </c>
      <c r="AB100"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00" s="69"/>
      <c r="AD100" t="s">
        <v>2717</v>
      </c>
      <c r="AE100" s="77" t="s">
        <v>2540</v>
      </c>
      <c r="AF100">
        <v>5673</v>
      </c>
      <c r="AG100">
        <v>1725</v>
      </c>
      <c r="AH100">
        <v>123879</v>
      </c>
      <c r="AI100">
        <v>35</v>
      </c>
      <c r="AJ100">
        <v>2554</v>
      </c>
      <c r="AK100">
        <v>15397</v>
      </c>
      <c r="AL100" t="b">
        <v>0</v>
      </c>
      <c r="AM100" s="76">
        <v>43851.614421296297</v>
      </c>
      <c r="AN100" t="s">
        <v>3412</v>
      </c>
      <c r="AO100" t="s">
        <v>3664</v>
      </c>
      <c r="AP100" s="79" t="str">
        <f>HYPERLINK("https://t.co/QbnYjHckcT")</f>
        <v>https://t.co/QbnYjHckcT</v>
      </c>
      <c r="AQ100" s="79" t="str">
        <f>HYPERLINK("https://g5noticias.cl/")</f>
        <v>https://g5noticias.cl/</v>
      </c>
      <c r="AR100" t="s">
        <v>1138</v>
      </c>
      <c r="AW100" s="79" t="str">
        <f>HYPERLINK("https://t.co/QbnYjHckcT")</f>
        <v>https://t.co/QbnYjHckcT</v>
      </c>
      <c r="AX100" t="b">
        <v>0</v>
      </c>
      <c r="BA100" t="b">
        <v>0</v>
      </c>
      <c r="BB100" t="b">
        <v>1</v>
      </c>
      <c r="BC100" t="b">
        <v>1</v>
      </c>
      <c r="BD100" t="b">
        <v>0</v>
      </c>
      <c r="BE100" t="b">
        <v>1</v>
      </c>
      <c r="BF100" t="b">
        <v>0</v>
      </c>
      <c r="BG100" t="b">
        <v>0</v>
      </c>
      <c r="BH100" s="79" t="str">
        <f>HYPERLINK("https://pbs.twimg.com/profile_banners/1219631852866220037/1628107657")</f>
        <v>https://pbs.twimg.com/profile_banners/1219631852866220037/1628107657</v>
      </c>
      <c r="BJ100" t="s">
        <v>4320</v>
      </c>
      <c r="BK100" t="b">
        <v>0</v>
      </c>
      <c r="BM100" t="s">
        <v>66</v>
      </c>
      <c r="BN100" t="s">
        <v>4322</v>
      </c>
      <c r="BO100" s="79" t="str">
        <f>HYPERLINK("https://twitter.com/g5_noticias")</f>
        <v>https://twitter.com/g5_noticias</v>
      </c>
      <c r="BP100" s="112" t="str">
        <f>REPLACE(INDEX(GroupVertices[Group], MATCH("~"&amp;Vertices[[#This Row],[Vertex]],GroupVertices[Vertex],0)),1,1,"")</f>
        <v>149</v>
      </c>
      <c r="BQ100" s="2"/>
    </row>
    <row r="101" spans="1:69" x14ac:dyDescent="0.25">
      <c r="A101" s="61" t="s">
        <v>243</v>
      </c>
      <c r="B101" s="62"/>
      <c r="C101" s="62"/>
      <c r="D101" s="63">
        <v>1.5</v>
      </c>
      <c r="E101" s="65"/>
      <c r="F101" s="97" t="str">
        <f>HYPERLINK("https://pbs.twimg.com/profile_images/1915724557937192960/lxYCnMTe_normal.jpg")</f>
        <v>https://pbs.twimg.com/profile_images/1915724557937192960/lxYCnMTe_normal.jpg</v>
      </c>
      <c r="G101" s="62"/>
      <c r="H101" s="66"/>
      <c r="I101" s="67"/>
      <c r="J101" s="67"/>
      <c r="K101" s="66" t="s">
        <v>4356</v>
      </c>
      <c r="L101" s="70"/>
      <c r="M101" s="71">
        <v>7208.05322265625</v>
      </c>
      <c r="N101" s="71">
        <v>8636.859375</v>
      </c>
      <c r="O101" s="72"/>
      <c r="P101" s="73"/>
      <c r="Q101" s="73"/>
      <c r="R101" s="81"/>
      <c r="S101" s="45">
        <v>0</v>
      </c>
      <c r="T101" s="45">
        <v>1</v>
      </c>
      <c r="U101" s="46">
        <v>0</v>
      </c>
      <c r="V101" s="46">
        <v>2.0960000000000002E-3</v>
      </c>
      <c r="W101" s="47"/>
      <c r="X101" s="47"/>
      <c r="Y101" s="47"/>
      <c r="Z101" s="46"/>
      <c r="AA101" s="68">
        <v>101</v>
      </c>
      <c r="AB101"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01" s="69"/>
      <c r="AD101" t="s">
        <v>2718</v>
      </c>
      <c r="AE101" s="77" t="s">
        <v>3173</v>
      </c>
      <c r="AF101">
        <v>543</v>
      </c>
      <c r="AG101">
        <v>942</v>
      </c>
      <c r="AH101">
        <v>33119</v>
      </c>
      <c r="AI101">
        <v>3</v>
      </c>
      <c r="AJ101">
        <v>32466</v>
      </c>
      <c r="AK101">
        <v>1034</v>
      </c>
      <c r="AL101" t="b">
        <v>0</v>
      </c>
      <c r="AM101" s="76">
        <v>41650.668564814812</v>
      </c>
      <c r="AN101" t="s">
        <v>3425</v>
      </c>
      <c r="AO101" t="s">
        <v>3665</v>
      </c>
      <c r="AX101" t="b">
        <v>0</v>
      </c>
      <c r="BA101" t="b">
        <v>1</v>
      </c>
      <c r="BB101" t="b">
        <v>0</v>
      </c>
      <c r="BC101" t="b">
        <v>1</v>
      </c>
      <c r="BD101" t="b">
        <v>0</v>
      </c>
      <c r="BE101" t="b">
        <v>1</v>
      </c>
      <c r="BF101" t="b">
        <v>0</v>
      </c>
      <c r="BG101" t="b">
        <v>0</v>
      </c>
      <c r="BH101" s="79" t="str">
        <f>HYPERLINK("https://pbs.twimg.com/profile_banners/2275069247/1506700438")</f>
        <v>https://pbs.twimg.com/profile_banners/2275069247/1506700438</v>
      </c>
      <c r="BJ101" t="s">
        <v>4320</v>
      </c>
      <c r="BK101" t="b">
        <v>0</v>
      </c>
      <c r="BM101" t="s">
        <v>66</v>
      </c>
      <c r="BN101" t="s">
        <v>4322</v>
      </c>
      <c r="BO101" s="79" t="str">
        <f>HYPERLINK("https://twitter.com/lozan_sierra")</f>
        <v>https://twitter.com/lozan_sierra</v>
      </c>
      <c r="BP101" s="112" t="str">
        <f>REPLACE(INDEX(GroupVertices[Group], MATCH("~"&amp;Vertices[[#This Row],[Vertex]],GroupVertices[Vertex],0)),1,1,"")</f>
        <v>92</v>
      </c>
      <c r="BQ101" s="2"/>
    </row>
    <row r="102" spans="1:69" x14ac:dyDescent="0.25">
      <c r="A102" s="61" t="s">
        <v>519</v>
      </c>
      <c r="B102" s="62"/>
      <c r="C102" s="62"/>
      <c r="D102" s="63">
        <v>1.5</v>
      </c>
      <c r="E102" s="65"/>
      <c r="F102" s="97" t="str">
        <f>HYPERLINK("https://pbs.twimg.com/profile_images/1829314017564737536/p90fZgZX_normal.jpg")</f>
        <v>https://pbs.twimg.com/profile_images/1829314017564737536/p90fZgZX_normal.jpg</v>
      </c>
      <c r="G102" s="62"/>
      <c r="H102" s="66"/>
      <c r="I102" s="67"/>
      <c r="J102" s="67"/>
      <c r="K102" s="66" t="s">
        <v>4357</v>
      </c>
      <c r="L102" s="70"/>
      <c r="M102" s="71">
        <v>6677.11279296875</v>
      </c>
      <c r="N102" s="71">
        <v>7963.93505859375</v>
      </c>
      <c r="O102" s="72"/>
      <c r="P102" s="73"/>
      <c r="Q102" s="73"/>
      <c r="R102" s="81"/>
      <c r="S102" s="45">
        <v>1</v>
      </c>
      <c r="T102" s="45">
        <v>0</v>
      </c>
      <c r="U102" s="46">
        <v>0</v>
      </c>
      <c r="V102" s="46">
        <v>2.0960000000000002E-3</v>
      </c>
      <c r="W102" s="47"/>
      <c r="X102" s="47"/>
      <c r="Y102" s="47"/>
      <c r="Z102" s="46"/>
      <c r="AA102" s="68">
        <v>102</v>
      </c>
      <c r="AB102"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02" s="69"/>
      <c r="AD102" t="s">
        <v>2719</v>
      </c>
      <c r="AE102" s="77" t="s">
        <v>2377</v>
      </c>
      <c r="AF102">
        <v>5535</v>
      </c>
      <c r="AG102">
        <v>3736</v>
      </c>
      <c r="AH102">
        <v>16080</v>
      </c>
      <c r="AI102">
        <v>33</v>
      </c>
      <c r="AJ102">
        <v>36242</v>
      </c>
      <c r="AK102">
        <v>1053</v>
      </c>
      <c r="AL102" t="b">
        <v>0</v>
      </c>
      <c r="AM102" s="76">
        <v>40422.478368055556</v>
      </c>
      <c r="AN102" t="s">
        <v>3425</v>
      </c>
      <c r="AO102" t="s">
        <v>3666</v>
      </c>
      <c r="AV102">
        <v>1.7843549200506701E+18</v>
      </c>
      <c r="AX102" t="b">
        <v>0</v>
      </c>
      <c r="AZ102" t="b">
        <v>0</v>
      </c>
      <c r="BA102" t="b">
        <v>1</v>
      </c>
      <c r="BB102" t="b">
        <v>0</v>
      </c>
      <c r="BC102" t="b">
        <v>1</v>
      </c>
      <c r="BD102" t="b">
        <v>0</v>
      </c>
      <c r="BE102" t="b">
        <v>1</v>
      </c>
      <c r="BF102" t="b">
        <v>0</v>
      </c>
      <c r="BG102" t="b">
        <v>0</v>
      </c>
      <c r="BH102" s="79" t="str">
        <f>HYPERLINK("https://pbs.twimg.com/profile_banners/185599833/1614121255")</f>
        <v>https://pbs.twimg.com/profile_banners/185599833/1614121255</v>
      </c>
      <c r="BJ102" t="s">
        <v>4320</v>
      </c>
      <c r="BK102" t="b">
        <v>0</v>
      </c>
      <c r="BM102" t="s">
        <v>65</v>
      </c>
      <c r="BN102" t="s">
        <v>4322</v>
      </c>
      <c r="BO102" s="79" t="str">
        <f>HYPERLINK("https://twitter.com/adrianoiz")</f>
        <v>https://twitter.com/adrianoiz</v>
      </c>
      <c r="BP102" s="112" t="str">
        <f>REPLACE(INDEX(GroupVertices[Group], MATCH("~"&amp;Vertices[[#This Row],[Vertex]],GroupVertices[Vertex],0)),1,1,"")</f>
        <v>92</v>
      </c>
      <c r="BQ102" s="2"/>
    </row>
    <row r="103" spans="1:69" x14ac:dyDescent="0.25">
      <c r="A103" s="61" t="s">
        <v>520</v>
      </c>
      <c r="B103" s="62"/>
      <c r="C103" s="62"/>
      <c r="D103" s="63">
        <v>1.5</v>
      </c>
      <c r="E103" s="65"/>
      <c r="F103" s="97" t="str">
        <f>HYPERLINK("https://pbs.twimg.com/profile_images/1807833577075429376/INdqDiNB_normal.jpg")</f>
        <v>https://pbs.twimg.com/profile_images/1807833577075429376/INdqDiNB_normal.jpg</v>
      </c>
      <c r="G103" s="62"/>
      <c r="H103" s="66"/>
      <c r="I103" s="67"/>
      <c r="J103" s="67"/>
      <c r="K103" s="66" t="s">
        <v>4359</v>
      </c>
      <c r="L103" s="70"/>
      <c r="M103" s="71">
        <v>4305.02197265625</v>
      </c>
      <c r="N103" s="71">
        <v>640.78460693359375</v>
      </c>
      <c r="O103" s="72"/>
      <c r="P103" s="73"/>
      <c r="Q103" s="73"/>
      <c r="R103" s="81"/>
      <c r="S103" s="45">
        <v>1</v>
      </c>
      <c r="T103" s="45">
        <v>0</v>
      </c>
      <c r="U103" s="46">
        <v>0</v>
      </c>
      <c r="V103" s="46">
        <v>5.8230000000000001E-3</v>
      </c>
      <c r="W103" s="47"/>
      <c r="X103" s="47"/>
      <c r="Y103" s="47"/>
      <c r="Z103" s="46"/>
      <c r="AA103" s="68">
        <v>103</v>
      </c>
      <c r="AB103"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03" s="69"/>
      <c r="AD103" t="s">
        <v>2721</v>
      </c>
      <c r="AE103" s="77" t="s">
        <v>3174</v>
      </c>
      <c r="AF103">
        <v>957649</v>
      </c>
      <c r="AG103">
        <v>28</v>
      </c>
      <c r="AH103">
        <v>35969</v>
      </c>
      <c r="AI103">
        <v>2661</v>
      </c>
      <c r="AJ103">
        <v>290</v>
      </c>
      <c r="AK103">
        <v>15544</v>
      </c>
      <c r="AL103" t="b">
        <v>0</v>
      </c>
      <c r="AM103" s="76">
        <v>40092.941990740743</v>
      </c>
      <c r="AN103" t="s">
        <v>3415</v>
      </c>
      <c r="AO103" t="s">
        <v>3667</v>
      </c>
      <c r="AP103" s="79" t="str">
        <f>HYPERLINK("https://t.co/HGssGglZyC")</f>
        <v>https://t.co/HGssGglZyC</v>
      </c>
      <c r="AQ103" s="79" t="str">
        <f>HYPERLINK("http://www.scjn.gob.mx")</f>
        <v>http://www.scjn.gob.mx</v>
      </c>
      <c r="AR103" t="s">
        <v>4072</v>
      </c>
      <c r="AW103" s="79" t="str">
        <f>HYPERLINK("https://t.co/HGssGglZyC")</f>
        <v>https://t.co/HGssGglZyC</v>
      </c>
      <c r="AX103" t="b">
        <v>1</v>
      </c>
      <c r="AZ103" t="b">
        <v>0</v>
      </c>
      <c r="BA103" t="b">
        <v>0</v>
      </c>
      <c r="BB103" t="b">
        <v>1</v>
      </c>
      <c r="BC103" t="b">
        <v>0</v>
      </c>
      <c r="BD103" t="b">
        <v>0</v>
      </c>
      <c r="BE103" t="b">
        <v>0</v>
      </c>
      <c r="BF103" t="b">
        <v>0</v>
      </c>
      <c r="BG103" t="b">
        <v>0</v>
      </c>
      <c r="BH103" s="79" t="str">
        <f>HYPERLINK("https://pbs.twimg.com/profile_banners/80421729/1734029351")</f>
        <v>https://pbs.twimg.com/profile_banners/80421729/1734029351</v>
      </c>
      <c r="BJ103" t="s">
        <v>4320</v>
      </c>
      <c r="BK103" t="b">
        <v>0</v>
      </c>
      <c r="BM103" t="s">
        <v>65</v>
      </c>
      <c r="BN103" t="s">
        <v>4322</v>
      </c>
      <c r="BO103" s="79" t="str">
        <f>HYPERLINK("https://twitter.com/scjn")</f>
        <v>https://twitter.com/scjn</v>
      </c>
      <c r="BP103" s="112" t="str">
        <f>REPLACE(INDEX(GroupVertices[Group], MATCH("~"&amp;Vertices[[#This Row],[Vertex]],GroupVertices[Vertex],0)),1,1,"")</f>
        <v>10</v>
      </c>
      <c r="BQ103" s="2"/>
    </row>
    <row r="104" spans="1:69" x14ac:dyDescent="0.25">
      <c r="A104" s="61" t="s">
        <v>521</v>
      </c>
      <c r="B104" s="62"/>
      <c r="C104" s="62"/>
      <c r="D104" s="63">
        <v>1.5</v>
      </c>
      <c r="E104" s="65"/>
      <c r="F104" s="97" t="str">
        <f>HYPERLINK("https://pbs.twimg.com/profile_images/1727387706479501312/mha_b7iv_normal.jpg")</f>
        <v>https://pbs.twimg.com/profile_images/1727387706479501312/mha_b7iv_normal.jpg</v>
      </c>
      <c r="G104" s="62"/>
      <c r="H104" s="66"/>
      <c r="I104" s="67"/>
      <c r="J104" s="67"/>
      <c r="K104" s="66" t="s">
        <v>4360</v>
      </c>
      <c r="L104" s="70"/>
      <c r="M104" s="71">
        <v>2849.85009765625</v>
      </c>
      <c r="N104" s="71">
        <v>1993.7423095703125</v>
      </c>
      <c r="O104" s="72"/>
      <c r="P104" s="73"/>
      <c r="Q104" s="73"/>
      <c r="R104" s="81"/>
      <c r="S104" s="45">
        <v>1</v>
      </c>
      <c r="T104" s="45">
        <v>0</v>
      </c>
      <c r="U104" s="46">
        <v>0</v>
      </c>
      <c r="V104" s="46">
        <v>5.8230000000000001E-3</v>
      </c>
      <c r="W104" s="47"/>
      <c r="X104" s="47"/>
      <c r="Y104" s="47"/>
      <c r="Z104" s="46"/>
      <c r="AA104" s="68">
        <v>104</v>
      </c>
      <c r="AB104"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04" s="69"/>
      <c r="AD104" t="s">
        <v>2722</v>
      </c>
      <c r="AE104" s="77" t="s">
        <v>3175</v>
      </c>
      <c r="AF104">
        <v>328700</v>
      </c>
      <c r="AG104">
        <v>1415</v>
      </c>
      <c r="AH104">
        <v>6561</v>
      </c>
      <c r="AI104">
        <v>720</v>
      </c>
      <c r="AJ104">
        <v>30355</v>
      </c>
      <c r="AK104">
        <v>940</v>
      </c>
      <c r="AL104" t="b">
        <v>0</v>
      </c>
      <c r="AM104" s="76">
        <v>41976.724745370368</v>
      </c>
      <c r="AN104" t="s">
        <v>3415</v>
      </c>
      <c r="AO104" t="s">
        <v>3668</v>
      </c>
      <c r="AP104" s="79" t="str">
        <f>HYPERLINK("https://t.co/FEYyOeXkpV")</f>
        <v>https://t.co/FEYyOeXkpV</v>
      </c>
      <c r="AQ104" s="79" t="str">
        <f>HYPERLINK("https://hoo.be/arturozaldivarl")</f>
        <v>https://hoo.be/arturozaldivarl</v>
      </c>
      <c r="AR104" t="s">
        <v>4073</v>
      </c>
      <c r="AV104">
        <v>1.9299010202696399E+18</v>
      </c>
      <c r="AW104" s="79" t="str">
        <f>HYPERLINK("https://t.co/FEYyOeXkpV")</f>
        <v>https://t.co/FEYyOeXkpV</v>
      </c>
      <c r="AX104" t="b">
        <v>1</v>
      </c>
      <c r="AZ104" t="b">
        <v>0</v>
      </c>
      <c r="BA104" t="b">
        <v>0</v>
      </c>
      <c r="BB104" t="b">
        <v>1</v>
      </c>
      <c r="BC104" t="b">
        <v>0</v>
      </c>
      <c r="BD104" t="b">
        <v>0</v>
      </c>
      <c r="BE104" t="b">
        <v>1</v>
      </c>
      <c r="BF104" t="b">
        <v>0</v>
      </c>
      <c r="BG104" t="b">
        <v>0</v>
      </c>
      <c r="BH104" s="79" t="str">
        <f>HYPERLINK("https://pbs.twimg.com/profile_banners/2903980137/1707940090")</f>
        <v>https://pbs.twimg.com/profile_banners/2903980137/1707940090</v>
      </c>
      <c r="BJ104" t="s">
        <v>4320</v>
      </c>
      <c r="BK104" t="b">
        <v>0</v>
      </c>
      <c r="BM104" t="s">
        <v>65</v>
      </c>
      <c r="BN104" t="s">
        <v>4322</v>
      </c>
      <c r="BO104" s="79" t="str">
        <f>HYPERLINK("https://twitter.com/arturozaldivarl")</f>
        <v>https://twitter.com/arturozaldivarl</v>
      </c>
      <c r="BP104" s="112" t="str">
        <f>REPLACE(INDEX(GroupVertices[Group], MATCH("~"&amp;Vertices[[#This Row],[Vertex]],GroupVertices[Vertex],0)),1,1,"")</f>
        <v>10</v>
      </c>
      <c r="BQ104" s="2"/>
    </row>
    <row r="105" spans="1:69" x14ac:dyDescent="0.25">
      <c r="A105" s="61" t="s">
        <v>522</v>
      </c>
      <c r="B105" s="62"/>
      <c r="C105" s="62"/>
      <c r="D105" s="63">
        <v>1.5</v>
      </c>
      <c r="E105" s="65"/>
      <c r="F105" s="97" t="str">
        <f>HYPERLINK("https://pbs.twimg.com/profile_images/1612513981725302798/fHLLDmtJ_normal.jpg")</f>
        <v>https://pbs.twimg.com/profile_images/1612513981725302798/fHLLDmtJ_normal.jpg</v>
      </c>
      <c r="G105" s="62"/>
      <c r="H105" s="66"/>
      <c r="I105" s="67"/>
      <c r="J105" s="67"/>
      <c r="K105" s="66" t="s">
        <v>4361</v>
      </c>
      <c r="L105" s="70"/>
      <c r="M105" s="71">
        <v>8366.8271484375</v>
      </c>
      <c r="N105" s="71">
        <v>5711.732421875</v>
      </c>
      <c r="O105" s="72"/>
      <c r="P105" s="73"/>
      <c r="Q105" s="73"/>
      <c r="R105" s="81"/>
      <c r="S105" s="45">
        <v>1</v>
      </c>
      <c r="T105" s="45">
        <v>0</v>
      </c>
      <c r="U105" s="46">
        <v>0</v>
      </c>
      <c r="V105" s="46">
        <v>5.8230000000000001E-3</v>
      </c>
      <c r="W105" s="47"/>
      <c r="X105" s="47"/>
      <c r="Y105" s="47"/>
      <c r="Z105" s="46"/>
      <c r="AA105" s="68">
        <v>105</v>
      </c>
      <c r="AB105"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05" s="69"/>
      <c r="AD105" t="s">
        <v>2723</v>
      </c>
      <c r="AE105" s="77" t="s">
        <v>2378</v>
      </c>
      <c r="AF105">
        <v>48749</v>
      </c>
      <c r="AG105">
        <v>1894</v>
      </c>
      <c r="AH105">
        <v>23394</v>
      </c>
      <c r="AI105">
        <v>122</v>
      </c>
      <c r="AJ105">
        <v>174755</v>
      </c>
      <c r="AK105">
        <v>5997</v>
      </c>
      <c r="AL105" t="b">
        <v>0</v>
      </c>
      <c r="AM105" s="76">
        <v>41659.889074074075</v>
      </c>
      <c r="AN105" t="s">
        <v>3426</v>
      </c>
      <c r="AO105" t="s">
        <v>3669</v>
      </c>
      <c r="AP105" s="79" t="str">
        <f>HYPERLINK("https://t.co/TksaBxKQLk")</f>
        <v>https://t.co/TksaBxKQLk</v>
      </c>
      <c r="AQ105" s="79" t="str">
        <f>HYPERLINK("https://www.facebook.com/juan.olverarocha1")</f>
        <v>https://www.facebook.com/juan.olverarocha1</v>
      </c>
      <c r="AR105" t="s">
        <v>4074</v>
      </c>
      <c r="AV105">
        <v>1.35537206756736E+18</v>
      </c>
      <c r="AW105" s="79" t="str">
        <f>HYPERLINK("https://t.co/TksaBxKQLk")</f>
        <v>https://t.co/TksaBxKQLk</v>
      </c>
      <c r="AX105" t="b">
        <v>1</v>
      </c>
      <c r="AZ105" t="b">
        <v>0</v>
      </c>
      <c r="BA105" t="b">
        <v>0</v>
      </c>
      <c r="BB105" t="b">
        <v>0</v>
      </c>
      <c r="BC105" t="b">
        <v>0</v>
      </c>
      <c r="BD105" t="b">
        <v>0</v>
      </c>
      <c r="BE105" t="b">
        <v>1</v>
      </c>
      <c r="BF105" t="b">
        <v>0</v>
      </c>
      <c r="BG105" t="b">
        <v>0</v>
      </c>
      <c r="BH105" s="79" t="str">
        <f>HYPERLINK("https://pbs.twimg.com/profile_banners/2302035528/1718932047")</f>
        <v>https://pbs.twimg.com/profile_banners/2302035528/1718932047</v>
      </c>
      <c r="BJ105" t="s">
        <v>4320</v>
      </c>
      <c r="BK105" t="b">
        <v>0</v>
      </c>
      <c r="BM105" t="s">
        <v>65</v>
      </c>
      <c r="BN105" t="s">
        <v>4322</v>
      </c>
      <c r="BO105" s="79" t="str">
        <f>HYPERLINK("https://twitter.com/rocha4t")</f>
        <v>https://twitter.com/rocha4t</v>
      </c>
      <c r="BP105" s="112" t="str">
        <f>REPLACE(INDEX(GroupVertices[Group], MATCH("~"&amp;Vertices[[#This Row],[Vertex]],GroupVertices[Vertex],0)),1,1,"")</f>
        <v>10</v>
      </c>
      <c r="BQ105" s="2"/>
    </row>
    <row r="106" spans="1:69" x14ac:dyDescent="0.25">
      <c r="A106" s="61" t="s">
        <v>523</v>
      </c>
      <c r="B106" s="62"/>
      <c r="C106" s="62"/>
      <c r="D106" s="63">
        <v>1.5</v>
      </c>
      <c r="E106" s="65"/>
      <c r="F106" s="97" t="str">
        <f>HYPERLINK("https://pbs.twimg.com/profile_images/1907469907396276226/-h87UIR0_normal.jpg")</f>
        <v>https://pbs.twimg.com/profile_images/1907469907396276226/-h87UIR0_normal.jpg</v>
      </c>
      <c r="G106" s="62"/>
      <c r="H106" s="66"/>
      <c r="I106" s="67"/>
      <c r="J106" s="67"/>
      <c r="K106" s="66" t="s">
        <v>4362</v>
      </c>
      <c r="L106" s="70"/>
      <c r="M106" s="71">
        <v>3148.829345703125</v>
      </c>
      <c r="N106" s="71">
        <v>6712.05029296875</v>
      </c>
      <c r="O106" s="72"/>
      <c r="P106" s="73"/>
      <c r="Q106" s="73"/>
      <c r="R106" s="81"/>
      <c r="S106" s="45">
        <v>1</v>
      </c>
      <c r="T106" s="45">
        <v>0</v>
      </c>
      <c r="U106" s="46">
        <v>0</v>
      </c>
      <c r="V106" s="46">
        <v>5.8230000000000001E-3</v>
      </c>
      <c r="W106" s="47"/>
      <c r="X106" s="47"/>
      <c r="Y106" s="47"/>
      <c r="Z106" s="46"/>
      <c r="AA106" s="68">
        <v>106</v>
      </c>
      <c r="AB106"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06" s="69"/>
      <c r="AD106" t="s">
        <v>2724</v>
      </c>
      <c r="AE106" s="77" t="s">
        <v>3176</v>
      </c>
      <c r="AF106">
        <v>656557</v>
      </c>
      <c r="AG106">
        <v>484</v>
      </c>
      <c r="AH106">
        <v>97206</v>
      </c>
      <c r="AI106">
        <v>1796</v>
      </c>
      <c r="AJ106">
        <v>1649</v>
      </c>
      <c r="AK106">
        <v>46690</v>
      </c>
      <c r="AL106" t="b">
        <v>0</v>
      </c>
      <c r="AM106" s="76">
        <v>40960.70685185185</v>
      </c>
      <c r="AN106" t="s">
        <v>3427</v>
      </c>
      <c r="AO106" t="s">
        <v>3670</v>
      </c>
      <c r="AP106" s="79" t="str">
        <f>HYPERLINK("https://t.co/UAiQstWkZb")</f>
        <v>https://t.co/UAiQstWkZb</v>
      </c>
      <c r="AQ106" s="79" t="str">
        <f>HYPERLINK("http://www.diputados.gob.mx")</f>
        <v>http://www.diputados.gob.mx</v>
      </c>
      <c r="AR106" t="s">
        <v>4075</v>
      </c>
      <c r="AW106" s="79" t="str">
        <f>HYPERLINK("https://t.co/UAiQstWkZb")</f>
        <v>https://t.co/UAiQstWkZb</v>
      </c>
      <c r="AX106" t="b">
        <v>0</v>
      </c>
      <c r="AZ106" t="b">
        <v>0</v>
      </c>
      <c r="BA106" t="b">
        <v>0</v>
      </c>
      <c r="BB106" t="b">
        <v>1</v>
      </c>
      <c r="BC106" t="b">
        <v>0</v>
      </c>
      <c r="BD106" t="b">
        <v>0</v>
      </c>
      <c r="BE106" t="b">
        <v>1</v>
      </c>
      <c r="BF106" t="b">
        <v>0</v>
      </c>
      <c r="BG106" t="b">
        <v>0</v>
      </c>
      <c r="BH106" s="79" t="str">
        <f>HYPERLINK("https://pbs.twimg.com/profile_banners/498984649/1743533634")</f>
        <v>https://pbs.twimg.com/profile_banners/498984649/1743533634</v>
      </c>
      <c r="BJ106" t="s">
        <v>4320</v>
      </c>
      <c r="BK106" t="b">
        <v>0</v>
      </c>
      <c r="BM106" t="s">
        <v>65</v>
      </c>
      <c r="BN106" t="s">
        <v>4322</v>
      </c>
      <c r="BO106" s="79" t="str">
        <f>HYPERLINK("https://twitter.com/mx_diputados")</f>
        <v>https://twitter.com/mx_diputados</v>
      </c>
      <c r="BP106" s="112" t="str">
        <f>REPLACE(INDEX(GroupVertices[Group], MATCH("~"&amp;Vertices[[#This Row],[Vertex]],GroupVertices[Vertex],0)),1,1,"")</f>
        <v>10</v>
      </c>
      <c r="BQ106" s="2"/>
    </row>
    <row r="107" spans="1:69" x14ac:dyDescent="0.25">
      <c r="A107" s="61" t="s">
        <v>524</v>
      </c>
      <c r="B107" s="62"/>
      <c r="C107" s="62"/>
      <c r="D107" s="63">
        <v>1.5</v>
      </c>
      <c r="E107" s="65"/>
      <c r="F107" s="97" t="str">
        <f>HYPERLINK("https://pbs.twimg.com/profile_images/1727466315475030016/kbaThly3_normal.jpg")</f>
        <v>https://pbs.twimg.com/profile_images/1727466315475030016/kbaThly3_normal.jpg</v>
      </c>
      <c r="G107" s="62"/>
      <c r="H107" s="66"/>
      <c r="I107" s="67"/>
      <c r="J107" s="67"/>
      <c r="K107" s="66" t="s">
        <v>4363</v>
      </c>
      <c r="L107" s="70"/>
      <c r="M107" s="71">
        <v>7267.5849609375</v>
      </c>
      <c r="N107" s="71">
        <v>6240.0146484375</v>
      </c>
      <c r="O107" s="72"/>
      <c r="P107" s="73"/>
      <c r="Q107" s="73"/>
      <c r="R107" s="81"/>
      <c r="S107" s="45">
        <v>1</v>
      </c>
      <c r="T107" s="45">
        <v>0</v>
      </c>
      <c r="U107" s="46">
        <v>0</v>
      </c>
      <c r="V107" s="46">
        <v>5.8230000000000001E-3</v>
      </c>
      <c r="W107" s="47"/>
      <c r="X107" s="47"/>
      <c r="Y107" s="47"/>
      <c r="Z107" s="46"/>
      <c r="AA107" s="68">
        <v>107</v>
      </c>
      <c r="AB107"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07" s="69"/>
      <c r="AD107" t="s">
        <v>2725</v>
      </c>
      <c r="AE107" s="77" t="s">
        <v>2379</v>
      </c>
      <c r="AF107">
        <v>491537</v>
      </c>
      <c r="AG107">
        <v>1079</v>
      </c>
      <c r="AH107">
        <v>30811</v>
      </c>
      <c r="AI107">
        <v>537</v>
      </c>
      <c r="AJ107">
        <v>19031</v>
      </c>
      <c r="AK107">
        <v>8579</v>
      </c>
      <c r="AL107" t="b">
        <v>0</v>
      </c>
      <c r="AM107" s="76">
        <v>42967.062407407408</v>
      </c>
      <c r="AO107" t="s">
        <v>3671</v>
      </c>
      <c r="AP107" s="79" t="str">
        <f>HYPERLINK("https://t.co/cKCMatVJLd")</f>
        <v>https://t.co/cKCMatVJLd</v>
      </c>
      <c r="AQ107" s="79" t="str">
        <f>HYPERLINK("https://instagram.com/juncal_solano?utm_medium=copy_link")</f>
        <v>https://instagram.com/juncal_solano?utm_medium=copy_link</v>
      </c>
      <c r="AR107" t="s">
        <v>4076</v>
      </c>
      <c r="AV107">
        <v>1.9003664146423099E+18</v>
      </c>
      <c r="AW107" s="79" t="str">
        <f>HYPERLINK("https://t.co/cKCMatVJLd")</f>
        <v>https://t.co/cKCMatVJLd</v>
      </c>
      <c r="AX107" t="b">
        <v>1</v>
      </c>
      <c r="AZ107" t="b">
        <v>0</v>
      </c>
      <c r="BA107" t="b">
        <v>0</v>
      </c>
      <c r="BB107" t="b">
        <v>1</v>
      </c>
      <c r="BC107" t="b">
        <v>1</v>
      </c>
      <c r="BD107" t="b">
        <v>0</v>
      </c>
      <c r="BE107" t="b">
        <v>1</v>
      </c>
      <c r="BF107" t="b">
        <v>0</v>
      </c>
      <c r="BG107" t="b">
        <v>0</v>
      </c>
      <c r="BH107" s="79" t="str">
        <f>HYPERLINK("https://pbs.twimg.com/profile_banners/899081012172300288/1717047348")</f>
        <v>https://pbs.twimg.com/profile_banners/899081012172300288/1717047348</v>
      </c>
      <c r="BJ107" t="s">
        <v>4320</v>
      </c>
      <c r="BK107" t="b">
        <v>0</v>
      </c>
      <c r="BM107" t="s">
        <v>65</v>
      </c>
      <c r="BN107" t="s">
        <v>4322</v>
      </c>
      <c r="BO107" s="79" t="str">
        <f>HYPERLINK("https://twitter.com/juncalssolano")</f>
        <v>https://twitter.com/juncalssolano</v>
      </c>
      <c r="BP107" s="112" t="str">
        <f>REPLACE(INDEX(GroupVertices[Group], MATCH("~"&amp;Vertices[[#This Row],[Vertex]],GroupVertices[Vertex],0)),1,1,"")</f>
        <v>10</v>
      </c>
      <c r="BQ107" s="2"/>
    </row>
    <row r="108" spans="1:69" x14ac:dyDescent="0.25">
      <c r="A108" s="61" t="s">
        <v>245</v>
      </c>
      <c r="B108" s="62"/>
      <c r="C108" s="62"/>
      <c r="D108" s="63">
        <v>1.5</v>
      </c>
      <c r="E108" s="65"/>
      <c r="F108" s="97" t="str">
        <f>HYPERLINK("https://pbs.twimg.com/profile_images/1782904715967078400/BENjXW57_normal.jpg")</f>
        <v>https://pbs.twimg.com/profile_images/1782904715967078400/BENjXW57_normal.jpg</v>
      </c>
      <c r="G108" s="62"/>
      <c r="H108" s="66"/>
      <c r="I108" s="67"/>
      <c r="J108" s="67"/>
      <c r="K108" s="66" t="s">
        <v>4364</v>
      </c>
      <c r="L108" s="70"/>
      <c r="M108" s="71">
        <v>2509.53466796875</v>
      </c>
      <c r="N108" s="71">
        <v>8504.759765625</v>
      </c>
      <c r="O108" s="72"/>
      <c r="P108" s="73"/>
      <c r="Q108" s="73"/>
      <c r="R108" s="81"/>
      <c r="S108" s="45">
        <v>1</v>
      </c>
      <c r="T108" s="45">
        <v>1</v>
      </c>
      <c r="U108" s="46">
        <v>0</v>
      </c>
      <c r="V108" s="46">
        <v>0</v>
      </c>
      <c r="W108" s="47"/>
      <c r="X108" s="47"/>
      <c r="Y108" s="47"/>
      <c r="Z108" s="46"/>
      <c r="AA108" s="68">
        <v>108</v>
      </c>
      <c r="AB108"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08" s="69"/>
      <c r="AD108" t="s">
        <v>2726</v>
      </c>
      <c r="AE108" s="77" t="s">
        <v>2542</v>
      </c>
      <c r="AF108">
        <v>46</v>
      </c>
      <c r="AG108">
        <v>63</v>
      </c>
      <c r="AH108">
        <v>1862</v>
      </c>
      <c r="AI108">
        <v>0</v>
      </c>
      <c r="AJ108">
        <v>1451</v>
      </c>
      <c r="AK108">
        <v>81</v>
      </c>
      <c r="AL108" t="b">
        <v>0</v>
      </c>
      <c r="AM108" s="76">
        <v>44770.910138888888</v>
      </c>
      <c r="AO108" t="s">
        <v>3672</v>
      </c>
      <c r="AV108">
        <v>1.5537764948576699E+18</v>
      </c>
      <c r="AX108" t="b">
        <v>0</v>
      </c>
      <c r="BA108" t="b">
        <v>0</v>
      </c>
      <c r="BB108" t="b">
        <v>0</v>
      </c>
      <c r="BC108" t="b">
        <v>1</v>
      </c>
      <c r="BD108" t="b">
        <v>0</v>
      </c>
      <c r="BE108" t="b">
        <v>1</v>
      </c>
      <c r="BF108" t="b">
        <v>0</v>
      </c>
      <c r="BG108" t="b">
        <v>0</v>
      </c>
      <c r="BH108" s="79" t="str">
        <f>HYPERLINK("https://pbs.twimg.com/profile_banners/1552773418419904518/1713912496")</f>
        <v>https://pbs.twimg.com/profile_banners/1552773418419904518/1713912496</v>
      </c>
      <c r="BJ108" t="s">
        <v>4320</v>
      </c>
      <c r="BK108" t="b">
        <v>0</v>
      </c>
      <c r="BM108" t="s">
        <v>66</v>
      </c>
      <c r="BN108" t="s">
        <v>4322</v>
      </c>
      <c r="BO108" s="79" t="str">
        <f>HYPERLINK("https://twitter.com/_la_tombola_")</f>
        <v>https://twitter.com/_la_tombola_</v>
      </c>
      <c r="BP108" s="112" t="str">
        <f>REPLACE(INDEX(GroupVertices[Group], MATCH("~"&amp;Vertices[[#This Row],[Vertex]],GroupVertices[Vertex],0)),1,1,"")</f>
        <v>144</v>
      </c>
      <c r="BQ108" s="2"/>
    </row>
    <row r="109" spans="1:69" x14ac:dyDescent="0.25">
      <c r="A109" s="61" t="s">
        <v>246</v>
      </c>
      <c r="B109" s="62"/>
      <c r="C109" s="62"/>
      <c r="D109" s="63">
        <v>1.5</v>
      </c>
      <c r="E109" s="65"/>
      <c r="F109" s="97" t="str">
        <f>HYPERLINK("https://pbs.twimg.com/profile_images/1840464033394384896/8OlyjSSz_normal.jpg")</f>
        <v>https://pbs.twimg.com/profile_images/1840464033394384896/8OlyjSSz_normal.jpg</v>
      </c>
      <c r="G109" s="62"/>
      <c r="H109" s="66"/>
      <c r="I109" s="67"/>
      <c r="J109" s="67"/>
      <c r="K109" s="66" t="s">
        <v>4365</v>
      </c>
      <c r="L109" s="70"/>
      <c r="M109" s="71">
        <v>5114.74365234375</v>
      </c>
      <c r="N109" s="71">
        <v>924.95257568359375</v>
      </c>
      <c r="O109" s="72"/>
      <c r="P109" s="73"/>
      <c r="Q109" s="73"/>
      <c r="R109" s="81"/>
      <c r="S109" s="45">
        <v>0</v>
      </c>
      <c r="T109" s="45">
        <v>1</v>
      </c>
      <c r="U109" s="46">
        <v>0</v>
      </c>
      <c r="V109" s="46">
        <v>2.0960000000000002E-3</v>
      </c>
      <c r="W109" s="47"/>
      <c r="X109" s="47"/>
      <c r="Y109" s="47"/>
      <c r="Z109" s="46"/>
      <c r="AA109" s="68">
        <v>109</v>
      </c>
      <c r="AB109"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09" s="69"/>
      <c r="AD109" t="s">
        <v>2727</v>
      </c>
      <c r="AE109" s="77" t="s">
        <v>3177</v>
      </c>
      <c r="AF109">
        <v>1457</v>
      </c>
      <c r="AG109">
        <v>1347</v>
      </c>
      <c r="AH109">
        <v>210726</v>
      </c>
      <c r="AI109">
        <v>3</v>
      </c>
      <c r="AJ109">
        <v>25589</v>
      </c>
      <c r="AK109">
        <v>1645</v>
      </c>
      <c r="AL109" t="b">
        <v>0</v>
      </c>
      <c r="AM109" s="76">
        <v>40739.992349537039</v>
      </c>
      <c r="AN109" t="s">
        <v>3428</v>
      </c>
      <c r="AO109" t="s">
        <v>3673</v>
      </c>
      <c r="AV109">
        <v>1.63336728533843E+18</v>
      </c>
      <c r="AX109" t="b">
        <v>0</v>
      </c>
      <c r="BA109" t="b">
        <v>0</v>
      </c>
      <c r="BB109" t="b">
        <v>0</v>
      </c>
      <c r="BC109" t="b">
        <v>1</v>
      </c>
      <c r="BD109" t="b">
        <v>0</v>
      </c>
      <c r="BE109" t="b">
        <v>1</v>
      </c>
      <c r="BF109" t="b">
        <v>0</v>
      </c>
      <c r="BG109" t="b">
        <v>0</v>
      </c>
      <c r="BJ109" t="s">
        <v>4320</v>
      </c>
      <c r="BK109" t="b">
        <v>0</v>
      </c>
      <c r="BM109" t="s">
        <v>66</v>
      </c>
      <c r="BN109" t="s">
        <v>4322</v>
      </c>
      <c r="BO109" s="79" t="str">
        <f>HYPERLINK("https://twitter.com/quenna4")</f>
        <v>https://twitter.com/quenna4</v>
      </c>
      <c r="BP109" s="112" t="str">
        <f>REPLACE(INDEX(GroupVertices[Group], MATCH("~"&amp;Vertices[[#This Row],[Vertex]],GroupVertices[Vertex],0)),1,1,"")</f>
        <v>75</v>
      </c>
      <c r="BQ109" s="2"/>
    </row>
    <row r="110" spans="1:69" x14ac:dyDescent="0.25">
      <c r="A110" s="61" t="s">
        <v>525</v>
      </c>
      <c r="B110" s="62"/>
      <c r="C110" s="62"/>
      <c r="D110" s="63">
        <v>1.5</v>
      </c>
      <c r="E110" s="65"/>
      <c r="F110" s="97" t="str">
        <f>HYPERLINK("https://pbs.twimg.com/profile_images/1743671580327129088/-Ucs72So_normal.jpg")</f>
        <v>https://pbs.twimg.com/profile_images/1743671580327129088/-Ucs72So_normal.jpg</v>
      </c>
      <c r="G110" s="62"/>
      <c r="H110" s="66"/>
      <c r="I110" s="67"/>
      <c r="J110" s="67"/>
      <c r="K110" s="66" t="s">
        <v>4366</v>
      </c>
      <c r="L110" s="70"/>
      <c r="M110" s="71">
        <v>3917.674072265625</v>
      </c>
      <c r="N110" s="71">
        <v>3051.317626953125</v>
      </c>
      <c r="O110" s="72"/>
      <c r="P110" s="73"/>
      <c r="Q110" s="73"/>
      <c r="R110" s="81"/>
      <c r="S110" s="45">
        <v>1</v>
      </c>
      <c r="T110" s="45">
        <v>0</v>
      </c>
      <c r="U110" s="46">
        <v>0</v>
      </c>
      <c r="V110" s="46">
        <v>2.0960000000000002E-3</v>
      </c>
      <c r="W110" s="47"/>
      <c r="X110" s="47"/>
      <c r="Y110" s="47"/>
      <c r="Z110" s="46"/>
      <c r="AA110" s="68">
        <v>110</v>
      </c>
      <c r="AB110"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10" s="69"/>
      <c r="AD110" t="s">
        <v>2728</v>
      </c>
      <c r="AE110" s="77" t="s">
        <v>2380</v>
      </c>
      <c r="AF110">
        <v>58434</v>
      </c>
      <c r="AG110">
        <v>1866</v>
      </c>
      <c r="AH110">
        <v>31648</v>
      </c>
      <c r="AI110">
        <v>73</v>
      </c>
      <c r="AJ110">
        <v>21817</v>
      </c>
      <c r="AK110">
        <v>8180</v>
      </c>
      <c r="AL110" t="b">
        <v>0</v>
      </c>
      <c r="AM110" s="76">
        <v>44038.792557870373</v>
      </c>
      <c r="AN110" t="s">
        <v>3429</v>
      </c>
      <c r="AO110" t="s">
        <v>3674</v>
      </c>
      <c r="AV110">
        <v>1.9268056105714801E+18</v>
      </c>
      <c r="AX110" t="b">
        <v>1</v>
      </c>
      <c r="AZ110" t="b">
        <v>0</v>
      </c>
      <c r="BA110" t="b">
        <v>0</v>
      </c>
      <c r="BB110" t="b">
        <v>0</v>
      </c>
      <c r="BC110" t="b">
        <v>1</v>
      </c>
      <c r="BD110" t="b">
        <v>0</v>
      </c>
      <c r="BE110" t="b">
        <v>1</v>
      </c>
      <c r="BF110" t="b">
        <v>0</v>
      </c>
      <c r="BG110" t="b">
        <v>0</v>
      </c>
      <c r="BH110" s="79" t="str">
        <f>HYPERLINK("https://pbs.twimg.com/profile_banners/1287462962064699394/1732236420")</f>
        <v>https://pbs.twimg.com/profile_banners/1287462962064699394/1732236420</v>
      </c>
      <c r="BJ110" t="s">
        <v>4320</v>
      </c>
      <c r="BK110" t="b">
        <v>0</v>
      </c>
      <c r="BM110" t="s">
        <v>65</v>
      </c>
      <c r="BN110" t="s">
        <v>4322</v>
      </c>
      <c r="BO110" s="79" t="str">
        <f>HYPERLINK("https://twitter.com/drestrum__pl")</f>
        <v>https://twitter.com/drestrum__pl</v>
      </c>
      <c r="BP110" s="112" t="str">
        <f>REPLACE(INDEX(GroupVertices[Group], MATCH("~"&amp;Vertices[[#This Row],[Vertex]],GroupVertices[Vertex],0)),1,1,"")</f>
        <v>75</v>
      </c>
      <c r="BQ110" s="2"/>
    </row>
    <row r="111" spans="1:69" x14ac:dyDescent="0.25">
      <c r="A111" s="61" t="s">
        <v>526</v>
      </c>
      <c r="B111" s="62"/>
      <c r="C111" s="62"/>
      <c r="D111" s="63">
        <v>1.5</v>
      </c>
      <c r="E111" s="65"/>
      <c r="F111" s="97" t="str">
        <f>HYPERLINK("https://pbs.twimg.com/profile_images/1775916128423804928/WxK7rfjC_normal.jpg")</f>
        <v>https://pbs.twimg.com/profile_images/1775916128423804928/WxK7rfjC_normal.jpg</v>
      </c>
      <c r="G111" s="62"/>
      <c r="H111" s="66"/>
      <c r="I111" s="67"/>
      <c r="J111" s="67"/>
      <c r="K111" s="66" t="s">
        <v>4368</v>
      </c>
      <c r="L111" s="70"/>
      <c r="M111" s="71">
        <v>1989.5986328125</v>
      </c>
      <c r="N111" s="71">
        <v>5407.18017578125</v>
      </c>
      <c r="O111" s="72"/>
      <c r="P111" s="73"/>
      <c r="Q111" s="73"/>
      <c r="R111" s="81"/>
      <c r="S111" s="45">
        <v>1</v>
      </c>
      <c r="T111" s="45">
        <v>0</v>
      </c>
      <c r="U111" s="46">
        <v>0</v>
      </c>
      <c r="V111" s="46">
        <v>3.774E-3</v>
      </c>
      <c r="W111" s="47"/>
      <c r="X111" s="47"/>
      <c r="Y111" s="47"/>
      <c r="Z111" s="46"/>
      <c r="AA111" s="68">
        <v>111</v>
      </c>
      <c r="AB111"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11" s="69"/>
      <c r="AD111" t="s">
        <v>2730</v>
      </c>
      <c r="AE111" s="77" t="s">
        <v>2381</v>
      </c>
      <c r="AF111">
        <v>100831</v>
      </c>
      <c r="AG111">
        <v>705</v>
      </c>
      <c r="AH111">
        <v>48393</v>
      </c>
      <c r="AI111">
        <v>485</v>
      </c>
      <c r="AJ111">
        <v>92537</v>
      </c>
      <c r="AK111">
        <v>3518</v>
      </c>
      <c r="AL111" t="b">
        <v>0</v>
      </c>
      <c r="AM111" s="76">
        <v>41788.83898148148</v>
      </c>
      <c r="AN111" t="s">
        <v>3430</v>
      </c>
      <c r="AO111" t="s">
        <v>3675</v>
      </c>
      <c r="AS111" s="79" t="str">
        <f>HYPERLINK("https://t.co/b0JZrk1OpT")</f>
        <v>https://t.co/b0JZrk1OpT</v>
      </c>
      <c r="AT111" s="79" t="str">
        <f>HYPERLINK("https://m.youtube.com/watch?feature=youtu.be&amp;v=GGklKdCcdgs")</f>
        <v>https://m.youtube.com/watch?feature=youtu.be&amp;v=GGklKdCcdgs</v>
      </c>
      <c r="AU111" t="s">
        <v>4270</v>
      </c>
      <c r="AX111" t="b">
        <v>0</v>
      </c>
      <c r="AZ111" t="b">
        <v>0</v>
      </c>
      <c r="BA111" t="b">
        <v>0</v>
      </c>
      <c r="BB111" t="b">
        <v>1</v>
      </c>
      <c r="BC111" t="b">
        <v>1</v>
      </c>
      <c r="BD111" t="b">
        <v>0</v>
      </c>
      <c r="BE111" t="b">
        <v>1</v>
      </c>
      <c r="BF111" t="b">
        <v>0</v>
      </c>
      <c r="BG111" t="b">
        <v>0</v>
      </c>
      <c r="BH111" s="79" t="str">
        <f>HYPERLINK("https://pbs.twimg.com/profile_banners/2570949123/1530107435")</f>
        <v>https://pbs.twimg.com/profile_banners/2570949123/1530107435</v>
      </c>
      <c r="BJ111" t="s">
        <v>4320</v>
      </c>
      <c r="BK111" t="b">
        <v>0</v>
      </c>
      <c r="BM111" t="s">
        <v>65</v>
      </c>
      <c r="BN111" t="s">
        <v>4322</v>
      </c>
      <c r="BO111" s="79" t="str">
        <f>HYPERLINK("https://twitter.com/dalvarez1976")</f>
        <v>https://twitter.com/dalvarez1976</v>
      </c>
      <c r="BP111" s="112" t="str">
        <f>REPLACE(INDEX(GroupVertices[Group], MATCH("~"&amp;Vertices[[#This Row],[Vertex]],GroupVertices[Vertex],0)),1,1,"")</f>
        <v>23</v>
      </c>
      <c r="BQ111" s="2"/>
    </row>
    <row r="112" spans="1:69" x14ac:dyDescent="0.25">
      <c r="A112" s="61" t="s">
        <v>527</v>
      </c>
      <c r="B112" s="62"/>
      <c r="C112" s="62"/>
      <c r="D112" s="63">
        <v>1.5</v>
      </c>
      <c r="E112" s="65"/>
      <c r="F112" s="97" t="str">
        <f>HYPERLINK("https://pbs.twimg.com/profile_images/1872197644967165952/Y3GFlRJI_normal.jpg")</f>
        <v>https://pbs.twimg.com/profile_images/1872197644967165952/Y3GFlRJI_normal.jpg</v>
      </c>
      <c r="G112" s="62"/>
      <c r="H112" s="66"/>
      <c r="I112" s="67"/>
      <c r="J112" s="67"/>
      <c r="K112" s="66" t="s">
        <v>4369</v>
      </c>
      <c r="L112" s="70"/>
      <c r="M112" s="71">
        <v>749.09832763671875</v>
      </c>
      <c r="N112" s="71">
        <v>4795.13818359375</v>
      </c>
      <c r="O112" s="72"/>
      <c r="P112" s="73"/>
      <c r="Q112" s="73"/>
      <c r="R112" s="81"/>
      <c r="S112" s="45">
        <v>1</v>
      </c>
      <c r="T112" s="45">
        <v>0</v>
      </c>
      <c r="U112" s="46">
        <v>0</v>
      </c>
      <c r="V112" s="46">
        <v>3.774E-3</v>
      </c>
      <c r="W112" s="47"/>
      <c r="X112" s="47"/>
      <c r="Y112" s="47"/>
      <c r="Z112" s="46"/>
      <c r="AA112" s="68">
        <v>112</v>
      </c>
      <c r="AB112"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12" s="69"/>
      <c r="AD112" t="s">
        <v>2731</v>
      </c>
      <c r="AE112" s="77" t="s">
        <v>3178</v>
      </c>
      <c r="AF112">
        <v>306686</v>
      </c>
      <c r="AG112">
        <v>678</v>
      </c>
      <c r="AH112">
        <v>309105</v>
      </c>
      <c r="AI112">
        <v>3042</v>
      </c>
      <c r="AJ112">
        <v>10994</v>
      </c>
      <c r="AK112">
        <v>104145</v>
      </c>
      <c r="AL112" t="b">
        <v>0</v>
      </c>
      <c r="AM112" s="76">
        <v>39899.685474537036</v>
      </c>
      <c r="AN112" t="s">
        <v>3431</v>
      </c>
      <c r="AO112" t="s">
        <v>3676</v>
      </c>
      <c r="AX112" t="b">
        <v>1</v>
      </c>
      <c r="AZ112" t="b">
        <v>0</v>
      </c>
      <c r="BA112" t="b">
        <v>0</v>
      </c>
      <c r="BB112" t="b">
        <v>0</v>
      </c>
      <c r="BC112" t="b">
        <v>1</v>
      </c>
      <c r="BD112" t="b">
        <v>0</v>
      </c>
      <c r="BE112" t="b">
        <v>1</v>
      </c>
      <c r="BF112" t="b">
        <v>0</v>
      </c>
      <c r="BG112" t="b">
        <v>0</v>
      </c>
      <c r="BH112" s="79" t="str">
        <f>HYPERLINK("https://pbs.twimg.com/profile_banners/27038703/1736949480")</f>
        <v>https://pbs.twimg.com/profile_banners/27038703/1736949480</v>
      </c>
      <c r="BJ112" t="s">
        <v>4320</v>
      </c>
      <c r="BK112" t="b">
        <v>0</v>
      </c>
      <c r="BM112" t="s">
        <v>65</v>
      </c>
      <c r="BN112" t="s">
        <v>4322</v>
      </c>
      <c r="BO112" s="79" t="str">
        <f>HYPERLINK("https://twitter.com/libertaddigital")</f>
        <v>https://twitter.com/libertaddigital</v>
      </c>
      <c r="BP112" s="112" t="str">
        <f>REPLACE(INDEX(GroupVertices[Group], MATCH("~"&amp;Vertices[[#This Row],[Vertex]],GroupVertices[Vertex],0)),1,1,"")</f>
        <v>23</v>
      </c>
      <c r="BQ112" s="2"/>
    </row>
    <row r="113" spans="1:69" x14ac:dyDescent="0.25">
      <c r="A113" s="61" t="s">
        <v>528</v>
      </c>
      <c r="B113" s="62"/>
      <c r="C113" s="62"/>
      <c r="D113" s="63">
        <v>1.5</v>
      </c>
      <c r="E113" s="65"/>
      <c r="F113" s="97" t="str">
        <f>HYPERLINK("https://pbs.twimg.com/profile_images/1854043211909533711/2Zq0rvv1_normal.jpg")</f>
        <v>https://pbs.twimg.com/profile_images/1854043211909533711/2Zq0rvv1_normal.jpg</v>
      </c>
      <c r="G113" s="62"/>
      <c r="H113" s="66"/>
      <c r="I113" s="67"/>
      <c r="J113" s="67"/>
      <c r="K113" s="66" t="s">
        <v>4370</v>
      </c>
      <c r="L113" s="70"/>
      <c r="M113" s="71">
        <v>2086.130859375</v>
      </c>
      <c r="N113" s="71">
        <v>3971.007080078125</v>
      </c>
      <c r="O113" s="72"/>
      <c r="P113" s="73"/>
      <c r="Q113" s="73"/>
      <c r="R113" s="81"/>
      <c r="S113" s="45">
        <v>1</v>
      </c>
      <c r="T113" s="45">
        <v>0</v>
      </c>
      <c r="U113" s="46">
        <v>0</v>
      </c>
      <c r="V113" s="46">
        <v>3.774E-3</v>
      </c>
      <c r="W113" s="47"/>
      <c r="X113" s="47"/>
      <c r="Y113" s="47"/>
      <c r="Z113" s="46"/>
      <c r="AA113" s="68">
        <v>113</v>
      </c>
      <c r="AB113"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13" s="69"/>
      <c r="AD113" t="s">
        <v>2732</v>
      </c>
      <c r="AE113" s="77" t="s">
        <v>2382</v>
      </c>
      <c r="AF113">
        <v>28893</v>
      </c>
      <c r="AG113">
        <v>737</v>
      </c>
      <c r="AH113">
        <v>9694</v>
      </c>
      <c r="AI113">
        <v>177</v>
      </c>
      <c r="AJ113">
        <v>25854</v>
      </c>
      <c r="AK113">
        <v>874</v>
      </c>
      <c r="AL113" t="b">
        <v>0</v>
      </c>
      <c r="AM113" s="76">
        <v>40581.343043981484</v>
      </c>
      <c r="AN113" t="s">
        <v>3431</v>
      </c>
      <c r="AO113" t="s">
        <v>3677</v>
      </c>
      <c r="AP113" s="79" t="str">
        <f>HYPERLINK("https://t.co/RGyK9mM6yb")</f>
        <v>https://t.co/RGyK9mM6yb</v>
      </c>
      <c r="AQ113" s="79" t="str">
        <f>HYPERLINK("https://www.libertaddigital.com/autores/miguel-angel-perez/")</f>
        <v>https://www.libertaddigital.com/autores/miguel-angel-perez/</v>
      </c>
      <c r="AR113" t="s">
        <v>4077</v>
      </c>
      <c r="AS113" s="79" t="str">
        <f>HYPERLINK("https://t.co/omeVIyMuGD")</f>
        <v>https://t.co/omeVIyMuGD</v>
      </c>
      <c r="AT113" s="79" t="str">
        <f>HYPERLINK("https://www.youtube.com/@medidascautelaresmap?sub_confirmation=1")</f>
        <v>https://www.youtube.com/@medidascautelaresmap?sub_confirmation=1</v>
      </c>
      <c r="AU113" t="s">
        <v>4271</v>
      </c>
      <c r="AV113">
        <v>1.92961091667427E+18</v>
      </c>
      <c r="AW113" s="79" t="str">
        <f>HYPERLINK("https://t.co/RGyK9mM6yb")</f>
        <v>https://t.co/RGyK9mM6yb</v>
      </c>
      <c r="AX113" t="b">
        <v>1</v>
      </c>
      <c r="AZ113" t="b">
        <v>0</v>
      </c>
      <c r="BA113" t="b">
        <v>0</v>
      </c>
      <c r="BB113" t="b">
        <v>1</v>
      </c>
      <c r="BC113" t="b">
        <v>0</v>
      </c>
      <c r="BD113" t="b">
        <v>0</v>
      </c>
      <c r="BE113" t="b">
        <v>1</v>
      </c>
      <c r="BF113" t="b">
        <v>0</v>
      </c>
      <c r="BG113" t="b">
        <v>0</v>
      </c>
      <c r="BH113" s="79" t="str">
        <f>HYPERLINK("https://pbs.twimg.com/profile_banners/248566038/1739028375")</f>
        <v>https://pbs.twimg.com/profile_banners/248566038/1739028375</v>
      </c>
      <c r="BJ113" t="s">
        <v>4320</v>
      </c>
      <c r="BK113" t="b">
        <v>0</v>
      </c>
      <c r="BM113" t="s">
        <v>65</v>
      </c>
      <c r="BN113" t="s">
        <v>4322</v>
      </c>
      <c r="BO113" s="79" t="str">
        <f>HYPERLINK("https://twitter.com/miguelpr83")</f>
        <v>https://twitter.com/miguelpr83</v>
      </c>
      <c r="BP113" s="112" t="str">
        <f>REPLACE(INDEX(GroupVertices[Group], MATCH("~"&amp;Vertices[[#This Row],[Vertex]],GroupVertices[Vertex],0)),1,1,"")</f>
        <v>23</v>
      </c>
      <c r="BQ113" s="2"/>
    </row>
    <row r="114" spans="1:69" x14ac:dyDescent="0.25">
      <c r="A114" s="61" t="s">
        <v>529</v>
      </c>
      <c r="B114" s="62"/>
      <c r="C114" s="62"/>
      <c r="D114" s="63">
        <v>1.5</v>
      </c>
      <c r="E114" s="65"/>
      <c r="F114" s="97" t="str">
        <f>HYPERLINK("https://pbs.twimg.com/profile_images/1840172813128208384/SdAKTFg3_normal.jpg")</f>
        <v>https://pbs.twimg.com/profile_images/1840172813128208384/SdAKTFg3_normal.jpg</v>
      </c>
      <c r="G114" s="62"/>
      <c r="H114" s="66"/>
      <c r="I114" s="67"/>
      <c r="J114" s="67"/>
      <c r="K114" s="66" t="s">
        <v>4372</v>
      </c>
      <c r="L114" s="70"/>
      <c r="M114" s="71">
        <v>3679.892578125</v>
      </c>
      <c r="N114" s="71">
        <v>1110.907958984375</v>
      </c>
      <c r="O114" s="72"/>
      <c r="P114" s="73"/>
      <c r="Q114" s="73"/>
      <c r="R114" s="81"/>
      <c r="S114" s="45">
        <v>1</v>
      </c>
      <c r="T114" s="45">
        <v>0</v>
      </c>
      <c r="U114" s="46">
        <v>0</v>
      </c>
      <c r="V114" s="46">
        <v>3.774E-3</v>
      </c>
      <c r="W114" s="47"/>
      <c r="X114" s="47"/>
      <c r="Y114" s="47"/>
      <c r="Z114" s="46"/>
      <c r="AA114" s="68">
        <v>114</v>
      </c>
      <c r="AB114"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14" s="69"/>
      <c r="AD114" t="s">
        <v>2734</v>
      </c>
      <c r="AE114" s="77" t="s">
        <v>2383</v>
      </c>
      <c r="AF114">
        <v>7451</v>
      </c>
      <c r="AG114">
        <v>921</v>
      </c>
      <c r="AH114">
        <v>15504</v>
      </c>
      <c r="AI114">
        <v>28</v>
      </c>
      <c r="AJ114">
        <v>3989</v>
      </c>
      <c r="AK114">
        <v>610</v>
      </c>
      <c r="AL114" t="b">
        <v>0</v>
      </c>
      <c r="AM114" s="76">
        <v>40382.607395833336</v>
      </c>
      <c r="AN114" t="s">
        <v>3432</v>
      </c>
      <c r="AO114" t="s">
        <v>3679</v>
      </c>
      <c r="AX114" t="b">
        <v>0</v>
      </c>
      <c r="AZ114" t="b">
        <v>0</v>
      </c>
      <c r="BA114" t="b">
        <v>1</v>
      </c>
      <c r="BB114" t="b">
        <v>1</v>
      </c>
      <c r="BC114" t="b">
        <v>0</v>
      </c>
      <c r="BD114" t="b">
        <v>0</v>
      </c>
      <c r="BE114" t="b">
        <v>1</v>
      </c>
      <c r="BF114" t="b">
        <v>0</v>
      </c>
      <c r="BG114" t="b">
        <v>0</v>
      </c>
      <c r="BH114" s="79" t="str">
        <f>HYPERLINK("https://pbs.twimg.com/profile_banners/169929768/1723039090")</f>
        <v>https://pbs.twimg.com/profile_banners/169929768/1723039090</v>
      </c>
      <c r="BJ114" t="s">
        <v>4320</v>
      </c>
      <c r="BK114" t="b">
        <v>0</v>
      </c>
      <c r="BM114" t="s">
        <v>65</v>
      </c>
      <c r="BN114" t="s">
        <v>4322</v>
      </c>
      <c r="BO114" s="79" t="str">
        <f>HYPERLINK("https://twitter.com/joseachozas")</f>
        <v>https://twitter.com/joseachozas</v>
      </c>
      <c r="BP114" s="112" t="str">
        <f>REPLACE(INDEX(GroupVertices[Group], MATCH("~"&amp;Vertices[[#This Row],[Vertex]],GroupVertices[Vertex],0)),1,1,"")</f>
        <v>26</v>
      </c>
      <c r="BQ114" s="2"/>
    </row>
    <row r="115" spans="1:69" x14ac:dyDescent="0.25">
      <c r="A115" s="61" t="s">
        <v>530</v>
      </c>
      <c r="B115" s="62"/>
      <c r="C115" s="62"/>
      <c r="D115" s="63">
        <v>1.5</v>
      </c>
      <c r="E115" s="65"/>
      <c r="F115" s="97" t="str">
        <f>HYPERLINK("https://pbs.twimg.com/profile_images/1236548818402971648/F-pcFaq6_normal.jpg")</f>
        <v>https://pbs.twimg.com/profile_images/1236548818402971648/F-pcFaq6_normal.jpg</v>
      </c>
      <c r="G115" s="62"/>
      <c r="H115" s="66"/>
      <c r="I115" s="67"/>
      <c r="J115" s="67"/>
      <c r="K115" s="66" t="s">
        <v>4373</v>
      </c>
      <c r="L115" s="70"/>
      <c r="M115" s="71">
        <v>3536.6767578125</v>
      </c>
      <c r="N115" s="71">
        <v>6655.2158203125</v>
      </c>
      <c r="O115" s="72"/>
      <c r="P115" s="73"/>
      <c r="Q115" s="73"/>
      <c r="R115" s="81"/>
      <c r="S115" s="45">
        <v>1</v>
      </c>
      <c r="T115" s="45">
        <v>0</v>
      </c>
      <c r="U115" s="46">
        <v>0</v>
      </c>
      <c r="V115" s="46">
        <v>3.774E-3</v>
      </c>
      <c r="W115" s="47"/>
      <c r="X115" s="47"/>
      <c r="Y115" s="47"/>
      <c r="Z115" s="46"/>
      <c r="AA115" s="68">
        <v>115</v>
      </c>
      <c r="AB115"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15" s="69"/>
      <c r="AD115" t="s">
        <v>2735</v>
      </c>
      <c r="AE115" s="77" t="s">
        <v>3180</v>
      </c>
      <c r="AF115">
        <v>8825042</v>
      </c>
      <c r="AG115">
        <v>851</v>
      </c>
      <c r="AH115">
        <v>845536</v>
      </c>
      <c r="AI115">
        <v>55905</v>
      </c>
      <c r="AJ115">
        <v>1984</v>
      </c>
      <c r="AK115">
        <v>83670</v>
      </c>
      <c r="AL115" t="b">
        <v>0</v>
      </c>
      <c r="AM115" s="76">
        <v>39300.680659722224</v>
      </c>
      <c r="AN115" t="s">
        <v>3431</v>
      </c>
      <c r="AO115" t="s">
        <v>3680</v>
      </c>
      <c r="AP115" s="79" t="str">
        <f>HYPERLINK("https://t.co/6g5qG3Lgo3")</f>
        <v>https://t.co/6g5qG3Lgo3</v>
      </c>
      <c r="AQ115" s="79" t="str">
        <f>HYPERLINK("https://elpais.com/")</f>
        <v>https://elpais.com/</v>
      </c>
      <c r="AR115" t="s">
        <v>4078</v>
      </c>
      <c r="AS115" s="79" t="str">
        <f>HYPERLINK("https://t.co/1J0jyff6Da")</f>
        <v>https://t.co/1J0jyff6Da</v>
      </c>
      <c r="AT115" s="79" t="str">
        <f>HYPERLINK("https://tinyurl.com/32dnhzc9")</f>
        <v>https://tinyurl.com/32dnhzc9</v>
      </c>
      <c r="AU115" t="s">
        <v>4272</v>
      </c>
      <c r="AW115" s="79" t="str">
        <f>HYPERLINK("https://t.co/6g5qG3Lgo3")</f>
        <v>https://t.co/6g5qG3Lgo3</v>
      </c>
      <c r="AX115" t="b">
        <v>1</v>
      </c>
      <c r="AZ115" t="b">
        <v>1</v>
      </c>
      <c r="BA115" t="b">
        <v>0</v>
      </c>
      <c r="BB115" t="b">
        <v>0</v>
      </c>
      <c r="BC115" t="b">
        <v>0</v>
      </c>
      <c r="BD115" t="b">
        <v>0</v>
      </c>
      <c r="BE115" t="b">
        <v>1</v>
      </c>
      <c r="BF115" t="b">
        <v>0</v>
      </c>
      <c r="BG115" t="b">
        <v>0</v>
      </c>
      <c r="BH115" s="79" t="str">
        <f>HYPERLINK("https://pbs.twimg.com/profile_banners/7996082/1647026716")</f>
        <v>https://pbs.twimg.com/profile_banners/7996082/1647026716</v>
      </c>
      <c r="BJ115" t="s">
        <v>4320</v>
      </c>
      <c r="BK115" t="b">
        <v>1</v>
      </c>
      <c r="BM115" t="s">
        <v>65</v>
      </c>
      <c r="BN115" t="s">
        <v>4322</v>
      </c>
      <c r="BO115" s="79" t="str">
        <f>HYPERLINK("https://twitter.com/el_pais")</f>
        <v>https://twitter.com/el_pais</v>
      </c>
      <c r="BP115" s="112" t="str">
        <f>REPLACE(INDEX(GroupVertices[Group], MATCH("~"&amp;Vertices[[#This Row],[Vertex]],GroupVertices[Vertex],0)),1,1,"")</f>
        <v>26</v>
      </c>
      <c r="BQ115" s="2"/>
    </row>
    <row r="116" spans="1:69" x14ac:dyDescent="0.25">
      <c r="A116" s="61" t="s">
        <v>531</v>
      </c>
      <c r="B116" s="62"/>
      <c r="C116" s="62"/>
      <c r="D116" s="63">
        <v>1.5</v>
      </c>
      <c r="E116" s="65"/>
      <c r="F116" s="97" t="str">
        <f>HYPERLINK("https://pbs.twimg.com/profile_images/1800994276639199232/LjxW0ZuP_normal.jpg")</f>
        <v>https://pbs.twimg.com/profile_images/1800994276639199232/LjxW0ZuP_normal.jpg</v>
      </c>
      <c r="G116" s="62"/>
      <c r="H116" s="66"/>
      <c r="I116" s="67"/>
      <c r="J116" s="67"/>
      <c r="K116" s="66" t="s">
        <v>4374</v>
      </c>
      <c r="L116" s="70"/>
      <c r="M116" s="71">
        <v>7901.98291015625</v>
      </c>
      <c r="N116" s="71">
        <v>1898.230224609375</v>
      </c>
      <c r="O116" s="72"/>
      <c r="P116" s="73"/>
      <c r="Q116" s="73"/>
      <c r="R116" s="81"/>
      <c r="S116" s="45">
        <v>1</v>
      </c>
      <c r="T116" s="45">
        <v>0</v>
      </c>
      <c r="U116" s="46">
        <v>0</v>
      </c>
      <c r="V116" s="46">
        <v>3.774E-3</v>
      </c>
      <c r="W116" s="47"/>
      <c r="X116" s="47"/>
      <c r="Y116" s="47"/>
      <c r="Z116" s="46"/>
      <c r="AA116" s="68">
        <v>116</v>
      </c>
      <c r="AB116"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16" s="69"/>
      <c r="AD116" t="s">
        <v>2736</v>
      </c>
      <c r="AE116" s="77" t="s">
        <v>2384</v>
      </c>
      <c r="AF116">
        <v>2449</v>
      </c>
      <c r="AG116">
        <v>134</v>
      </c>
      <c r="AH116">
        <v>92103</v>
      </c>
      <c r="AI116">
        <v>37</v>
      </c>
      <c r="AJ116">
        <v>8995</v>
      </c>
      <c r="AK116">
        <v>3562</v>
      </c>
      <c r="AL116" t="b">
        <v>0</v>
      </c>
      <c r="AM116" s="76">
        <v>41597.754525462966</v>
      </c>
      <c r="AN116" t="s">
        <v>3431</v>
      </c>
      <c r="AO116" t="s">
        <v>3681</v>
      </c>
      <c r="AX116" t="b">
        <v>0</v>
      </c>
      <c r="AZ116" t="b">
        <v>0</v>
      </c>
      <c r="BA116" t="b">
        <v>0</v>
      </c>
      <c r="BB116" t="b">
        <v>0</v>
      </c>
      <c r="BC116" t="b">
        <v>1</v>
      </c>
      <c r="BD116" t="b">
        <v>0</v>
      </c>
      <c r="BE116" t="b">
        <v>1</v>
      </c>
      <c r="BF116" t="b">
        <v>0</v>
      </c>
      <c r="BG116" t="b">
        <v>0</v>
      </c>
      <c r="BH116" s="79" t="str">
        <f>HYPERLINK("https://pbs.twimg.com/profile_banners/2203521230/1734620651")</f>
        <v>https://pbs.twimg.com/profile_banners/2203521230/1734620651</v>
      </c>
      <c r="BJ116" t="s">
        <v>4320</v>
      </c>
      <c r="BK116" t="b">
        <v>0</v>
      </c>
      <c r="BM116" t="s">
        <v>65</v>
      </c>
      <c r="BN116" t="s">
        <v>4322</v>
      </c>
      <c r="BO116" s="79" t="str">
        <f>HYPERLINK("https://twitter.com/ctajadura")</f>
        <v>https://twitter.com/ctajadura</v>
      </c>
      <c r="BP116" s="112" t="str">
        <f>REPLACE(INDEX(GroupVertices[Group], MATCH("~"&amp;Vertices[[#This Row],[Vertex]],GroupVertices[Vertex],0)),1,1,"")</f>
        <v>26</v>
      </c>
      <c r="BQ116" s="2"/>
    </row>
    <row r="117" spans="1:69" x14ac:dyDescent="0.25">
      <c r="A117" s="61" t="s">
        <v>249</v>
      </c>
      <c r="B117" s="62"/>
      <c r="C117" s="62"/>
      <c r="D117" s="63">
        <v>1.5</v>
      </c>
      <c r="E117" s="65"/>
      <c r="F117" s="97" t="str">
        <f>HYPERLINK("https://pbs.twimg.com/profile_images/755574146688487425/mWGvzfb3_normal.jpg")</f>
        <v>https://pbs.twimg.com/profile_images/755574146688487425/mWGvzfb3_normal.jpg</v>
      </c>
      <c r="G117" s="62"/>
      <c r="H117" s="66"/>
      <c r="I117" s="67"/>
      <c r="J117" s="67"/>
      <c r="K117" s="66" t="s">
        <v>4375</v>
      </c>
      <c r="L117" s="70"/>
      <c r="M117" s="71">
        <v>7436.5458984375</v>
      </c>
      <c r="N117" s="71">
        <v>2436.974365234375</v>
      </c>
      <c r="O117" s="72"/>
      <c r="P117" s="73"/>
      <c r="Q117" s="73"/>
      <c r="R117" s="81"/>
      <c r="S117" s="45">
        <v>0</v>
      </c>
      <c r="T117" s="45">
        <v>1</v>
      </c>
      <c r="U117" s="46">
        <v>0</v>
      </c>
      <c r="V117" s="46">
        <v>2.0960000000000002E-3</v>
      </c>
      <c r="W117" s="47"/>
      <c r="X117" s="47"/>
      <c r="Y117" s="47"/>
      <c r="Z117" s="46"/>
      <c r="AA117" s="68">
        <v>117</v>
      </c>
      <c r="AB117"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17" s="69"/>
      <c r="AD117" t="s">
        <v>2737</v>
      </c>
      <c r="AE117" s="77" t="s">
        <v>3181</v>
      </c>
      <c r="AF117">
        <v>6761</v>
      </c>
      <c r="AG117">
        <v>2755</v>
      </c>
      <c r="AH117">
        <v>52857</v>
      </c>
      <c r="AI117">
        <v>185</v>
      </c>
      <c r="AJ117">
        <v>1169</v>
      </c>
      <c r="AK117">
        <v>8297</v>
      </c>
      <c r="AL117" t="b">
        <v>0</v>
      </c>
      <c r="AM117" s="76">
        <v>40130.48159722222</v>
      </c>
      <c r="AN117" t="s">
        <v>3433</v>
      </c>
      <c r="AO117" t="s">
        <v>3682</v>
      </c>
      <c r="AP117" s="79" t="str">
        <f>HYPERLINK("https://t.co/Aq88ee9OoK")</f>
        <v>https://t.co/Aq88ee9OoK</v>
      </c>
      <c r="AQ117" s="79" t="str">
        <f>HYPERLINK("http://sibaritastur.com")</f>
        <v>http://sibaritastur.com</v>
      </c>
      <c r="AR117" t="s">
        <v>4079</v>
      </c>
      <c r="AV117">
        <v>1.9192864391683599E+18</v>
      </c>
      <c r="AW117" s="79" t="str">
        <f>HYPERLINK("https://t.co/Aq88ee9OoK")</f>
        <v>https://t.co/Aq88ee9OoK</v>
      </c>
      <c r="AX117" t="b">
        <v>0</v>
      </c>
      <c r="BA117" t="b">
        <v>1</v>
      </c>
      <c r="BB117" t="b">
        <v>0</v>
      </c>
      <c r="BC117" t="b">
        <v>0</v>
      </c>
      <c r="BD117" t="b">
        <v>0</v>
      </c>
      <c r="BE117" t="b">
        <v>1</v>
      </c>
      <c r="BF117" t="b">
        <v>0</v>
      </c>
      <c r="BG117" t="b">
        <v>0</v>
      </c>
      <c r="BH117" s="79" t="str">
        <f>HYPERLINK("https://pbs.twimg.com/profile_banners/89679388/1623943551")</f>
        <v>https://pbs.twimg.com/profile_banners/89679388/1623943551</v>
      </c>
      <c r="BJ117" t="s">
        <v>4320</v>
      </c>
      <c r="BK117" t="b">
        <v>0</v>
      </c>
      <c r="BM117" t="s">
        <v>66</v>
      </c>
      <c r="BN117" t="s">
        <v>4322</v>
      </c>
      <c r="BO117" s="79" t="str">
        <f>HYPERLINK("https://twitter.com/sibaritastur")</f>
        <v>https://twitter.com/sibaritastur</v>
      </c>
      <c r="BP117" s="112" t="str">
        <f>REPLACE(INDEX(GroupVertices[Group], MATCH("~"&amp;Vertices[[#This Row],[Vertex]],GroupVertices[Vertex],0)),1,1,"")</f>
        <v>96</v>
      </c>
      <c r="BQ117" s="2"/>
    </row>
    <row r="118" spans="1:69" x14ac:dyDescent="0.25">
      <c r="A118" s="61" t="s">
        <v>328</v>
      </c>
      <c r="B118" s="62"/>
      <c r="C118" s="62"/>
      <c r="D118" s="63">
        <v>1.5</v>
      </c>
      <c r="E118" s="65"/>
      <c r="F118" s="97" t="str">
        <f>HYPERLINK("https://pbs.twimg.com/profile_images/1418261877507899400/Hz6sZDIs_normal.jpg")</f>
        <v>https://pbs.twimg.com/profile_images/1418261877507899400/Hz6sZDIs_normal.jpg</v>
      </c>
      <c r="G118" s="62"/>
      <c r="H118" s="66"/>
      <c r="I118" s="67"/>
      <c r="J118" s="67"/>
      <c r="K118" s="66" t="s">
        <v>4376</v>
      </c>
      <c r="L118" s="70"/>
      <c r="M118" s="71">
        <v>7298.09228515625</v>
      </c>
      <c r="N118" s="71">
        <v>5291.677734375</v>
      </c>
      <c r="O118" s="72"/>
      <c r="P118" s="73"/>
      <c r="Q118" s="73"/>
      <c r="R118" s="81"/>
      <c r="S118" s="45">
        <v>2</v>
      </c>
      <c r="T118" s="45">
        <v>1</v>
      </c>
      <c r="U118" s="46">
        <v>0</v>
      </c>
      <c r="V118" s="46">
        <v>2.0960000000000002E-3</v>
      </c>
      <c r="W118" s="47"/>
      <c r="X118" s="47"/>
      <c r="Y118" s="47"/>
      <c r="Z118" s="46"/>
      <c r="AA118" s="68">
        <v>118</v>
      </c>
      <c r="AB118"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18" s="69"/>
      <c r="AD118" t="s">
        <v>2738</v>
      </c>
      <c r="AE118" s="77" t="s">
        <v>3182</v>
      </c>
      <c r="AF118">
        <v>31886</v>
      </c>
      <c r="AG118">
        <v>3658</v>
      </c>
      <c r="AH118">
        <v>114870</v>
      </c>
      <c r="AI118">
        <v>672</v>
      </c>
      <c r="AJ118">
        <v>18453</v>
      </c>
      <c r="AK118">
        <v>30740</v>
      </c>
      <c r="AL118" t="b">
        <v>0</v>
      </c>
      <c r="AM118" s="76">
        <v>39921.69458333333</v>
      </c>
      <c r="AN118" t="s">
        <v>1769</v>
      </c>
      <c r="AO118" t="s">
        <v>3683</v>
      </c>
      <c r="AS118" s="79" t="str">
        <f>HYPERLINK("https://t.co/ZfYih3HaFE")</f>
        <v>https://t.co/ZfYih3HaFE</v>
      </c>
      <c r="AT118" s="79" t="str">
        <f>HYPERLINK("http://vinetur.com")</f>
        <v>http://vinetur.com</v>
      </c>
      <c r="AU118" t="s">
        <v>1164</v>
      </c>
      <c r="AX118" t="b">
        <v>1</v>
      </c>
      <c r="BA118" t="b">
        <v>0</v>
      </c>
      <c r="BB118" t="b">
        <v>1</v>
      </c>
      <c r="BC118" t="b">
        <v>0</v>
      </c>
      <c r="BD118" t="b">
        <v>0</v>
      </c>
      <c r="BE118" t="b">
        <v>1</v>
      </c>
      <c r="BF118" t="b">
        <v>0</v>
      </c>
      <c r="BG118" t="b">
        <v>0</v>
      </c>
      <c r="BH118" s="79" t="str">
        <f>HYPERLINK("https://pbs.twimg.com/profile_banners/32935674/1649412451")</f>
        <v>https://pbs.twimg.com/profile_banners/32935674/1649412451</v>
      </c>
      <c r="BJ118" t="s">
        <v>4320</v>
      </c>
      <c r="BK118" t="b">
        <v>0</v>
      </c>
      <c r="BM118" t="s">
        <v>66</v>
      </c>
      <c r="BN118" t="s">
        <v>4322</v>
      </c>
      <c r="BO118" s="79" t="str">
        <f>HYPERLINK("https://twitter.com/vinetur")</f>
        <v>https://twitter.com/vinetur</v>
      </c>
      <c r="BP118" s="112" t="str">
        <f>REPLACE(INDEX(GroupVertices[Group], MATCH("~"&amp;Vertices[[#This Row],[Vertex]],GroupVertices[Vertex],0)),1,1,"")</f>
        <v>96</v>
      </c>
      <c r="BQ118" s="2"/>
    </row>
    <row r="119" spans="1:69" x14ac:dyDescent="0.25">
      <c r="A119" s="61" t="s">
        <v>250</v>
      </c>
      <c r="B119" s="62"/>
      <c r="C119" s="62"/>
      <c r="D119" s="63">
        <v>1.5</v>
      </c>
      <c r="E119" s="65"/>
      <c r="F119" s="97" t="str">
        <f>HYPERLINK("https://pbs.twimg.com/profile_images/1796270293335343104/6hULqnAh_normal.jpg")</f>
        <v>https://pbs.twimg.com/profile_images/1796270293335343104/6hULqnAh_normal.jpg</v>
      </c>
      <c r="G119" s="62"/>
      <c r="H119" s="66"/>
      <c r="I119" s="67"/>
      <c r="J119" s="67"/>
      <c r="K119" s="66" t="s">
        <v>4377</v>
      </c>
      <c r="L119" s="70"/>
      <c r="M119" s="71">
        <v>4839.130859375</v>
      </c>
      <c r="N119" s="71">
        <v>9625.94140625</v>
      </c>
      <c r="O119" s="72"/>
      <c r="P119" s="73"/>
      <c r="Q119" s="73"/>
      <c r="R119" s="81"/>
      <c r="S119" s="45">
        <v>1</v>
      </c>
      <c r="T119" s="45">
        <v>1</v>
      </c>
      <c r="U119" s="46">
        <v>0</v>
      </c>
      <c r="V119" s="46">
        <v>0</v>
      </c>
      <c r="W119" s="47"/>
      <c r="X119" s="47"/>
      <c r="Y119" s="47"/>
      <c r="Z119" s="46"/>
      <c r="AA119" s="68">
        <v>119</v>
      </c>
      <c r="AB119"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19" s="69"/>
      <c r="AD119" t="s">
        <v>2739</v>
      </c>
      <c r="AE119" s="77" t="s">
        <v>3183</v>
      </c>
      <c r="AF119">
        <v>13491</v>
      </c>
      <c r="AG119">
        <v>1207</v>
      </c>
      <c r="AH119">
        <v>42952</v>
      </c>
      <c r="AI119">
        <v>46</v>
      </c>
      <c r="AJ119">
        <v>126</v>
      </c>
      <c r="AK119">
        <v>6268</v>
      </c>
      <c r="AL119" t="b">
        <v>0</v>
      </c>
      <c r="AM119" s="76">
        <v>41337.596250000002</v>
      </c>
      <c r="AN119" t="s">
        <v>3434</v>
      </c>
      <c r="AO119" t="s">
        <v>3684</v>
      </c>
      <c r="AP119" s="79" t="str">
        <f>HYPERLINK("https://t.co/jPHxtcGW56")</f>
        <v>https://t.co/jPHxtcGW56</v>
      </c>
      <c r="AQ119" s="79" t="str">
        <f>HYPERLINK("http://www.preludioradio.cl")</f>
        <v>http://www.preludioradio.cl</v>
      </c>
      <c r="AR119" t="s">
        <v>1139</v>
      </c>
      <c r="AV119">
        <v>1.9220701940981399E+18</v>
      </c>
      <c r="AW119" s="79" t="str">
        <f>HYPERLINK("https://t.co/jPHxtcGW56")</f>
        <v>https://t.co/jPHxtcGW56</v>
      </c>
      <c r="AX119" t="b">
        <v>0</v>
      </c>
      <c r="BA119" t="b">
        <v>1</v>
      </c>
      <c r="BB119" t="b">
        <v>1</v>
      </c>
      <c r="BC119" t="b">
        <v>0</v>
      </c>
      <c r="BD119" t="b">
        <v>0</v>
      </c>
      <c r="BE119" t="b">
        <v>1</v>
      </c>
      <c r="BF119" t="b">
        <v>0</v>
      </c>
      <c r="BG119" t="b">
        <v>0</v>
      </c>
      <c r="BH119" s="79" t="str">
        <f>HYPERLINK("https://pbs.twimg.com/profile_banners/1241464651/1748815790")</f>
        <v>https://pbs.twimg.com/profile_banners/1241464651/1748815790</v>
      </c>
      <c r="BJ119" t="s">
        <v>4320</v>
      </c>
      <c r="BK119" t="b">
        <v>0</v>
      </c>
      <c r="BM119" t="s">
        <v>66</v>
      </c>
      <c r="BN119" t="s">
        <v>4322</v>
      </c>
      <c r="BO119" s="79" t="str">
        <f>HYPERLINK("https://twitter.com/preludioradio")</f>
        <v>https://twitter.com/preludioradio</v>
      </c>
      <c r="BP119" s="112" t="str">
        <f>REPLACE(INDEX(GroupVertices[Group], MATCH("~"&amp;Vertices[[#This Row],[Vertex]],GroupVertices[Vertex],0)),1,1,"")</f>
        <v>168</v>
      </c>
      <c r="BQ119" s="2"/>
    </row>
    <row r="120" spans="1:69" x14ac:dyDescent="0.25">
      <c r="A120" s="61" t="s">
        <v>251</v>
      </c>
      <c r="B120" s="62"/>
      <c r="C120" s="62"/>
      <c r="D120" s="63">
        <v>1.5</v>
      </c>
      <c r="E120" s="65"/>
      <c r="F120" s="97" t="str">
        <f>HYPERLINK("https://pbs.twimg.com/profile_images/1615367775165235202/kfinlXwp_normal.jpg")</f>
        <v>https://pbs.twimg.com/profile_images/1615367775165235202/kfinlXwp_normal.jpg</v>
      </c>
      <c r="G120" s="62"/>
      <c r="H120" s="66"/>
      <c r="I120" s="67"/>
      <c r="J120" s="67"/>
      <c r="K120" s="66" t="s">
        <v>4378</v>
      </c>
      <c r="L120" s="70"/>
      <c r="M120" s="71">
        <v>7226.10546875</v>
      </c>
      <c r="N120" s="71">
        <v>2256.4501953125</v>
      </c>
      <c r="O120" s="72"/>
      <c r="P120" s="73"/>
      <c r="Q120" s="73"/>
      <c r="R120" s="81"/>
      <c r="S120" s="45">
        <v>1</v>
      </c>
      <c r="T120" s="45">
        <v>1</v>
      </c>
      <c r="U120" s="46">
        <v>0</v>
      </c>
      <c r="V120" s="46">
        <v>0</v>
      </c>
      <c r="W120" s="47"/>
      <c r="X120" s="47"/>
      <c r="Y120" s="47"/>
      <c r="Z120" s="46"/>
      <c r="AA120" s="68">
        <v>120</v>
      </c>
      <c r="AB120"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20" s="69"/>
      <c r="AD120" t="s">
        <v>2740</v>
      </c>
      <c r="AE120" s="77" t="s">
        <v>3184</v>
      </c>
      <c r="AF120">
        <v>41914</v>
      </c>
      <c r="AG120">
        <v>315</v>
      </c>
      <c r="AH120">
        <v>154639</v>
      </c>
      <c r="AI120">
        <v>91</v>
      </c>
      <c r="AJ120">
        <v>10</v>
      </c>
      <c r="AK120">
        <v>59237</v>
      </c>
      <c r="AL120" t="b">
        <v>0</v>
      </c>
      <c r="AM120" s="76">
        <v>40414.879328703704</v>
      </c>
      <c r="AN120" t="s">
        <v>3435</v>
      </c>
      <c r="AO120" t="s">
        <v>3685</v>
      </c>
      <c r="AP120" s="79" t="str">
        <f>HYPERLINK("https://t.co/hkK2f4ZGO2")</f>
        <v>https://t.co/hkK2f4ZGO2</v>
      </c>
      <c r="AQ120" s="79" t="str">
        <f>HYPERLINK("http://chillanonline.cl/")</f>
        <v>http://chillanonline.cl/</v>
      </c>
      <c r="AR120" t="s">
        <v>1140</v>
      </c>
      <c r="AW120" s="79" t="str">
        <f>HYPERLINK("https://t.co/hkK2f4ZGO2")</f>
        <v>https://t.co/hkK2f4ZGO2</v>
      </c>
      <c r="AX120" t="b">
        <v>0</v>
      </c>
      <c r="BA120" t="b">
        <v>0</v>
      </c>
      <c r="BB120" t="b">
        <v>0</v>
      </c>
      <c r="BC120" t="b">
        <v>0</v>
      </c>
      <c r="BD120" t="b">
        <v>0</v>
      </c>
      <c r="BE120" t="b">
        <v>0</v>
      </c>
      <c r="BF120" t="b">
        <v>0</v>
      </c>
      <c r="BG120" t="b">
        <v>0</v>
      </c>
      <c r="BH120" s="79" t="str">
        <f>HYPERLINK("https://pbs.twimg.com/profile_banners/182543260/1620956904")</f>
        <v>https://pbs.twimg.com/profile_banners/182543260/1620956904</v>
      </c>
      <c r="BJ120" t="s">
        <v>4320</v>
      </c>
      <c r="BK120" t="b">
        <v>0</v>
      </c>
      <c r="BM120" t="s">
        <v>66</v>
      </c>
      <c r="BN120" t="s">
        <v>4322</v>
      </c>
      <c r="BO120" s="79" t="str">
        <f>HYPERLINK("https://twitter.com/chillanonline")</f>
        <v>https://twitter.com/chillanonline</v>
      </c>
      <c r="BP120" s="112" t="str">
        <f>REPLACE(INDEX(GroupVertices[Group], MATCH("~"&amp;Vertices[[#This Row],[Vertex]],GroupVertices[Vertex],0)),1,1,"")</f>
        <v>192</v>
      </c>
      <c r="BQ120" s="2"/>
    </row>
    <row r="121" spans="1:69" x14ac:dyDescent="0.25">
      <c r="A121" s="61" t="s">
        <v>252</v>
      </c>
      <c r="B121" s="62"/>
      <c r="C121" s="62"/>
      <c r="D121" s="63">
        <v>1.5</v>
      </c>
      <c r="E121" s="65"/>
      <c r="F121" s="97" t="str">
        <f>HYPERLINK("https://pbs.twimg.com/profile_images/471756139055439872/qyCwaOCc_normal.jpeg")</f>
        <v>https://pbs.twimg.com/profile_images/471756139055439872/qyCwaOCc_normal.jpeg</v>
      </c>
      <c r="G121" s="62"/>
      <c r="H121" s="66"/>
      <c r="I121" s="67"/>
      <c r="J121" s="67"/>
      <c r="K121" s="66" t="s">
        <v>4379</v>
      </c>
      <c r="L121" s="70"/>
      <c r="M121" s="71">
        <v>585.31036376953125</v>
      </c>
      <c r="N121" s="71">
        <v>4356.912109375</v>
      </c>
      <c r="O121" s="72"/>
      <c r="P121" s="73"/>
      <c r="Q121" s="73"/>
      <c r="R121" s="81"/>
      <c r="S121" s="45">
        <v>0</v>
      </c>
      <c r="T121" s="45">
        <v>1</v>
      </c>
      <c r="U121" s="46">
        <v>0</v>
      </c>
      <c r="V121" s="46">
        <v>2.0960000000000002E-3</v>
      </c>
      <c r="W121" s="47"/>
      <c r="X121" s="47"/>
      <c r="Y121" s="47"/>
      <c r="Z121" s="46"/>
      <c r="AA121" s="68">
        <v>121</v>
      </c>
      <c r="AB121"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21" s="69"/>
      <c r="AD121" t="s">
        <v>2741</v>
      </c>
      <c r="AE121" s="77" t="s">
        <v>3185</v>
      </c>
      <c r="AF121">
        <v>6499</v>
      </c>
      <c r="AG121">
        <v>2041</v>
      </c>
      <c r="AH121">
        <v>16038</v>
      </c>
      <c r="AI121">
        <v>56</v>
      </c>
      <c r="AJ121">
        <v>3583</v>
      </c>
      <c r="AK121">
        <v>3631</v>
      </c>
      <c r="AL121" t="b">
        <v>0</v>
      </c>
      <c r="AM121" s="76">
        <v>41724.503865740742</v>
      </c>
      <c r="AO121" t="s">
        <v>3686</v>
      </c>
      <c r="AP121" s="79" t="str">
        <f>HYPERLINK("https://t.co/ylYP8QRowh")</f>
        <v>https://t.co/ylYP8QRowh</v>
      </c>
      <c r="AQ121" s="79" t="str">
        <f>HYPERLINK("http://www.accioneducar.cl")</f>
        <v>http://www.accioneducar.cl</v>
      </c>
      <c r="AR121" t="s">
        <v>4080</v>
      </c>
      <c r="AW121" s="79" t="str">
        <f>HYPERLINK("https://t.co/ylYP8QRowh")</f>
        <v>https://t.co/ylYP8QRowh</v>
      </c>
      <c r="AX121" t="b">
        <v>0</v>
      </c>
      <c r="BA121" t="b">
        <v>0</v>
      </c>
      <c r="BB121" t="b">
        <v>1</v>
      </c>
      <c r="BC121" t="b">
        <v>0</v>
      </c>
      <c r="BD121" t="b">
        <v>0</v>
      </c>
      <c r="BE121" t="b">
        <v>1</v>
      </c>
      <c r="BF121" t="b">
        <v>0</v>
      </c>
      <c r="BG121" t="b">
        <v>0</v>
      </c>
      <c r="BH121" s="79" t="str">
        <f>HYPERLINK("https://pbs.twimg.com/profile_banners/2412504692/1662388670")</f>
        <v>https://pbs.twimg.com/profile_banners/2412504692/1662388670</v>
      </c>
      <c r="BJ121" t="s">
        <v>4320</v>
      </c>
      <c r="BK121" t="b">
        <v>0</v>
      </c>
      <c r="BM121" t="s">
        <v>66</v>
      </c>
      <c r="BN121" t="s">
        <v>4322</v>
      </c>
      <c r="BO121" s="79" t="str">
        <f>HYPERLINK("https://twitter.com/accioneducar")</f>
        <v>https://twitter.com/accioneducar</v>
      </c>
      <c r="BP121" s="112" t="str">
        <f>REPLACE(INDEX(GroupVertices[Group], MATCH("~"&amp;Vertices[[#This Row],[Vertex]],GroupVertices[Vertex],0)),1,1,"")</f>
        <v>90</v>
      </c>
      <c r="BQ121" s="2"/>
    </row>
    <row r="122" spans="1:69" x14ac:dyDescent="0.25">
      <c r="A122" s="61" t="s">
        <v>532</v>
      </c>
      <c r="B122" s="62"/>
      <c r="C122" s="62"/>
      <c r="D122" s="63">
        <v>1.5</v>
      </c>
      <c r="E122" s="65"/>
      <c r="F122" s="97" t="str">
        <f>HYPERLINK("https://pbs.twimg.com/profile_images/1168546965447172098/BVE-P9SY_normal.jpg")</f>
        <v>https://pbs.twimg.com/profile_images/1168546965447172098/BVE-P9SY_normal.jpg</v>
      </c>
      <c r="G122" s="62"/>
      <c r="H122" s="66"/>
      <c r="I122" s="67"/>
      <c r="J122" s="67"/>
      <c r="K122" s="66" t="s">
        <v>4380</v>
      </c>
      <c r="L122" s="70"/>
      <c r="M122" s="71">
        <v>2497.984130859375</v>
      </c>
      <c r="N122" s="71">
        <v>4967.98779296875</v>
      </c>
      <c r="O122" s="72"/>
      <c r="P122" s="73"/>
      <c r="Q122" s="73"/>
      <c r="R122" s="81"/>
      <c r="S122" s="45">
        <v>1</v>
      </c>
      <c r="T122" s="45">
        <v>0</v>
      </c>
      <c r="U122" s="46">
        <v>0</v>
      </c>
      <c r="V122" s="46">
        <v>2.0960000000000002E-3</v>
      </c>
      <c r="W122" s="47"/>
      <c r="X122" s="47"/>
      <c r="Y122" s="47"/>
      <c r="Z122" s="46"/>
      <c r="AA122" s="68">
        <v>122</v>
      </c>
      <c r="AB122"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22" s="69"/>
      <c r="AD122" t="s">
        <v>2742</v>
      </c>
      <c r="AE122" s="77" t="s">
        <v>3186</v>
      </c>
      <c r="AF122">
        <v>4137</v>
      </c>
      <c r="AG122">
        <v>557</v>
      </c>
      <c r="AH122">
        <v>7556</v>
      </c>
      <c r="AI122">
        <v>19</v>
      </c>
      <c r="AJ122">
        <v>1888</v>
      </c>
      <c r="AK122">
        <v>1529</v>
      </c>
      <c r="AL122" t="b">
        <v>0</v>
      </c>
      <c r="AM122" s="76">
        <v>40654.067210648151</v>
      </c>
      <c r="AO122" t="s">
        <v>3687</v>
      </c>
      <c r="AV122">
        <v>1.8468934989575401E+18</v>
      </c>
      <c r="AX122" t="b">
        <v>0</v>
      </c>
      <c r="AZ122" t="b">
        <v>0</v>
      </c>
      <c r="BA122" t="b">
        <v>0</v>
      </c>
      <c r="BB122" t="b">
        <v>1</v>
      </c>
      <c r="BC122" t="b">
        <v>1</v>
      </c>
      <c r="BD122" t="b">
        <v>0</v>
      </c>
      <c r="BE122" t="b">
        <v>1</v>
      </c>
      <c r="BF122" t="b">
        <v>0</v>
      </c>
      <c r="BG122" t="b">
        <v>0</v>
      </c>
      <c r="BH122" s="79" t="str">
        <f>HYPERLINK("https://pbs.twimg.com/profile_banners/285374264/1634250966")</f>
        <v>https://pbs.twimg.com/profile_banners/285374264/1634250966</v>
      </c>
      <c r="BJ122" t="s">
        <v>4320</v>
      </c>
      <c r="BK122" t="b">
        <v>0</v>
      </c>
      <c r="BM122" t="s">
        <v>65</v>
      </c>
      <c r="BN122" t="s">
        <v>4322</v>
      </c>
      <c r="BO122" s="79" t="str">
        <f>HYPERLINK("https://twitter.com/drodriguezmo")</f>
        <v>https://twitter.com/drodriguezmo</v>
      </c>
      <c r="BP122" s="112" t="str">
        <f>REPLACE(INDEX(GroupVertices[Group], MATCH("~"&amp;Vertices[[#This Row],[Vertex]],GroupVertices[Vertex],0)),1,1,"")</f>
        <v>90</v>
      </c>
      <c r="BQ122" s="2"/>
    </row>
    <row r="123" spans="1:69" x14ac:dyDescent="0.25">
      <c r="A123" s="61" t="s">
        <v>253</v>
      </c>
      <c r="B123" s="62"/>
      <c r="C123" s="62"/>
      <c r="D123" s="63">
        <v>1.5</v>
      </c>
      <c r="E123" s="65"/>
      <c r="F123" s="97" t="str">
        <f>HYPERLINK("https://abs.twimg.com/sticky/default_profile_images/default_profile_normal.png")</f>
        <v>https://abs.twimg.com/sticky/default_profile_images/default_profile_normal.png</v>
      </c>
      <c r="G123" s="62"/>
      <c r="H123" s="66"/>
      <c r="I123" s="67"/>
      <c r="J123" s="67"/>
      <c r="K123" s="66" t="s">
        <v>4381</v>
      </c>
      <c r="L123" s="70"/>
      <c r="M123" s="71">
        <v>7310.451171875</v>
      </c>
      <c r="N123" s="71">
        <v>9310.59375</v>
      </c>
      <c r="O123" s="72"/>
      <c r="P123" s="73"/>
      <c r="Q123" s="73"/>
      <c r="R123" s="81"/>
      <c r="S123" s="45">
        <v>0</v>
      </c>
      <c r="T123" s="45">
        <v>1</v>
      </c>
      <c r="U123" s="46">
        <v>0</v>
      </c>
      <c r="V123" s="46">
        <v>2.0960000000000002E-3</v>
      </c>
      <c r="W123" s="47"/>
      <c r="X123" s="47"/>
      <c r="Y123" s="47"/>
      <c r="Z123" s="46"/>
      <c r="AA123" s="68">
        <v>123</v>
      </c>
      <c r="AB123"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23" s="69"/>
      <c r="AD123" t="s">
        <v>2743</v>
      </c>
      <c r="AE123" s="77" t="s">
        <v>2544</v>
      </c>
      <c r="AF123">
        <v>10</v>
      </c>
      <c r="AG123">
        <v>174</v>
      </c>
      <c r="AH123">
        <v>4840</v>
      </c>
      <c r="AI123">
        <v>1</v>
      </c>
      <c r="AJ123">
        <v>888</v>
      </c>
      <c r="AK123">
        <v>3</v>
      </c>
      <c r="AL123" t="b">
        <v>0</v>
      </c>
      <c r="AM123" s="76">
        <v>42925.555601851855</v>
      </c>
      <c r="AX123" t="b">
        <v>0</v>
      </c>
      <c r="BA123" t="b">
        <v>0</v>
      </c>
      <c r="BB123" t="b">
        <v>1</v>
      </c>
      <c r="BC123" t="b">
        <v>1</v>
      </c>
      <c r="BD123" t="b">
        <v>1</v>
      </c>
      <c r="BE123" t="b">
        <v>0</v>
      </c>
      <c r="BF123" t="b">
        <v>0</v>
      </c>
      <c r="BG123" t="b">
        <v>0</v>
      </c>
      <c r="BJ123" t="s">
        <v>4320</v>
      </c>
      <c r="BK123" t="b">
        <v>0</v>
      </c>
      <c r="BM123" t="s">
        <v>66</v>
      </c>
      <c r="BN123" t="s">
        <v>4322</v>
      </c>
      <c r="BO123" s="79" t="str">
        <f>HYPERLINK("https://twitter.com/rubi622")</f>
        <v>https://twitter.com/rubi622</v>
      </c>
      <c r="BP123" s="112" t="str">
        <f>REPLACE(INDEX(GroupVertices[Group], MATCH("~"&amp;Vertices[[#This Row],[Vertex]],GroupVertices[Vertex],0)),1,1,"")</f>
        <v>52</v>
      </c>
      <c r="BQ123" s="2"/>
    </row>
    <row r="124" spans="1:69" x14ac:dyDescent="0.25">
      <c r="A124" s="61" t="s">
        <v>533</v>
      </c>
      <c r="B124" s="62"/>
      <c r="C124" s="62"/>
      <c r="D124" s="63">
        <v>1.5</v>
      </c>
      <c r="E124" s="65"/>
      <c r="F124" s="97" t="str">
        <f>HYPERLINK("https://pbs.twimg.com/profile_images/1928448136642445312/Q_7SNpp4_normal.jpg")</f>
        <v>https://pbs.twimg.com/profile_images/1928448136642445312/Q_7SNpp4_normal.jpg</v>
      </c>
      <c r="G124" s="62"/>
      <c r="H124" s="66"/>
      <c r="I124" s="67"/>
      <c r="J124" s="67"/>
      <c r="K124" s="66" t="s">
        <v>4382</v>
      </c>
      <c r="L124" s="70"/>
      <c r="M124" s="71">
        <v>7354.49609375</v>
      </c>
      <c r="N124" s="71">
        <v>7883.63818359375</v>
      </c>
      <c r="O124" s="72"/>
      <c r="P124" s="73"/>
      <c r="Q124" s="73"/>
      <c r="R124" s="81"/>
      <c r="S124" s="45">
        <v>1</v>
      </c>
      <c r="T124" s="45">
        <v>0</v>
      </c>
      <c r="U124" s="46">
        <v>0</v>
      </c>
      <c r="V124" s="46">
        <v>2.0960000000000002E-3</v>
      </c>
      <c r="W124" s="47"/>
      <c r="X124" s="47"/>
      <c r="Y124" s="47"/>
      <c r="Z124" s="46"/>
      <c r="AA124" s="68">
        <v>124</v>
      </c>
      <c r="AB124"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24" s="69"/>
      <c r="AD124" t="s">
        <v>2744</v>
      </c>
      <c r="AE124" s="77" t="s">
        <v>2385</v>
      </c>
      <c r="AF124">
        <v>8392</v>
      </c>
      <c r="AG124">
        <v>6494</v>
      </c>
      <c r="AH124">
        <v>39146</v>
      </c>
      <c r="AI124">
        <v>20</v>
      </c>
      <c r="AJ124">
        <v>24446</v>
      </c>
      <c r="AK124">
        <v>5681</v>
      </c>
      <c r="AL124" t="b">
        <v>0</v>
      </c>
      <c r="AM124" s="76">
        <v>43956.910810185182</v>
      </c>
      <c r="AO124" t="s">
        <v>3688</v>
      </c>
      <c r="AS124" s="79" t="str">
        <f>HYPERLINK("https://t.co/0UN0OLE4lP")</f>
        <v>https://t.co/0UN0OLE4lP</v>
      </c>
      <c r="AT124" s="79" t="str">
        <f>HYPERLINK("http://bsky.app/profile/diegozapata.bsky.social")</f>
        <v>http://bsky.app/profile/diegozapata.bsky.social</v>
      </c>
      <c r="AU124" t="s">
        <v>4273</v>
      </c>
      <c r="AX124" t="b">
        <v>0</v>
      </c>
      <c r="AZ124" t="b">
        <v>0</v>
      </c>
      <c r="BA124" t="b">
        <v>0</v>
      </c>
      <c r="BB124" t="b">
        <v>0</v>
      </c>
      <c r="BC124" t="b">
        <v>1</v>
      </c>
      <c r="BD124" t="b">
        <v>0</v>
      </c>
      <c r="BE124" t="b">
        <v>0</v>
      </c>
      <c r="BF124" t="b">
        <v>0</v>
      </c>
      <c r="BG124" t="b">
        <v>0</v>
      </c>
      <c r="BH124" s="79" t="str">
        <f>HYPERLINK("https://pbs.twimg.com/profile_banners/1257789842148261888/1701570674")</f>
        <v>https://pbs.twimg.com/profile_banners/1257789842148261888/1701570674</v>
      </c>
      <c r="BJ124" t="s">
        <v>4320</v>
      </c>
      <c r="BK124" t="b">
        <v>0</v>
      </c>
      <c r="BM124" t="s">
        <v>65</v>
      </c>
      <c r="BN124" t="s">
        <v>4322</v>
      </c>
      <c r="BO124" s="79" t="str">
        <f>HYPERLINK("https://twitter.com/diegozapata_01")</f>
        <v>https://twitter.com/diegozapata_01</v>
      </c>
      <c r="BP124" s="112" t="str">
        <f>REPLACE(INDEX(GroupVertices[Group], MATCH("~"&amp;Vertices[[#This Row],[Vertex]],GroupVertices[Vertex],0)),1,1,"")</f>
        <v>52</v>
      </c>
      <c r="BQ124" s="2"/>
    </row>
    <row r="125" spans="1:69" x14ac:dyDescent="0.25">
      <c r="A125" s="61" t="s">
        <v>254</v>
      </c>
      <c r="B125" s="62"/>
      <c r="C125" s="62"/>
      <c r="D125" s="63">
        <v>1.5</v>
      </c>
      <c r="E125" s="65"/>
      <c r="F125" s="97" t="str">
        <f>HYPERLINK("https://pbs.twimg.com/profile_images/1808231349804777472/qRp481xF_normal.jpg")</f>
        <v>https://pbs.twimg.com/profile_images/1808231349804777472/qRp481xF_normal.jpg</v>
      </c>
      <c r="G125" s="62"/>
      <c r="H125" s="66"/>
      <c r="I125" s="67"/>
      <c r="J125" s="67"/>
      <c r="K125" s="66" t="s">
        <v>4383</v>
      </c>
      <c r="L125" s="70"/>
      <c r="M125" s="71">
        <v>2238.341064453125</v>
      </c>
      <c r="N125" s="71">
        <v>5732.16015625</v>
      </c>
      <c r="O125" s="72"/>
      <c r="P125" s="73"/>
      <c r="Q125" s="73"/>
      <c r="R125" s="81"/>
      <c r="S125" s="45">
        <v>1</v>
      </c>
      <c r="T125" s="45">
        <v>1</v>
      </c>
      <c r="U125" s="46">
        <v>0</v>
      </c>
      <c r="V125" s="46">
        <v>0</v>
      </c>
      <c r="W125" s="47"/>
      <c r="X125" s="47"/>
      <c r="Y125" s="47"/>
      <c r="Z125" s="46"/>
      <c r="AA125" s="68">
        <v>125</v>
      </c>
      <c r="AB125"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25" s="69"/>
      <c r="AD125" t="s">
        <v>2745</v>
      </c>
      <c r="AE125" s="77" t="s">
        <v>3187</v>
      </c>
      <c r="AF125">
        <v>20733</v>
      </c>
      <c r="AG125">
        <v>418</v>
      </c>
      <c r="AH125">
        <v>59220</v>
      </c>
      <c r="AI125">
        <v>70</v>
      </c>
      <c r="AJ125">
        <v>937</v>
      </c>
      <c r="AK125">
        <v>31007</v>
      </c>
      <c r="AL125" t="b">
        <v>0</v>
      </c>
      <c r="AM125" s="76">
        <v>40316.621678240743</v>
      </c>
      <c r="AN125" t="s">
        <v>3436</v>
      </c>
      <c r="AO125" t="s">
        <v>3689</v>
      </c>
      <c r="AP125" s="79" t="str">
        <f>HYPERLINK("https://t.co/sIJAhyLjD4")</f>
        <v>https://t.co/sIJAhyLjD4</v>
      </c>
      <c r="AQ125" s="79" t="str">
        <f>HYPERLINK("http://www.radioprensa.cl")</f>
        <v>http://www.radioprensa.cl</v>
      </c>
      <c r="AR125" t="s">
        <v>1141</v>
      </c>
      <c r="AW125" s="79" t="str">
        <f>HYPERLINK("https://t.co/sIJAhyLjD4")</f>
        <v>https://t.co/sIJAhyLjD4</v>
      </c>
      <c r="AX125" t="b">
        <v>0</v>
      </c>
      <c r="BA125" t="b">
        <v>0</v>
      </c>
      <c r="BB125" t="b">
        <v>0</v>
      </c>
      <c r="BC125" t="b">
        <v>0</v>
      </c>
      <c r="BD125" t="b">
        <v>0</v>
      </c>
      <c r="BE125" t="b">
        <v>0</v>
      </c>
      <c r="BF125" t="b">
        <v>0</v>
      </c>
      <c r="BG125" t="b">
        <v>0</v>
      </c>
      <c r="BH125" s="79" t="str">
        <f>HYPERLINK("https://pbs.twimg.com/profile_banners/145270013/1665405746")</f>
        <v>https://pbs.twimg.com/profile_banners/145270013/1665405746</v>
      </c>
      <c r="BJ125" t="s">
        <v>4320</v>
      </c>
      <c r="BK125" t="b">
        <v>0</v>
      </c>
      <c r="BM125" t="s">
        <v>66</v>
      </c>
      <c r="BN125" t="s">
        <v>4322</v>
      </c>
      <c r="BO125" s="79" t="str">
        <f>HYPERLINK("https://twitter.com/radioprensa")</f>
        <v>https://twitter.com/radioprensa</v>
      </c>
      <c r="BP125" s="112" t="str">
        <f>REPLACE(INDEX(GroupVertices[Group], MATCH("~"&amp;Vertices[[#This Row],[Vertex]],GroupVertices[Vertex],0)),1,1,"")</f>
        <v>185</v>
      </c>
      <c r="BQ125" s="2"/>
    </row>
    <row r="126" spans="1:69" x14ac:dyDescent="0.25">
      <c r="A126" s="61" t="s">
        <v>255</v>
      </c>
      <c r="B126" s="62"/>
      <c r="C126" s="62"/>
      <c r="D126" s="63">
        <v>1.5</v>
      </c>
      <c r="E126" s="65"/>
      <c r="F126" s="97" t="str">
        <f>HYPERLINK("https://pbs.twimg.com/profile_images/1370085384068153344/uPAA_LP9_normal.jpg")</f>
        <v>https://pbs.twimg.com/profile_images/1370085384068153344/uPAA_LP9_normal.jpg</v>
      </c>
      <c r="G126" s="62"/>
      <c r="H126" s="66"/>
      <c r="I126" s="67"/>
      <c r="J126" s="67"/>
      <c r="K126" s="66" t="s">
        <v>4384</v>
      </c>
      <c r="L126" s="70"/>
      <c r="M126" s="71">
        <v>9566.48046875</v>
      </c>
      <c r="N126" s="71">
        <v>6460.91845703125</v>
      </c>
      <c r="O126" s="72"/>
      <c r="P126" s="73"/>
      <c r="Q126" s="73"/>
      <c r="R126" s="81"/>
      <c r="S126" s="45">
        <v>0</v>
      </c>
      <c r="T126" s="45">
        <v>1</v>
      </c>
      <c r="U126" s="46">
        <v>0</v>
      </c>
      <c r="V126" s="46">
        <v>2.0960000000000002E-3</v>
      </c>
      <c r="W126" s="47"/>
      <c r="X126" s="47"/>
      <c r="Y126" s="47"/>
      <c r="Z126" s="46"/>
      <c r="AA126" s="68">
        <v>126</v>
      </c>
      <c r="AB126"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26" s="69"/>
      <c r="AD126" t="s">
        <v>2746</v>
      </c>
      <c r="AE126" s="77" t="s">
        <v>3188</v>
      </c>
      <c r="AF126">
        <v>26548</v>
      </c>
      <c r="AG126">
        <v>201</v>
      </c>
      <c r="AH126">
        <v>120774</v>
      </c>
      <c r="AI126">
        <v>428</v>
      </c>
      <c r="AJ126">
        <v>7406</v>
      </c>
      <c r="AK126">
        <v>39412</v>
      </c>
      <c r="AL126" t="b">
        <v>0</v>
      </c>
      <c r="AM126" s="76">
        <v>40847.519050925926</v>
      </c>
      <c r="AN126" t="s">
        <v>3437</v>
      </c>
      <c r="AO126" t="s">
        <v>3690</v>
      </c>
      <c r="AP126" s="79" t="str">
        <f>HYPERLINK("https://t.co/1mv131lLNL")</f>
        <v>https://t.co/1mv131lLNL</v>
      </c>
      <c r="AQ126" s="79" t="str">
        <f>HYPERLINK("http://www.radiovalencia.es")</f>
        <v>http://www.radiovalencia.es</v>
      </c>
      <c r="AR126" t="s">
        <v>4081</v>
      </c>
      <c r="AS126" s="79" t="str">
        <f>HYPERLINK("https://t.co/UZGncef9Vr")</f>
        <v>https://t.co/UZGncef9Vr</v>
      </c>
      <c r="AT126" s="79" t="str">
        <f>HYPERLINK("https://cadenaser.com/politica-de-rrss/")</f>
        <v>https://cadenaser.com/politica-de-rrss/</v>
      </c>
      <c r="AU126" t="s">
        <v>4274</v>
      </c>
      <c r="AW126" s="79" t="str">
        <f>HYPERLINK("https://t.co/1mv131lLNL")</f>
        <v>https://t.co/1mv131lLNL</v>
      </c>
      <c r="AX126" t="b">
        <v>1</v>
      </c>
      <c r="BA126" t="b">
        <v>1</v>
      </c>
      <c r="BB126" t="b">
        <v>0</v>
      </c>
      <c r="BC126" t="b">
        <v>1</v>
      </c>
      <c r="BD126" t="b">
        <v>0</v>
      </c>
      <c r="BE126" t="b">
        <v>1</v>
      </c>
      <c r="BF126" t="b">
        <v>0</v>
      </c>
      <c r="BG126" t="b">
        <v>0</v>
      </c>
      <c r="BH126" s="79" t="str">
        <f>HYPERLINK("https://pbs.twimg.com/profile_banners/402013017/1613584984")</f>
        <v>https://pbs.twimg.com/profile_banners/402013017/1613584984</v>
      </c>
      <c r="BJ126" t="s">
        <v>4320</v>
      </c>
      <c r="BK126" t="b">
        <v>0</v>
      </c>
      <c r="BM126" t="s">
        <v>66</v>
      </c>
      <c r="BN126" t="s">
        <v>4322</v>
      </c>
      <c r="BO126" s="79" t="str">
        <f>HYPERLINK("https://twitter.com/radiovalencia")</f>
        <v>https://twitter.com/radiovalencia</v>
      </c>
      <c r="BP126" s="112" t="str">
        <f>REPLACE(INDEX(GroupVertices[Group], MATCH("~"&amp;Vertices[[#This Row],[Vertex]],GroupVertices[Vertex],0)),1,1,"")</f>
        <v>98</v>
      </c>
      <c r="BQ126" s="2"/>
    </row>
    <row r="127" spans="1:69" x14ac:dyDescent="0.25">
      <c r="A127" s="61" t="s">
        <v>534</v>
      </c>
      <c r="B127" s="62"/>
      <c r="C127" s="62"/>
      <c r="D127" s="63">
        <v>1.5</v>
      </c>
      <c r="E127" s="65"/>
      <c r="F127" s="97" t="str">
        <f>HYPERLINK("https://pbs.twimg.com/profile_images/1915401170568265728/ZtfoBdZL_normal.jpg")</f>
        <v>https://pbs.twimg.com/profile_images/1915401170568265728/ZtfoBdZL_normal.jpg</v>
      </c>
      <c r="G127" s="62"/>
      <c r="H127" s="66"/>
      <c r="I127" s="67"/>
      <c r="J127" s="67"/>
      <c r="K127" s="66" t="s">
        <v>4385</v>
      </c>
      <c r="L127" s="70"/>
      <c r="M127" s="71">
        <v>9200.6103515625</v>
      </c>
      <c r="N127" s="71">
        <v>8141.41943359375</v>
      </c>
      <c r="O127" s="72"/>
      <c r="P127" s="73"/>
      <c r="Q127" s="73"/>
      <c r="R127" s="81"/>
      <c r="S127" s="45">
        <v>1</v>
      </c>
      <c r="T127" s="45">
        <v>0</v>
      </c>
      <c r="U127" s="46">
        <v>0</v>
      </c>
      <c r="V127" s="46">
        <v>2.0960000000000002E-3</v>
      </c>
      <c r="W127" s="47"/>
      <c r="X127" s="47"/>
      <c r="Y127" s="47"/>
      <c r="Z127" s="46"/>
      <c r="AA127" s="68">
        <v>127</v>
      </c>
      <c r="AB127"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27" s="69"/>
      <c r="AD127" t="s">
        <v>2747</v>
      </c>
      <c r="AE127" s="77" t="s">
        <v>3189</v>
      </c>
      <c r="AF127">
        <v>70165</v>
      </c>
      <c r="AG127">
        <v>6658</v>
      </c>
      <c r="AH127">
        <v>12718</v>
      </c>
      <c r="AI127">
        <v>687</v>
      </c>
      <c r="AJ127">
        <v>1289</v>
      </c>
      <c r="AK127">
        <v>5956</v>
      </c>
      <c r="AL127" t="b">
        <v>0</v>
      </c>
      <c r="AM127" s="76">
        <v>40953.409212962964</v>
      </c>
      <c r="AO127" t="s">
        <v>3691</v>
      </c>
      <c r="AP127" s="79" t="str">
        <f>HYPERLINK("https://t.co/1DBIzZmpnj")</f>
        <v>https://t.co/1DBIzZmpnj</v>
      </c>
      <c r="AQ127" s="79" t="str">
        <f>HYPERLINK("http://www.ceice.gva.es/")</f>
        <v>http://www.ceice.gva.es/</v>
      </c>
      <c r="AR127" t="s">
        <v>4082</v>
      </c>
      <c r="AW127" s="79" t="str">
        <f>HYPERLINK("https://t.co/1DBIzZmpnj")</f>
        <v>https://t.co/1DBIzZmpnj</v>
      </c>
      <c r="AX127" t="b">
        <v>0</v>
      </c>
      <c r="AZ127" t="b">
        <v>0</v>
      </c>
      <c r="BA127" t="b">
        <v>0</v>
      </c>
      <c r="BB127" t="b">
        <v>1</v>
      </c>
      <c r="BC127" t="b">
        <v>0</v>
      </c>
      <c r="BD127" t="b">
        <v>0</v>
      </c>
      <c r="BE127" t="b">
        <v>0</v>
      </c>
      <c r="BF127" t="b">
        <v>0</v>
      </c>
      <c r="BG127" t="b">
        <v>0</v>
      </c>
      <c r="BH127" s="79" t="str">
        <f>HYPERLINK("https://pbs.twimg.com/profile_banners/492071324/1742994052")</f>
        <v>https://pbs.twimg.com/profile_banners/492071324/1742994052</v>
      </c>
      <c r="BJ127" t="s">
        <v>4320</v>
      </c>
      <c r="BK127" t="b">
        <v>0</v>
      </c>
      <c r="BM127" t="s">
        <v>65</v>
      </c>
      <c r="BN127" t="s">
        <v>4322</v>
      </c>
      <c r="BO127" s="79" t="str">
        <f>HYPERLINK("https://twitter.com/gvaeducacio")</f>
        <v>https://twitter.com/gvaeducacio</v>
      </c>
      <c r="BP127" s="112" t="str">
        <f>REPLACE(INDEX(GroupVertices[Group], MATCH("~"&amp;Vertices[[#This Row],[Vertex]],GroupVertices[Vertex],0)),1,1,"")</f>
        <v>98</v>
      </c>
      <c r="BQ127" s="2"/>
    </row>
    <row r="128" spans="1:69" x14ac:dyDescent="0.25">
      <c r="A128" s="61" t="s">
        <v>256</v>
      </c>
      <c r="B128" s="62"/>
      <c r="C128" s="62"/>
      <c r="D128" s="63">
        <v>1.5</v>
      </c>
      <c r="E128" s="65"/>
      <c r="F128" s="97" t="str">
        <f>HYPERLINK("https://pbs.twimg.com/profile_images/1833627673928536064/YXC19rpC_normal.jpg")</f>
        <v>https://pbs.twimg.com/profile_images/1833627673928536064/YXC19rpC_normal.jpg</v>
      </c>
      <c r="G128" s="62"/>
      <c r="H128" s="66"/>
      <c r="I128" s="67"/>
      <c r="J128" s="67"/>
      <c r="K128" s="66" t="s">
        <v>4386</v>
      </c>
      <c r="L128" s="70"/>
      <c r="M128" s="71">
        <v>2815.64013671875</v>
      </c>
      <c r="N128" s="71">
        <v>8794.40234375</v>
      </c>
      <c r="O128" s="72"/>
      <c r="P128" s="73"/>
      <c r="Q128" s="73"/>
      <c r="R128" s="81"/>
      <c r="S128" s="45">
        <v>1</v>
      </c>
      <c r="T128" s="45">
        <v>1</v>
      </c>
      <c r="U128" s="46">
        <v>0</v>
      </c>
      <c r="V128" s="46">
        <v>0</v>
      </c>
      <c r="W128" s="47"/>
      <c r="X128" s="47"/>
      <c r="Y128" s="47"/>
      <c r="Z128" s="46"/>
      <c r="AA128" s="68">
        <v>128</v>
      </c>
      <c r="AB128"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28" s="69"/>
      <c r="AD128" t="s">
        <v>2748</v>
      </c>
      <c r="AE128" s="77" t="s">
        <v>2545</v>
      </c>
      <c r="AF128">
        <v>261</v>
      </c>
      <c r="AG128">
        <v>347</v>
      </c>
      <c r="AH128">
        <v>6857</v>
      </c>
      <c r="AI128">
        <v>1</v>
      </c>
      <c r="AJ128">
        <v>707</v>
      </c>
      <c r="AK128">
        <v>1143</v>
      </c>
      <c r="AL128" t="b">
        <v>0</v>
      </c>
      <c r="AM128" s="76">
        <v>43374.882210648146</v>
      </c>
      <c r="AO128" t="s">
        <v>3692</v>
      </c>
      <c r="AX128" t="b">
        <v>0</v>
      </c>
      <c r="BA128" t="b">
        <v>1</v>
      </c>
      <c r="BB128" t="b">
        <v>0</v>
      </c>
      <c r="BC128" t="b">
        <v>1</v>
      </c>
      <c r="BD128" t="b">
        <v>0</v>
      </c>
      <c r="BE128" t="b">
        <v>0</v>
      </c>
      <c r="BF128" t="b">
        <v>0</v>
      </c>
      <c r="BG128" t="b">
        <v>0</v>
      </c>
      <c r="BH128" s="79" t="str">
        <f>HYPERLINK("https://pbs.twimg.com/profile_banners/1046869960633536514/1741279248")</f>
        <v>https://pbs.twimg.com/profile_banners/1046869960633536514/1741279248</v>
      </c>
      <c r="BJ128" t="s">
        <v>4320</v>
      </c>
      <c r="BK128" t="b">
        <v>0</v>
      </c>
      <c r="BM128" t="s">
        <v>66</v>
      </c>
      <c r="BN128" t="s">
        <v>4322</v>
      </c>
      <c r="BO128" s="79" t="str">
        <f>HYPERLINK("https://twitter.com/tonygabbana_88")</f>
        <v>https://twitter.com/tonygabbana_88</v>
      </c>
      <c r="BP128" s="112" t="str">
        <f>REPLACE(INDEX(GroupVertices[Group], MATCH("~"&amp;Vertices[[#This Row],[Vertex]],GroupVertices[Vertex],0)),1,1,"")</f>
        <v>194</v>
      </c>
      <c r="BQ128" s="2"/>
    </row>
    <row r="129" spans="1:69" x14ac:dyDescent="0.25">
      <c r="A129" s="61" t="s">
        <v>257</v>
      </c>
      <c r="B129" s="62"/>
      <c r="C129" s="62"/>
      <c r="D129" s="63">
        <v>1.5</v>
      </c>
      <c r="E129" s="65"/>
      <c r="F129" s="97" t="str">
        <f>HYPERLINK("https://pbs.twimg.com/profile_images/1908350029607108608/gB4lBT2T_normal.jpg")</f>
        <v>https://pbs.twimg.com/profile_images/1908350029607108608/gB4lBT2T_normal.jpg</v>
      </c>
      <c r="G129" s="62"/>
      <c r="H129" s="66"/>
      <c r="I129" s="67"/>
      <c r="J129" s="67"/>
      <c r="K129" s="66" t="s">
        <v>4387</v>
      </c>
      <c r="L129" s="70"/>
      <c r="M129" s="71">
        <v>6877.64453125</v>
      </c>
      <c r="N129" s="71">
        <v>9607.66796875</v>
      </c>
      <c r="O129" s="72"/>
      <c r="P129" s="73"/>
      <c r="Q129" s="73"/>
      <c r="R129" s="81"/>
      <c r="S129" s="45">
        <v>1</v>
      </c>
      <c r="T129" s="45">
        <v>1</v>
      </c>
      <c r="U129" s="46">
        <v>0</v>
      </c>
      <c r="V129" s="46">
        <v>0</v>
      </c>
      <c r="W129" s="47"/>
      <c r="X129" s="47"/>
      <c r="Y129" s="47"/>
      <c r="Z129" s="46"/>
      <c r="AA129" s="68">
        <v>129</v>
      </c>
      <c r="AB129"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29" s="69"/>
      <c r="AD129" t="s">
        <v>2749</v>
      </c>
      <c r="AE129" s="77" t="s">
        <v>2546</v>
      </c>
      <c r="AF129">
        <v>108</v>
      </c>
      <c r="AG129">
        <v>806</v>
      </c>
      <c r="AH129">
        <v>3059</v>
      </c>
      <c r="AI129">
        <v>1</v>
      </c>
      <c r="AJ129">
        <v>21152</v>
      </c>
      <c r="AK129">
        <v>136</v>
      </c>
      <c r="AL129" t="b">
        <v>0</v>
      </c>
      <c r="AM129" s="76">
        <v>43221.346608796295</v>
      </c>
      <c r="AN129" t="s">
        <v>3413</v>
      </c>
      <c r="AO129" t="s">
        <v>3693</v>
      </c>
      <c r="AV129">
        <v>1.0802791730784E+18</v>
      </c>
      <c r="AX129" t="b">
        <v>0</v>
      </c>
      <c r="BA129" t="b">
        <v>1</v>
      </c>
      <c r="BB129" t="b">
        <v>0</v>
      </c>
      <c r="BC129" t="b">
        <v>1</v>
      </c>
      <c r="BD129" t="b">
        <v>0</v>
      </c>
      <c r="BE129" t="b">
        <v>1</v>
      </c>
      <c r="BF129" t="b">
        <v>0</v>
      </c>
      <c r="BG129" t="b">
        <v>0</v>
      </c>
      <c r="BH129" s="79" t="str">
        <f>HYPERLINK("https://pbs.twimg.com/profile_banners/991230522008526848/1553172834")</f>
        <v>https://pbs.twimg.com/profile_banners/991230522008526848/1553172834</v>
      </c>
      <c r="BJ129" t="s">
        <v>4320</v>
      </c>
      <c r="BK129" t="b">
        <v>0</v>
      </c>
      <c r="BM129" t="s">
        <v>66</v>
      </c>
      <c r="BN129" t="s">
        <v>4322</v>
      </c>
      <c r="BO129" s="79" t="str">
        <f>HYPERLINK("https://twitter.com/carmengloria08_")</f>
        <v>https://twitter.com/carmengloria08_</v>
      </c>
      <c r="BP129" s="112" t="str">
        <f>REPLACE(INDEX(GroupVertices[Group], MATCH("~"&amp;Vertices[[#This Row],[Vertex]],GroupVertices[Vertex],0)),1,1,"")</f>
        <v>128</v>
      </c>
      <c r="BQ129" s="2"/>
    </row>
    <row r="130" spans="1:69" x14ac:dyDescent="0.25">
      <c r="A130" s="61" t="s">
        <v>258</v>
      </c>
      <c r="B130" s="62"/>
      <c r="C130" s="62"/>
      <c r="D130" s="63">
        <v>1.5</v>
      </c>
      <c r="E130" s="65"/>
      <c r="F130" s="97" t="str">
        <f>HYPERLINK("https://abs.twimg.com/sticky/default_profile_images/default_profile_normal.png")</f>
        <v>https://abs.twimg.com/sticky/default_profile_images/default_profile_normal.png</v>
      </c>
      <c r="G130" s="62"/>
      <c r="H130" s="66"/>
      <c r="I130" s="67"/>
      <c r="J130" s="67"/>
      <c r="K130" s="66" t="s">
        <v>4388</v>
      </c>
      <c r="L130" s="70"/>
      <c r="M130" s="71">
        <v>4506.44775390625</v>
      </c>
      <c r="N130" s="71">
        <v>8754.3828125</v>
      </c>
      <c r="O130" s="72"/>
      <c r="P130" s="73"/>
      <c r="Q130" s="73"/>
      <c r="R130" s="81"/>
      <c r="S130" s="45">
        <v>0</v>
      </c>
      <c r="T130" s="45">
        <v>1</v>
      </c>
      <c r="U130" s="46">
        <v>0</v>
      </c>
      <c r="V130" s="46">
        <v>2.0960000000000002E-3</v>
      </c>
      <c r="W130" s="47"/>
      <c r="X130" s="47"/>
      <c r="Y130" s="47"/>
      <c r="Z130" s="46"/>
      <c r="AA130" s="68">
        <v>130</v>
      </c>
      <c r="AB130"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30" s="69"/>
      <c r="AD130" t="s">
        <v>2750</v>
      </c>
      <c r="AE130" s="77" t="s">
        <v>2547</v>
      </c>
      <c r="AF130">
        <v>487</v>
      </c>
      <c r="AG130">
        <v>689</v>
      </c>
      <c r="AH130">
        <v>47605</v>
      </c>
      <c r="AI130">
        <v>0</v>
      </c>
      <c r="AJ130">
        <v>69838</v>
      </c>
      <c r="AK130">
        <v>31</v>
      </c>
      <c r="AL130" t="b">
        <v>0</v>
      </c>
      <c r="AM130" s="76">
        <v>44175.790196759262</v>
      </c>
      <c r="AO130" t="s">
        <v>3694</v>
      </c>
      <c r="AX130" t="b">
        <v>0</v>
      </c>
      <c r="BA130" t="b">
        <v>1</v>
      </c>
      <c r="BB130" t="b">
        <v>1</v>
      </c>
      <c r="BC130" t="b">
        <v>1</v>
      </c>
      <c r="BD130" t="b">
        <v>1</v>
      </c>
      <c r="BE130" t="b">
        <v>1</v>
      </c>
      <c r="BF130" t="b">
        <v>0</v>
      </c>
      <c r="BG130" t="b">
        <v>0</v>
      </c>
      <c r="BJ130" t="s">
        <v>4320</v>
      </c>
      <c r="BK130" t="b">
        <v>0</v>
      </c>
      <c r="BM130" t="s">
        <v>66</v>
      </c>
      <c r="BN130" t="s">
        <v>4322</v>
      </c>
      <c r="BO130" s="79" t="str">
        <f>HYPERLINK("https://twitter.com/mirna_marta")</f>
        <v>https://twitter.com/mirna_marta</v>
      </c>
      <c r="BP130" s="112" t="str">
        <f>REPLACE(INDEX(GroupVertices[Group], MATCH("~"&amp;Vertices[[#This Row],[Vertex]],GroupVertices[Vertex],0)),1,1,"")</f>
        <v>95</v>
      </c>
      <c r="BQ130" s="2"/>
    </row>
    <row r="131" spans="1:69" x14ac:dyDescent="0.25">
      <c r="A131" s="61" t="s">
        <v>535</v>
      </c>
      <c r="B131" s="62"/>
      <c r="C131" s="62"/>
      <c r="D131" s="63">
        <v>1.5</v>
      </c>
      <c r="E131" s="65"/>
      <c r="F131" s="97" t="str">
        <f>HYPERLINK("https://pbs.twimg.com/profile_images/1112254260/wenachile6_normal.jpg")</f>
        <v>https://pbs.twimg.com/profile_images/1112254260/wenachile6_normal.jpg</v>
      </c>
      <c r="G131" s="62"/>
      <c r="H131" s="66"/>
      <c r="I131" s="67"/>
      <c r="J131" s="67"/>
      <c r="K131" s="66" t="s">
        <v>4389</v>
      </c>
      <c r="L131" s="70"/>
      <c r="M131" s="71">
        <v>2098.8076171875</v>
      </c>
      <c r="N131" s="71">
        <v>9342.5478515625</v>
      </c>
      <c r="O131" s="72"/>
      <c r="P131" s="73"/>
      <c r="Q131" s="73"/>
      <c r="R131" s="81"/>
      <c r="S131" s="45">
        <v>1</v>
      </c>
      <c r="T131" s="45">
        <v>0</v>
      </c>
      <c r="U131" s="46">
        <v>0</v>
      </c>
      <c r="V131" s="46">
        <v>2.0960000000000002E-3</v>
      </c>
      <c r="W131" s="47"/>
      <c r="X131" s="47"/>
      <c r="Y131" s="47"/>
      <c r="Z131" s="46"/>
      <c r="AA131" s="68">
        <v>131</v>
      </c>
      <c r="AB131"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31" s="69"/>
      <c r="AD131" t="s">
        <v>2751</v>
      </c>
      <c r="AE131" s="77" t="s">
        <v>2386</v>
      </c>
      <c r="AF131">
        <v>35639</v>
      </c>
      <c r="AG131">
        <v>4336</v>
      </c>
      <c r="AH131">
        <v>436393</v>
      </c>
      <c r="AI131">
        <v>136</v>
      </c>
      <c r="AJ131">
        <v>8603</v>
      </c>
      <c r="AK131">
        <v>64592</v>
      </c>
      <c r="AL131" t="b">
        <v>0</v>
      </c>
      <c r="AM131" s="76">
        <v>40416.68645833333</v>
      </c>
      <c r="AN131" t="s">
        <v>3438</v>
      </c>
      <c r="AO131" t="s">
        <v>3695</v>
      </c>
      <c r="AP131" s="79" t="str">
        <f>HYPERLINK("https://t.co/D38VcrW8yb")</f>
        <v>https://t.co/D38VcrW8yb</v>
      </c>
      <c r="AQ131" s="79" t="str">
        <f>HYPERLINK("http://paper.li/WenaChile/1313846462")</f>
        <v>http://paper.li/WenaChile/1313846462</v>
      </c>
      <c r="AR131" t="s">
        <v>4083</v>
      </c>
      <c r="AV131">
        <v>1.77791605274515E+18</v>
      </c>
      <c r="AW131" s="79" t="str">
        <f>HYPERLINK("https://t.co/D38VcrW8yb")</f>
        <v>https://t.co/D38VcrW8yb</v>
      </c>
      <c r="AX131" t="b">
        <v>0</v>
      </c>
      <c r="AZ131" t="b">
        <v>0</v>
      </c>
      <c r="BA131" t="b">
        <v>0</v>
      </c>
      <c r="BB131" t="b">
        <v>0</v>
      </c>
      <c r="BC131" t="b">
        <v>0</v>
      </c>
      <c r="BD131" t="b">
        <v>0</v>
      </c>
      <c r="BE131" t="b">
        <v>1</v>
      </c>
      <c r="BF131" t="b">
        <v>0</v>
      </c>
      <c r="BG131" t="b">
        <v>0</v>
      </c>
      <c r="BH131" s="79" t="str">
        <f>HYPERLINK("https://pbs.twimg.com/profile_banners/183281288/1604966695")</f>
        <v>https://pbs.twimg.com/profile_banners/183281288/1604966695</v>
      </c>
      <c r="BJ131" t="s">
        <v>4320</v>
      </c>
      <c r="BK131" t="b">
        <v>0</v>
      </c>
      <c r="BM131" t="s">
        <v>65</v>
      </c>
      <c r="BN131" t="s">
        <v>4322</v>
      </c>
      <c r="BO131" s="79" t="str">
        <f>HYPERLINK("https://twitter.com/wenachile")</f>
        <v>https://twitter.com/wenachile</v>
      </c>
      <c r="BP131" s="112" t="str">
        <f>REPLACE(INDEX(GroupVertices[Group], MATCH("~"&amp;Vertices[[#This Row],[Vertex]],GroupVertices[Vertex],0)),1,1,"")</f>
        <v>95</v>
      </c>
      <c r="BQ131" s="2"/>
    </row>
    <row r="132" spans="1:69" x14ac:dyDescent="0.25">
      <c r="A132" s="61" t="s">
        <v>259</v>
      </c>
      <c r="B132" s="62"/>
      <c r="C132" s="62"/>
      <c r="D132" s="63">
        <v>1.5</v>
      </c>
      <c r="E132" s="65"/>
      <c r="F132" s="97" t="str">
        <f>HYPERLINK("https://pbs.twimg.com/profile_images/1829539179300032512/GKkQkK-C_normal.jpg")</f>
        <v>https://pbs.twimg.com/profile_images/1829539179300032512/GKkQkK-C_normal.jpg</v>
      </c>
      <c r="G132" s="62"/>
      <c r="H132" s="66"/>
      <c r="I132" s="67"/>
      <c r="J132" s="67"/>
      <c r="K132" s="66" t="s">
        <v>4390</v>
      </c>
      <c r="L132" s="70"/>
      <c r="M132" s="71">
        <v>4794.3984375</v>
      </c>
      <c r="N132" s="71">
        <v>9756.0791015625</v>
      </c>
      <c r="O132" s="72"/>
      <c r="P132" s="73"/>
      <c r="Q132" s="73"/>
      <c r="R132" s="81"/>
      <c r="S132" s="45">
        <v>0</v>
      </c>
      <c r="T132" s="45">
        <v>1</v>
      </c>
      <c r="U132" s="46">
        <v>0</v>
      </c>
      <c r="V132" s="46">
        <v>2.7950000000000002E-3</v>
      </c>
      <c r="W132" s="47"/>
      <c r="X132" s="47"/>
      <c r="Y132" s="47"/>
      <c r="Z132" s="46"/>
      <c r="AA132" s="68">
        <v>132</v>
      </c>
      <c r="AB132"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32" s="69"/>
      <c r="AD132" t="s">
        <v>2752</v>
      </c>
      <c r="AE132" s="77" t="s">
        <v>2548</v>
      </c>
      <c r="AF132">
        <v>23</v>
      </c>
      <c r="AG132">
        <v>76</v>
      </c>
      <c r="AH132">
        <v>245</v>
      </c>
      <c r="AI132">
        <v>0</v>
      </c>
      <c r="AJ132">
        <v>361</v>
      </c>
      <c r="AK132">
        <v>1</v>
      </c>
      <c r="AL132" t="b">
        <v>0</v>
      </c>
      <c r="AM132" s="76">
        <v>45458.569421296299</v>
      </c>
      <c r="AX132" t="b">
        <v>0</v>
      </c>
      <c r="BA132" t="b">
        <v>0</v>
      </c>
      <c r="BB132" t="b">
        <v>0</v>
      </c>
      <c r="BC132" t="b">
        <v>1</v>
      </c>
      <c r="BD132" t="b">
        <v>0</v>
      </c>
      <c r="BE132" t="b">
        <v>0</v>
      </c>
      <c r="BF132" t="b">
        <v>0</v>
      </c>
      <c r="BG132" t="b">
        <v>0</v>
      </c>
      <c r="BH132" s="79" t="str">
        <f>HYPERLINK("https://pbs.twimg.com/profile_banners/1801972698202959872/1718459493")</f>
        <v>https://pbs.twimg.com/profile_banners/1801972698202959872/1718459493</v>
      </c>
      <c r="BJ132" t="s">
        <v>4320</v>
      </c>
      <c r="BK132" t="b">
        <v>0</v>
      </c>
      <c r="BM132" t="s">
        <v>66</v>
      </c>
      <c r="BN132" t="s">
        <v>4322</v>
      </c>
      <c r="BO132" s="79" t="str">
        <f>HYPERLINK("https://twitter.com/joaco_ledesma11")</f>
        <v>https://twitter.com/joaco_ledesma11</v>
      </c>
      <c r="BP132" s="112" t="str">
        <f>REPLACE(INDEX(GroupVertices[Group], MATCH("~"&amp;Vertices[[#This Row],[Vertex]],GroupVertices[Vertex],0)),1,1,"")</f>
        <v>30</v>
      </c>
      <c r="BQ132" s="2"/>
    </row>
    <row r="133" spans="1:69" x14ac:dyDescent="0.25">
      <c r="A133" s="61" t="s">
        <v>537</v>
      </c>
      <c r="B133" s="62"/>
      <c r="C133" s="62"/>
      <c r="D133" s="63">
        <v>1.5</v>
      </c>
      <c r="E133" s="65"/>
      <c r="F133" s="97" t="str">
        <f>HYPERLINK("https://pbs.twimg.com/profile_images/1911781329798086656/gUKeVaNL_normal.jpg")</f>
        <v>https://pbs.twimg.com/profile_images/1911781329798086656/gUKeVaNL_normal.jpg</v>
      </c>
      <c r="G133" s="62"/>
      <c r="H133" s="66"/>
      <c r="I133" s="67"/>
      <c r="J133" s="67"/>
      <c r="K133" s="66" t="s">
        <v>4393</v>
      </c>
      <c r="L133" s="70"/>
      <c r="M133" s="71">
        <v>6801.33740234375</v>
      </c>
      <c r="N133" s="71">
        <v>8661.76171875</v>
      </c>
      <c r="O133" s="72"/>
      <c r="P133" s="73"/>
      <c r="Q133" s="73"/>
      <c r="R133" s="81"/>
      <c r="S133" s="45">
        <v>1</v>
      </c>
      <c r="T133" s="45">
        <v>0</v>
      </c>
      <c r="U133" s="46">
        <v>0</v>
      </c>
      <c r="V133" s="46">
        <v>1.8867999999999999E-2</v>
      </c>
      <c r="W133" s="47"/>
      <c r="X133" s="47"/>
      <c r="Y133" s="47"/>
      <c r="Z133" s="46"/>
      <c r="AA133" s="68">
        <v>133</v>
      </c>
      <c r="AB133"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33" s="69"/>
      <c r="AD133" t="s">
        <v>2755</v>
      </c>
      <c r="AE133" s="77" t="s">
        <v>3190</v>
      </c>
      <c r="AF133">
        <v>53180</v>
      </c>
      <c r="AG133">
        <v>1154</v>
      </c>
      <c r="AH133">
        <v>14560</v>
      </c>
      <c r="AI133">
        <v>165</v>
      </c>
      <c r="AJ133">
        <v>12589</v>
      </c>
      <c r="AK133">
        <v>4109</v>
      </c>
      <c r="AL133" t="b">
        <v>0</v>
      </c>
      <c r="AM133" s="76">
        <v>39748.873749999999</v>
      </c>
      <c r="AN133" t="s">
        <v>3410</v>
      </c>
      <c r="AO133" t="s">
        <v>3698</v>
      </c>
      <c r="AP133" s="79" t="str">
        <f>HYPERLINK("https://t.co/qDfesJblQf")</f>
        <v>https://t.co/qDfesJblQf</v>
      </c>
      <c r="AQ133" s="79" t="str">
        <f>HYPERLINK("http://www.junji.cl")</f>
        <v>http://www.junji.cl</v>
      </c>
      <c r="AR133" t="s">
        <v>4084</v>
      </c>
      <c r="AV133">
        <v>1.9260971247997599E+18</v>
      </c>
      <c r="AW133" s="79" t="str">
        <f>HYPERLINK("https://t.co/qDfesJblQf")</f>
        <v>https://t.co/qDfesJblQf</v>
      </c>
      <c r="AX133" t="b">
        <v>0</v>
      </c>
      <c r="AZ133" t="b">
        <v>0</v>
      </c>
      <c r="BA133" t="b">
        <v>0</v>
      </c>
      <c r="BB133" t="b">
        <v>1</v>
      </c>
      <c r="BC133" t="b">
        <v>0</v>
      </c>
      <c r="BD133" t="b">
        <v>0</v>
      </c>
      <c r="BE133" t="b">
        <v>1</v>
      </c>
      <c r="BF133" t="b">
        <v>0</v>
      </c>
      <c r="BG133" t="b">
        <v>0</v>
      </c>
      <c r="BH133" s="79" t="str">
        <f>HYPERLINK("https://pbs.twimg.com/profile_banners/17007007/1744639165")</f>
        <v>https://pbs.twimg.com/profile_banners/17007007/1744639165</v>
      </c>
      <c r="BJ133" t="s">
        <v>4320</v>
      </c>
      <c r="BK133" t="b">
        <v>0</v>
      </c>
      <c r="BM133" t="s">
        <v>65</v>
      </c>
      <c r="BN133" t="s">
        <v>4322</v>
      </c>
      <c r="BO133" s="79" t="str">
        <f>HYPERLINK("https://twitter.com/junji_chile")</f>
        <v>https://twitter.com/junji_chile</v>
      </c>
      <c r="BP133" s="112" t="str">
        <f>REPLACE(INDEX(GroupVertices[Group], MATCH("~"&amp;Vertices[[#This Row],[Vertex]],GroupVertices[Vertex],0)),1,1,"")</f>
        <v>1</v>
      </c>
      <c r="BQ133" s="2"/>
    </row>
    <row r="134" spans="1:69" x14ac:dyDescent="0.25">
      <c r="A134" s="61" t="s">
        <v>538</v>
      </c>
      <c r="B134" s="62"/>
      <c r="C134" s="62"/>
      <c r="D134" s="63">
        <v>1.5</v>
      </c>
      <c r="E134" s="65"/>
      <c r="F134" s="97" t="str">
        <f>HYPERLINK("https://pbs.twimg.com/profile_images/1851257531638714368/gd7pY9_1_normal.jpg")</f>
        <v>https://pbs.twimg.com/profile_images/1851257531638714368/gd7pY9_1_normal.jpg</v>
      </c>
      <c r="G134" s="62"/>
      <c r="H134" s="66"/>
      <c r="I134" s="67"/>
      <c r="J134" s="67"/>
      <c r="K134" s="66" t="s">
        <v>4394</v>
      </c>
      <c r="L134" s="70"/>
      <c r="M134" s="71">
        <v>1939.6107177734375</v>
      </c>
      <c r="N134" s="71">
        <v>4004.731201171875</v>
      </c>
      <c r="O134" s="72"/>
      <c r="P134" s="73"/>
      <c r="Q134" s="73"/>
      <c r="R134" s="81"/>
      <c r="S134" s="45">
        <v>1</v>
      </c>
      <c r="T134" s="45">
        <v>0</v>
      </c>
      <c r="U134" s="46">
        <v>0</v>
      </c>
      <c r="V134" s="46">
        <v>1.8867999999999999E-2</v>
      </c>
      <c r="W134" s="47"/>
      <c r="X134" s="47"/>
      <c r="Y134" s="47"/>
      <c r="Z134" s="46"/>
      <c r="AA134" s="68">
        <v>134</v>
      </c>
      <c r="AB134"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34" s="69"/>
      <c r="AD134" t="s">
        <v>2756</v>
      </c>
      <c r="AE134" s="77" t="s">
        <v>2388</v>
      </c>
      <c r="AF134">
        <v>5302</v>
      </c>
      <c r="AG134">
        <v>1987</v>
      </c>
      <c r="AH134">
        <v>5793</v>
      </c>
      <c r="AI134">
        <v>17</v>
      </c>
      <c r="AJ134">
        <v>3569</v>
      </c>
      <c r="AK134">
        <v>996</v>
      </c>
      <c r="AL134" t="b">
        <v>0</v>
      </c>
      <c r="AM134" s="76">
        <v>40346.116030092591</v>
      </c>
      <c r="AN134" t="s">
        <v>3440</v>
      </c>
      <c r="AO134" t="s">
        <v>3699</v>
      </c>
      <c r="AP134" s="79" t="str">
        <f>HYPERLINK("https://t.co/Xo3YWy9HCK")</f>
        <v>https://t.co/Xo3YWy9HCK</v>
      </c>
      <c r="AQ134" s="79" t="str">
        <f>HYPERLINK("https://www.instagram.com/gracearcosm")</f>
        <v>https://www.instagram.com/gracearcosm</v>
      </c>
      <c r="AR134" t="s">
        <v>4085</v>
      </c>
      <c r="AW134" s="79" t="str">
        <f>HYPERLINK("https://t.co/Xo3YWy9HCK")</f>
        <v>https://t.co/Xo3YWy9HCK</v>
      </c>
      <c r="AX134" t="b">
        <v>0</v>
      </c>
      <c r="AZ134" t="b">
        <v>0</v>
      </c>
      <c r="BA134" t="b">
        <v>0</v>
      </c>
      <c r="BB134" t="b">
        <v>1</v>
      </c>
      <c r="BC134" t="b">
        <v>0</v>
      </c>
      <c r="BD134" t="b">
        <v>0</v>
      </c>
      <c r="BE134" t="b">
        <v>1</v>
      </c>
      <c r="BF134" t="b">
        <v>0</v>
      </c>
      <c r="BG134" t="b">
        <v>0</v>
      </c>
      <c r="BH134" s="79" t="str">
        <f>HYPERLINK("https://pbs.twimg.com/profile_banners/156492835/1730209300")</f>
        <v>https://pbs.twimg.com/profile_banners/156492835/1730209300</v>
      </c>
      <c r="BJ134" t="s">
        <v>4320</v>
      </c>
      <c r="BK134" t="b">
        <v>0</v>
      </c>
      <c r="BM134" t="s">
        <v>65</v>
      </c>
      <c r="BN134" t="s">
        <v>4322</v>
      </c>
      <c r="BO134" s="79" t="str">
        <f>HYPERLINK("https://twitter.com/gracearcosm")</f>
        <v>https://twitter.com/gracearcosm</v>
      </c>
      <c r="BP134" s="112" t="str">
        <f>REPLACE(INDEX(GroupVertices[Group], MATCH("~"&amp;Vertices[[#This Row],[Vertex]],GroupVertices[Vertex],0)),1,1,"")</f>
        <v>1</v>
      </c>
      <c r="BQ134" s="2"/>
    </row>
    <row r="135" spans="1:69" x14ac:dyDescent="0.25">
      <c r="A135" s="61" t="s">
        <v>261</v>
      </c>
      <c r="B135" s="62"/>
      <c r="C135" s="62"/>
      <c r="D135" s="63">
        <v>1.5</v>
      </c>
      <c r="E135" s="65"/>
      <c r="F135" s="97" t="str">
        <f>HYPERLINK("https://pbs.twimg.com/profile_images/1921424681795538944/6as8Nbsp_normal.jpg")</f>
        <v>https://pbs.twimg.com/profile_images/1921424681795538944/6as8Nbsp_normal.jpg</v>
      </c>
      <c r="G135" s="62"/>
      <c r="H135" s="66"/>
      <c r="I135" s="67"/>
      <c r="J135" s="67"/>
      <c r="K135" s="66" t="s">
        <v>4397</v>
      </c>
      <c r="L135" s="70"/>
      <c r="M135" s="71">
        <v>6932.10888671875</v>
      </c>
      <c r="N135" s="71">
        <v>242.92098999023438</v>
      </c>
      <c r="O135" s="72"/>
      <c r="P135" s="73"/>
      <c r="Q135" s="73"/>
      <c r="R135" s="81"/>
      <c r="S135" s="45">
        <v>0</v>
      </c>
      <c r="T135" s="45">
        <v>1</v>
      </c>
      <c r="U135" s="46">
        <v>0</v>
      </c>
      <c r="V135" s="46">
        <v>2.0960000000000002E-3</v>
      </c>
      <c r="W135" s="47"/>
      <c r="X135" s="47"/>
      <c r="Y135" s="47"/>
      <c r="Z135" s="46"/>
      <c r="AA135" s="68">
        <v>135</v>
      </c>
      <c r="AB135"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35" s="69"/>
      <c r="AD135" t="s">
        <v>2759</v>
      </c>
      <c r="AE135" s="77" t="s">
        <v>3191</v>
      </c>
      <c r="AF135">
        <v>4666</v>
      </c>
      <c r="AG135">
        <v>4989</v>
      </c>
      <c r="AH135">
        <v>122325</v>
      </c>
      <c r="AI135">
        <v>1</v>
      </c>
      <c r="AJ135">
        <v>170904</v>
      </c>
      <c r="AK135">
        <v>68</v>
      </c>
      <c r="AL135" t="b">
        <v>0</v>
      </c>
      <c r="AM135" s="76">
        <v>42010.499513888892</v>
      </c>
      <c r="AO135" t="s">
        <v>3702</v>
      </c>
      <c r="AX135" t="b">
        <v>0</v>
      </c>
      <c r="BA135" t="b">
        <v>0</v>
      </c>
      <c r="BB135" t="b">
        <v>1</v>
      </c>
      <c r="BC135" t="b">
        <v>1</v>
      </c>
      <c r="BD135" t="b">
        <v>0</v>
      </c>
      <c r="BE135" t="b">
        <v>1</v>
      </c>
      <c r="BF135" t="b">
        <v>0</v>
      </c>
      <c r="BG135" t="b">
        <v>0</v>
      </c>
      <c r="BH135" s="79" t="str">
        <f>HYPERLINK("https://pbs.twimg.com/profile_banners/2964016114/1422326494")</f>
        <v>https://pbs.twimg.com/profile_banners/2964016114/1422326494</v>
      </c>
      <c r="BJ135" t="s">
        <v>4320</v>
      </c>
      <c r="BK135" t="b">
        <v>0</v>
      </c>
      <c r="BM135" t="s">
        <v>66</v>
      </c>
      <c r="BN135" t="s">
        <v>4322</v>
      </c>
      <c r="BO135" s="79" t="str">
        <f>HYPERLINK("https://twitter.com/elbachvaldivian")</f>
        <v>https://twitter.com/elbachvaldivian</v>
      </c>
      <c r="BP135" s="112" t="str">
        <f>REPLACE(INDEX(GroupVertices[Group], MATCH("~"&amp;Vertices[[#This Row],[Vertex]],GroupVertices[Vertex],0)),1,1,"")</f>
        <v>76</v>
      </c>
      <c r="BQ135" s="2"/>
    </row>
    <row r="136" spans="1:69" x14ac:dyDescent="0.25">
      <c r="A136" s="61" t="s">
        <v>484</v>
      </c>
      <c r="B136" s="62"/>
      <c r="C136" s="62"/>
      <c r="D136" s="63">
        <v>1.5</v>
      </c>
      <c r="E136" s="65"/>
      <c r="F136" s="97" t="str">
        <f>HYPERLINK("https://pbs.twimg.com/profile_images/1795950495351099392/tCBkacRT_normal.jpg")</f>
        <v>https://pbs.twimg.com/profile_images/1795950495351099392/tCBkacRT_normal.jpg</v>
      </c>
      <c r="G136" s="62"/>
      <c r="H136" s="66"/>
      <c r="I136" s="67"/>
      <c r="J136" s="67"/>
      <c r="K136" s="66" t="s">
        <v>4398</v>
      </c>
      <c r="L136" s="70"/>
      <c r="M136" s="71">
        <v>4601.6923828125</v>
      </c>
      <c r="N136" s="71">
        <v>299.90460205078125</v>
      </c>
      <c r="O136" s="72"/>
      <c r="P136" s="73"/>
      <c r="Q136" s="73"/>
      <c r="R136" s="81"/>
      <c r="S136" s="45">
        <v>2</v>
      </c>
      <c r="T136" s="45">
        <v>1</v>
      </c>
      <c r="U136" s="46">
        <v>0</v>
      </c>
      <c r="V136" s="46">
        <v>2.0960000000000002E-3</v>
      </c>
      <c r="W136" s="47"/>
      <c r="X136" s="47"/>
      <c r="Y136" s="47"/>
      <c r="Z136" s="46"/>
      <c r="AA136" s="68">
        <v>136</v>
      </c>
      <c r="AB136"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36" s="69"/>
      <c r="AD136" t="s">
        <v>2760</v>
      </c>
      <c r="AE136" s="77" t="s">
        <v>2389</v>
      </c>
      <c r="AF136">
        <v>4361744</v>
      </c>
      <c r="AG136">
        <v>896</v>
      </c>
      <c r="AH136">
        <v>556632</v>
      </c>
      <c r="AI136">
        <v>9315</v>
      </c>
      <c r="AJ136">
        <v>710</v>
      </c>
      <c r="AK136">
        <v>276678</v>
      </c>
      <c r="AL136" t="b">
        <v>0</v>
      </c>
      <c r="AM136" s="76">
        <v>39801.79824074074</v>
      </c>
      <c r="AN136" t="s">
        <v>3400</v>
      </c>
      <c r="AO136" t="s">
        <v>3703</v>
      </c>
      <c r="AP136" s="79" t="str">
        <f>HYPERLINK("https://t.co/fXbORPgrSC")</f>
        <v>https://t.co/fXbORPgrSC</v>
      </c>
      <c r="AQ136" s="79" t="str">
        <f>HYPERLINK("http://www.cnnchile.com")</f>
        <v>http://www.cnnchile.com</v>
      </c>
      <c r="AR136" t="s">
        <v>1206</v>
      </c>
      <c r="AS136" t="s">
        <v>4239</v>
      </c>
      <c r="AT136" t="s">
        <v>4252</v>
      </c>
      <c r="AU136" t="s">
        <v>4275</v>
      </c>
      <c r="AV136">
        <v>1.9298554760341601E+18</v>
      </c>
      <c r="AW136" s="79" t="str">
        <f>HYPERLINK("https://t.co/fXbORPgrSC")</f>
        <v>https://t.co/fXbORPgrSC</v>
      </c>
      <c r="AX136" t="b">
        <v>1</v>
      </c>
      <c r="AZ136" t="b">
        <v>1</v>
      </c>
      <c r="BA136" t="b">
        <v>0</v>
      </c>
      <c r="BB136" t="b">
        <v>0</v>
      </c>
      <c r="BC136" t="b">
        <v>0</v>
      </c>
      <c r="BD136" t="b">
        <v>0</v>
      </c>
      <c r="BE136" t="b">
        <v>1</v>
      </c>
      <c r="BF136" t="b">
        <v>0</v>
      </c>
      <c r="BG136" t="b">
        <v>0</v>
      </c>
      <c r="BH136" s="79" t="str">
        <f>HYPERLINK("https://pbs.twimg.com/profile_banners/18248645/1730053478")</f>
        <v>https://pbs.twimg.com/profile_banners/18248645/1730053478</v>
      </c>
      <c r="BJ136" t="s">
        <v>4320</v>
      </c>
      <c r="BK136" t="b">
        <v>1</v>
      </c>
      <c r="BM136" t="s">
        <v>66</v>
      </c>
      <c r="BN136" t="s">
        <v>4322</v>
      </c>
      <c r="BO136" s="79" t="str">
        <f>HYPERLINK("https://twitter.com/cnnchile")</f>
        <v>https://twitter.com/cnnchile</v>
      </c>
      <c r="BP136" s="112" t="str">
        <f>REPLACE(INDEX(GroupVertices[Group], MATCH("~"&amp;Vertices[[#This Row],[Vertex]],GroupVertices[Vertex],0)),1,1,"")</f>
        <v>76</v>
      </c>
      <c r="BQ136" s="2"/>
    </row>
    <row r="137" spans="1:69" x14ac:dyDescent="0.25">
      <c r="A137" s="61" t="s">
        <v>263</v>
      </c>
      <c r="B137" s="62"/>
      <c r="C137" s="62"/>
      <c r="D137" s="63">
        <v>1.5</v>
      </c>
      <c r="E137" s="65"/>
      <c r="F137" s="97" t="str">
        <f>HYPERLINK("https://pbs.twimg.com/profile_images/1612781349034754051/haFtPMkn_normal.png")</f>
        <v>https://pbs.twimg.com/profile_images/1612781349034754051/haFtPMkn_normal.png</v>
      </c>
      <c r="G137" s="62"/>
      <c r="H137" s="66"/>
      <c r="I137" s="67"/>
      <c r="J137" s="67"/>
      <c r="K137" s="66" t="s">
        <v>4401</v>
      </c>
      <c r="L137" s="70"/>
      <c r="M137" s="71">
        <v>791.322021484375</v>
      </c>
      <c r="N137" s="71">
        <v>6860.779296875</v>
      </c>
      <c r="O137" s="72"/>
      <c r="P137" s="73"/>
      <c r="Q137" s="73"/>
      <c r="R137" s="81"/>
      <c r="S137" s="45">
        <v>0</v>
      </c>
      <c r="T137" s="45">
        <v>1</v>
      </c>
      <c r="U137" s="46">
        <v>0</v>
      </c>
      <c r="V137" s="46">
        <v>2.0960000000000002E-3</v>
      </c>
      <c r="W137" s="47"/>
      <c r="X137" s="47"/>
      <c r="Y137" s="47"/>
      <c r="Z137" s="46"/>
      <c r="AA137" s="68">
        <v>137</v>
      </c>
      <c r="AB137"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37" s="69"/>
      <c r="AD137" t="s">
        <v>2763</v>
      </c>
      <c r="AE137" s="77" t="s">
        <v>2551</v>
      </c>
      <c r="AF137">
        <v>4</v>
      </c>
      <c r="AG137">
        <v>5</v>
      </c>
      <c r="AH137">
        <v>849</v>
      </c>
      <c r="AI137">
        <v>0</v>
      </c>
      <c r="AJ137">
        <v>69</v>
      </c>
      <c r="AK137">
        <v>28</v>
      </c>
      <c r="AL137" t="b">
        <v>0</v>
      </c>
      <c r="AM137" s="76">
        <v>44936.500138888892</v>
      </c>
      <c r="AN137" t="s">
        <v>3442</v>
      </c>
      <c r="AO137" t="s">
        <v>3706</v>
      </c>
      <c r="AX137" t="b">
        <v>0</v>
      </c>
      <c r="BA137" t="b">
        <v>0</v>
      </c>
      <c r="BB137" t="b">
        <v>1</v>
      </c>
      <c r="BC137" t="b">
        <v>1</v>
      </c>
      <c r="BD137" t="b">
        <v>0</v>
      </c>
      <c r="BE137" t="b">
        <v>0</v>
      </c>
      <c r="BF137" t="b">
        <v>0</v>
      </c>
      <c r="BG137" t="b">
        <v>0</v>
      </c>
      <c r="BJ137" t="s">
        <v>4320</v>
      </c>
      <c r="BK137" t="b">
        <v>0</v>
      </c>
      <c r="BM137" t="s">
        <v>66</v>
      </c>
      <c r="BN137" t="s">
        <v>4322</v>
      </c>
      <c r="BO137" s="79" t="str">
        <f>HYPERLINK("https://twitter.com/pistoljosed")</f>
        <v>https://twitter.com/pistoljosed</v>
      </c>
      <c r="BP137" s="112" t="str">
        <f>REPLACE(INDEX(GroupVertices[Group], MATCH("~"&amp;Vertices[[#This Row],[Vertex]],GroupVertices[Vertex],0)),1,1,"")</f>
        <v>79</v>
      </c>
      <c r="BQ137" s="2"/>
    </row>
    <row r="138" spans="1:69" x14ac:dyDescent="0.25">
      <c r="A138" s="61" t="s">
        <v>540</v>
      </c>
      <c r="B138" s="62"/>
      <c r="C138" s="62"/>
      <c r="D138" s="63">
        <v>1.5</v>
      </c>
      <c r="E138" s="65"/>
      <c r="F138" s="97" t="str">
        <f>HYPERLINK("https://pbs.twimg.com/profile_images/1761060802021220352/2n7kzBJB_normal.jpg")</f>
        <v>https://pbs.twimg.com/profile_images/1761060802021220352/2n7kzBJB_normal.jpg</v>
      </c>
      <c r="G138" s="62"/>
      <c r="H138" s="66"/>
      <c r="I138" s="67"/>
      <c r="J138" s="67"/>
      <c r="K138" s="66" t="s">
        <v>4402</v>
      </c>
      <c r="L138" s="70"/>
      <c r="M138" s="71">
        <v>1444.343017578125</v>
      </c>
      <c r="N138" s="71">
        <v>5904.72607421875</v>
      </c>
      <c r="O138" s="72"/>
      <c r="P138" s="73"/>
      <c r="Q138" s="73"/>
      <c r="R138" s="81"/>
      <c r="S138" s="45">
        <v>1</v>
      </c>
      <c r="T138" s="45">
        <v>0</v>
      </c>
      <c r="U138" s="46">
        <v>0</v>
      </c>
      <c r="V138" s="46">
        <v>2.0960000000000002E-3</v>
      </c>
      <c r="W138" s="47"/>
      <c r="X138" s="47"/>
      <c r="Y138" s="47"/>
      <c r="Z138" s="46"/>
      <c r="AA138" s="68">
        <v>138</v>
      </c>
      <c r="AB138"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38" s="69"/>
      <c r="AD138" t="s">
        <v>2764</v>
      </c>
      <c r="AE138" s="77" t="s">
        <v>2391</v>
      </c>
      <c r="AF138">
        <v>10907</v>
      </c>
      <c r="AG138">
        <v>3866</v>
      </c>
      <c r="AH138">
        <v>6330</v>
      </c>
      <c r="AI138">
        <v>11</v>
      </c>
      <c r="AJ138">
        <v>60445</v>
      </c>
      <c r="AK138">
        <v>3036</v>
      </c>
      <c r="AL138" t="b">
        <v>0</v>
      </c>
      <c r="AM138" s="76">
        <v>44543.074282407404</v>
      </c>
      <c r="AO138" t="s">
        <v>3707</v>
      </c>
      <c r="AX138" t="b">
        <v>1</v>
      </c>
      <c r="AZ138" t="b">
        <v>0</v>
      </c>
      <c r="BA138" t="b">
        <v>0</v>
      </c>
      <c r="BB138" t="b">
        <v>1</v>
      </c>
      <c r="BC138" t="b">
        <v>1</v>
      </c>
      <c r="BD138" t="b">
        <v>0</v>
      </c>
      <c r="BE138" t="b">
        <v>0</v>
      </c>
      <c r="BF138" t="b">
        <v>0</v>
      </c>
      <c r="BG138" t="b">
        <v>0</v>
      </c>
      <c r="BH138" s="79" t="str">
        <f>HYPERLINK("https://pbs.twimg.com/profile_banners/1470208535137079297/1745133132")</f>
        <v>https://pbs.twimg.com/profile_banners/1470208535137079297/1745133132</v>
      </c>
      <c r="BJ138" t="s">
        <v>4320</v>
      </c>
      <c r="BK138" t="b">
        <v>0</v>
      </c>
      <c r="BM138" t="s">
        <v>65</v>
      </c>
      <c r="BN138" t="s">
        <v>4322</v>
      </c>
      <c r="BO138" s="79" t="str">
        <f>HYPERLINK("https://twitter.com/tor25899035")</f>
        <v>https://twitter.com/tor25899035</v>
      </c>
      <c r="BP138" s="112" t="str">
        <f>REPLACE(INDEX(GroupVertices[Group], MATCH("~"&amp;Vertices[[#This Row],[Vertex]],GroupVertices[Vertex],0)),1,1,"")</f>
        <v>79</v>
      </c>
      <c r="BQ138" s="2"/>
    </row>
    <row r="139" spans="1:69" x14ac:dyDescent="0.25">
      <c r="A139" s="61" t="s">
        <v>264</v>
      </c>
      <c r="B139" s="62"/>
      <c r="C139" s="62"/>
      <c r="D139" s="63">
        <v>1.5</v>
      </c>
      <c r="E139" s="65"/>
      <c r="F139" s="97" t="str">
        <f>HYPERLINK("https://pbs.twimg.com/profile_images/1747353702707478528/w20Go8Jh_normal.jpg")</f>
        <v>https://pbs.twimg.com/profile_images/1747353702707478528/w20Go8Jh_normal.jpg</v>
      </c>
      <c r="G139" s="62"/>
      <c r="H139" s="66"/>
      <c r="I139" s="67"/>
      <c r="J139" s="67"/>
      <c r="K139" s="66" t="s">
        <v>4403</v>
      </c>
      <c r="L139" s="70"/>
      <c r="M139" s="71">
        <v>3175.293701171875</v>
      </c>
      <c r="N139" s="71">
        <v>1842.4425048828125</v>
      </c>
      <c r="O139" s="72"/>
      <c r="P139" s="73"/>
      <c r="Q139" s="73"/>
      <c r="R139" s="81"/>
      <c r="S139" s="45">
        <v>1</v>
      </c>
      <c r="T139" s="45">
        <v>1</v>
      </c>
      <c r="U139" s="46">
        <v>0</v>
      </c>
      <c r="V139" s="46">
        <v>0</v>
      </c>
      <c r="W139" s="47"/>
      <c r="X139" s="47"/>
      <c r="Y139" s="47"/>
      <c r="Z139" s="46"/>
      <c r="AA139" s="68">
        <v>139</v>
      </c>
      <c r="AB139"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39" s="69"/>
      <c r="AD139" t="s">
        <v>2765</v>
      </c>
      <c r="AE139" s="77" t="s">
        <v>3192</v>
      </c>
      <c r="AF139">
        <v>7079</v>
      </c>
      <c r="AG139">
        <v>1029</v>
      </c>
      <c r="AH139">
        <v>43618</v>
      </c>
      <c r="AI139">
        <v>70</v>
      </c>
      <c r="AJ139">
        <v>318</v>
      </c>
      <c r="AK139">
        <v>19239</v>
      </c>
      <c r="AL139" t="b">
        <v>0</v>
      </c>
      <c r="AM139" s="76">
        <v>39948.686747685184</v>
      </c>
      <c r="AN139" t="s">
        <v>3443</v>
      </c>
      <c r="AO139" t="s">
        <v>3708</v>
      </c>
      <c r="AP139" s="79" t="str">
        <f>HYPERLINK("https://t.co/AG38nNKmkI")</f>
        <v>https://t.co/AG38nNKmkI</v>
      </c>
      <c r="AQ139" s="79" t="str">
        <f>HYPERLINK("https://diarioelranco.cl/")</f>
        <v>https://diarioelranco.cl/</v>
      </c>
      <c r="AR139" t="s">
        <v>1143</v>
      </c>
      <c r="AV139">
        <v>6.7391497124856998E+17</v>
      </c>
      <c r="AW139" s="79" t="str">
        <f>HYPERLINK("https://t.co/AG38nNKmkI")</f>
        <v>https://t.co/AG38nNKmkI</v>
      </c>
      <c r="AX139" t="b">
        <v>0</v>
      </c>
      <c r="BA139" t="b">
        <v>0</v>
      </c>
      <c r="BB139" t="b">
        <v>1</v>
      </c>
      <c r="BC139" t="b">
        <v>0</v>
      </c>
      <c r="BD139" t="b">
        <v>0</v>
      </c>
      <c r="BE139" t="b">
        <v>0</v>
      </c>
      <c r="BF139" t="b">
        <v>0</v>
      </c>
      <c r="BG139" t="b">
        <v>0</v>
      </c>
      <c r="BH139" s="79" t="str">
        <f>HYPERLINK("https://pbs.twimg.com/profile_banners/40275317/1737724935")</f>
        <v>https://pbs.twimg.com/profile_banners/40275317/1737724935</v>
      </c>
      <c r="BJ139" t="s">
        <v>4320</v>
      </c>
      <c r="BK139" t="b">
        <v>0</v>
      </c>
      <c r="BM139" t="s">
        <v>66</v>
      </c>
      <c r="BN139" t="s">
        <v>4322</v>
      </c>
      <c r="BO139" s="79" t="str">
        <f>HYPERLINK("https://twitter.com/elranco")</f>
        <v>https://twitter.com/elranco</v>
      </c>
      <c r="BP139" s="112" t="str">
        <f>REPLACE(INDEX(GroupVertices[Group], MATCH("~"&amp;Vertices[[#This Row],[Vertex]],GroupVertices[Vertex],0)),1,1,"")</f>
        <v>130</v>
      </c>
      <c r="BQ139" s="2"/>
    </row>
    <row r="140" spans="1:69" x14ac:dyDescent="0.25">
      <c r="A140" s="61" t="s">
        <v>265</v>
      </c>
      <c r="B140" s="62"/>
      <c r="C140" s="62"/>
      <c r="D140" s="63">
        <v>1.5</v>
      </c>
      <c r="E140" s="65"/>
      <c r="F140" s="97" t="str">
        <f>HYPERLINK("https://pbs.twimg.com/profile_images/1860362905734004736/Zuy7dk4E_normal.jpg")</f>
        <v>https://pbs.twimg.com/profile_images/1860362905734004736/Zuy7dk4E_normal.jpg</v>
      </c>
      <c r="G140" s="62"/>
      <c r="H140" s="66"/>
      <c r="I140" s="67"/>
      <c r="J140" s="67"/>
      <c r="K140" s="66" t="s">
        <v>4404</v>
      </c>
      <c r="L140" s="70"/>
      <c r="M140" s="71">
        <v>2275.163818359375</v>
      </c>
      <c r="N140" s="71">
        <v>4248.76025390625</v>
      </c>
      <c r="O140" s="72"/>
      <c r="P140" s="73"/>
      <c r="Q140" s="73"/>
      <c r="R140" s="81"/>
      <c r="S140" s="45">
        <v>0</v>
      </c>
      <c r="T140" s="45">
        <v>1</v>
      </c>
      <c r="U140" s="46">
        <v>0</v>
      </c>
      <c r="V140" s="46">
        <v>2.0960000000000002E-3</v>
      </c>
      <c r="W140" s="47"/>
      <c r="X140" s="47"/>
      <c r="Y140" s="47"/>
      <c r="Z140" s="46"/>
      <c r="AA140" s="68">
        <v>140</v>
      </c>
      <c r="AB140"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40" s="69"/>
      <c r="AD140" t="s">
        <v>2766</v>
      </c>
      <c r="AE140" s="77" t="s">
        <v>2552</v>
      </c>
      <c r="AF140">
        <v>32</v>
      </c>
      <c r="AG140">
        <v>162</v>
      </c>
      <c r="AH140">
        <v>2871</v>
      </c>
      <c r="AI140">
        <v>1</v>
      </c>
      <c r="AJ140">
        <v>697</v>
      </c>
      <c r="AK140">
        <v>706</v>
      </c>
      <c r="AL140" t="b">
        <v>0</v>
      </c>
      <c r="AM140" s="76">
        <v>45420.05541666667</v>
      </c>
      <c r="AX140" t="b">
        <v>0</v>
      </c>
      <c r="BA140" t="b">
        <v>0</v>
      </c>
      <c r="BB140" t="b">
        <v>1</v>
      </c>
      <c r="BC140" t="b">
        <v>1</v>
      </c>
      <c r="BD140" t="b">
        <v>0</v>
      </c>
      <c r="BE140" t="b">
        <v>0</v>
      </c>
      <c r="BF140" t="b">
        <v>0</v>
      </c>
      <c r="BG140" t="b">
        <v>0</v>
      </c>
      <c r="BJ140" t="s">
        <v>4320</v>
      </c>
      <c r="BK140" t="b">
        <v>0</v>
      </c>
      <c r="BM140" t="s">
        <v>66</v>
      </c>
      <c r="BN140" t="s">
        <v>4322</v>
      </c>
      <c r="BO140" s="79" t="str">
        <f>HYPERLINK("https://twitter.com/sergio361278762")</f>
        <v>https://twitter.com/sergio361278762</v>
      </c>
      <c r="BP140" s="112" t="str">
        <f>REPLACE(INDEX(GroupVertices[Group], MATCH("~"&amp;Vertices[[#This Row],[Vertex]],GroupVertices[Vertex],0)),1,1,"")</f>
        <v>80</v>
      </c>
      <c r="BQ140" s="2"/>
    </row>
    <row r="141" spans="1:69" x14ac:dyDescent="0.25">
      <c r="A141" s="61" t="s">
        <v>541</v>
      </c>
      <c r="B141" s="62"/>
      <c r="C141" s="62"/>
      <c r="D141" s="63">
        <v>1.5</v>
      </c>
      <c r="E141" s="65"/>
      <c r="F141" s="97" t="str">
        <f>HYPERLINK("https://pbs.twimg.com/profile_images/1610488072298287104/fjqNGd4J_normal.jpg")</f>
        <v>https://pbs.twimg.com/profile_images/1610488072298287104/fjqNGd4J_normal.jpg</v>
      </c>
      <c r="G141" s="62"/>
      <c r="H141" s="66"/>
      <c r="I141" s="67"/>
      <c r="J141" s="67"/>
      <c r="K141" s="66" t="s">
        <v>4405</v>
      </c>
      <c r="L141" s="70"/>
      <c r="M141" s="71">
        <v>136.25497436523438</v>
      </c>
      <c r="N141" s="71">
        <v>5423.85888671875</v>
      </c>
      <c r="O141" s="72"/>
      <c r="P141" s="73"/>
      <c r="Q141" s="73"/>
      <c r="R141" s="81"/>
      <c r="S141" s="45">
        <v>1</v>
      </c>
      <c r="T141" s="45">
        <v>0</v>
      </c>
      <c r="U141" s="46">
        <v>0</v>
      </c>
      <c r="V141" s="46">
        <v>2.0960000000000002E-3</v>
      </c>
      <c r="W141" s="47"/>
      <c r="X141" s="47"/>
      <c r="Y141" s="47"/>
      <c r="Z141" s="46"/>
      <c r="AA141" s="68">
        <v>141</v>
      </c>
      <c r="AB141"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0</v>
      </c>
      <c r="AC141" s="69"/>
      <c r="AD141" t="s">
        <v>2767</v>
      </c>
      <c r="AE141" s="77" t="s">
        <v>2392</v>
      </c>
      <c r="AF141">
        <v>137402</v>
      </c>
      <c r="AG141">
        <v>895</v>
      </c>
      <c r="AH141">
        <v>17873</v>
      </c>
      <c r="AI141">
        <v>101</v>
      </c>
      <c r="AJ141">
        <v>111113</v>
      </c>
      <c r="AK141">
        <v>5376</v>
      </c>
      <c r="AL141" t="b">
        <v>0</v>
      </c>
      <c r="AM141" s="76">
        <v>43138.248807870368</v>
      </c>
      <c r="AN141" t="s">
        <v>3439</v>
      </c>
      <c r="AO141" t="s">
        <v>3709</v>
      </c>
      <c r="AP141" s="79" t="str">
        <f>HYPERLINK("https://t.co/YKJ6Gpgn0m")</f>
        <v>https://t.co/YKJ6Gpgn0m</v>
      </c>
      <c r="AQ141" s="79" t="str">
        <f>HYPERLINK("http://Instagram.com/teamleomessiok")</f>
        <v>http://Instagram.com/teamleomessiok</v>
      </c>
      <c r="AR141" t="s">
        <v>4087</v>
      </c>
      <c r="AV141">
        <v>1.6104720677737201E+18</v>
      </c>
      <c r="AW141" s="79" t="str">
        <f>HYPERLINK("https://t.co/YKJ6Gpgn0m")</f>
        <v>https://t.co/YKJ6Gpgn0m</v>
      </c>
      <c r="AX141" t="b">
        <v>1</v>
      </c>
      <c r="AZ141" t="b">
        <v>0</v>
      </c>
      <c r="BA141" t="b">
        <v>1</v>
      </c>
      <c r="BB141" t="b">
        <v>0</v>
      </c>
      <c r="BC141" t="b">
        <v>1</v>
      </c>
      <c r="BD141" t="b">
        <v>0</v>
      </c>
      <c r="BE141" t="b">
        <v>1</v>
      </c>
      <c r="BF141" t="b">
        <v>0</v>
      </c>
      <c r="BG141" t="b">
        <v>0</v>
      </c>
      <c r="BH141" s="79" t="str">
        <f>HYPERLINK("https://pbs.twimg.com/profile_banners/961116889278795777/1671468594")</f>
        <v>https://pbs.twimg.com/profile_banners/961116889278795777/1671468594</v>
      </c>
      <c r="BJ141" t="s">
        <v>4320</v>
      </c>
      <c r="BK141" t="b">
        <v>0</v>
      </c>
      <c r="BM141" t="s">
        <v>65</v>
      </c>
      <c r="BN141" t="s">
        <v>4322</v>
      </c>
      <c r="BO141" s="79" t="str">
        <f>HYPERLINK("https://twitter.com/teamleom")</f>
        <v>https://twitter.com/teamleom</v>
      </c>
      <c r="BP141" s="112" t="str">
        <f>REPLACE(INDEX(GroupVertices[Group], MATCH("~"&amp;Vertices[[#This Row],[Vertex]],GroupVertices[Vertex],0)),1,1,"")</f>
        <v>80</v>
      </c>
      <c r="BQ141" s="2"/>
    </row>
    <row r="142" spans="1:69" x14ac:dyDescent="0.25">
      <c r="A142" s="61" t="s">
        <v>542</v>
      </c>
      <c r="B142" s="62"/>
      <c r="C142" s="62"/>
      <c r="D142" s="63">
        <v>1.5</v>
      </c>
      <c r="E142" s="65"/>
      <c r="F142" s="97" t="str">
        <f>HYPERLINK("https://pbs.twimg.com/profile_images/1782871801254608896/Li4XafYH_normal.jpg")</f>
        <v>https://pbs.twimg.com/profile_images/1782871801254608896/Li4XafYH_normal.jpg</v>
      </c>
      <c r="G142" s="62"/>
      <c r="H142" s="66"/>
      <c r="I142" s="67"/>
      <c r="J142" s="67"/>
      <c r="K142" s="66" t="s">
        <v>4407</v>
      </c>
      <c r="L142" s="70"/>
      <c r="M142" s="71">
        <v>1981.614501953125</v>
      </c>
      <c r="N142" s="71">
        <v>2508.69091796875</v>
      </c>
      <c r="O142" s="72"/>
      <c r="P142" s="73"/>
      <c r="Q142" s="73"/>
      <c r="R142" s="81"/>
      <c r="S142" s="45">
        <v>1</v>
      </c>
      <c r="T142" s="45">
        <v>0</v>
      </c>
      <c r="U142" s="46">
        <v>0</v>
      </c>
      <c r="V142" s="46">
        <v>2.1939E-2</v>
      </c>
      <c r="W142" s="47"/>
      <c r="X142" s="47"/>
      <c r="Y142" s="47"/>
      <c r="Z142" s="46"/>
      <c r="AA142" s="68">
        <v>142</v>
      </c>
      <c r="AB142"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42" s="69"/>
      <c r="AD142" t="s">
        <v>2769</v>
      </c>
      <c r="AE142" s="77" t="s">
        <v>3193</v>
      </c>
      <c r="AF142">
        <v>25484</v>
      </c>
      <c r="AG142">
        <v>1914</v>
      </c>
      <c r="AH142">
        <v>28999</v>
      </c>
      <c r="AI142">
        <v>126</v>
      </c>
      <c r="AJ142">
        <v>9559</v>
      </c>
      <c r="AK142">
        <v>12667</v>
      </c>
      <c r="AL142" t="b">
        <v>0</v>
      </c>
      <c r="AM142" s="76">
        <v>41303.586388888885</v>
      </c>
      <c r="AN142" t="s">
        <v>3400</v>
      </c>
      <c r="AO142" t="s">
        <v>3711</v>
      </c>
      <c r="AP142" s="79" t="str">
        <f>HYPERLINK("https://t.co/ziHwfAoRtg")</f>
        <v>https://t.co/ziHwfAoRtg</v>
      </c>
      <c r="AQ142" s="79" t="str">
        <f>HYPERLINK("https://linktr.ee/agenciaeduca")</f>
        <v>https://linktr.ee/agenciaeduca</v>
      </c>
      <c r="AR142" t="s">
        <v>4088</v>
      </c>
      <c r="AV142">
        <v>1.92741976150945E+18</v>
      </c>
      <c r="AW142" s="79" t="str">
        <f>HYPERLINK("https://t.co/ziHwfAoRtg")</f>
        <v>https://t.co/ziHwfAoRtg</v>
      </c>
      <c r="AX142" t="b">
        <v>0</v>
      </c>
      <c r="AZ142" t="b">
        <v>0</v>
      </c>
      <c r="BA142" t="b">
        <v>1</v>
      </c>
      <c r="BB142" t="b">
        <v>0</v>
      </c>
      <c r="BC142" t="b">
        <v>0</v>
      </c>
      <c r="BD142" t="b">
        <v>0</v>
      </c>
      <c r="BE142" t="b">
        <v>1</v>
      </c>
      <c r="BF142" t="b">
        <v>0</v>
      </c>
      <c r="BG142" t="b">
        <v>0</v>
      </c>
      <c r="BH142" s="79" t="str">
        <f>HYPERLINK("https://pbs.twimg.com/profile_banners/1131137575/1747338124")</f>
        <v>https://pbs.twimg.com/profile_banners/1131137575/1747338124</v>
      </c>
      <c r="BJ142" t="s">
        <v>4320</v>
      </c>
      <c r="BK142" t="b">
        <v>0</v>
      </c>
      <c r="BM142" t="s">
        <v>65</v>
      </c>
      <c r="BN142" t="s">
        <v>4322</v>
      </c>
      <c r="BO142" s="79" t="str">
        <f>HYPERLINK("https://twitter.com/agenciaeduca")</f>
        <v>https://twitter.com/agenciaeduca</v>
      </c>
      <c r="BP142" s="112" t="str">
        <f>REPLACE(INDEX(GroupVertices[Group], MATCH("~"&amp;Vertices[[#This Row],[Vertex]],GroupVertices[Vertex],0)),1,1,"")</f>
        <v>5</v>
      </c>
      <c r="BQ142" s="2"/>
    </row>
    <row r="143" spans="1:69" x14ac:dyDescent="0.25">
      <c r="A143" s="61" t="s">
        <v>543</v>
      </c>
      <c r="B143" s="62"/>
      <c r="C143" s="62"/>
      <c r="D143" s="63">
        <v>1.5</v>
      </c>
      <c r="E143" s="65"/>
      <c r="F143" s="97" t="str">
        <f>HYPERLINK("https://pbs.twimg.com/profile_images/1571343971896401922/VqM6pGM9_normal.png")</f>
        <v>https://pbs.twimg.com/profile_images/1571343971896401922/VqM6pGM9_normal.png</v>
      </c>
      <c r="G143" s="62"/>
      <c r="H143" s="66"/>
      <c r="I143" s="67"/>
      <c r="J143" s="67"/>
      <c r="K143" s="66" t="s">
        <v>4408</v>
      </c>
      <c r="L143" s="70"/>
      <c r="M143" s="71">
        <v>1816.239501953125</v>
      </c>
      <c r="N143" s="71">
        <v>2758.579345703125</v>
      </c>
      <c r="O143" s="72"/>
      <c r="P143" s="73"/>
      <c r="Q143" s="73"/>
      <c r="R143" s="81"/>
      <c r="S143" s="45">
        <v>1</v>
      </c>
      <c r="T143" s="45">
        <v>0</v>
      </c>
      <c r="U143" s="46">
        <v>0</v>
      </c>
      <c r="V143" s="46">
        <v>2.1939E-2</v>
      </c>
      <c r="W143" s="47"/>
      <c r="X143" s="47"/>
      <c r="Y143" s="47"/>
      <c r="Z143" s="46"/>
      <c r="AA143" s="68">
        <v>143</v>
      </c>
      <c r="AB143"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43" s="69"/>
      <c r="AD143" t="s">
        <v>2770</v>
      </c>
      <c r="AE143" s="77" t="s">
        <v>2393</v>
      </c>
      <c r="AF143">
        <v>44</v>
      </c>
      <c r="AG143">
        <v>142</v>
      </c>
      <c r="AH143">
        <v>1953</v>
      </c>
      <c r="AI143">
        <v>1</v>
      </c>
      <c r="AJ143">
        <v>2283</v>
      </c>
      <c r="AK143">
        <v>69</v>
      </c>
      <c r="AL143" t="b">
        <v>0</v>
      </c>
      <c r="AM143" s="76">
        <v>44822.154756944445</v>
      </c>
      <c r="AX143" t="b">
        <v>0</v>
      </c>
      <c r="AZ143" t="b">
        <v>0</v>
      </c>
      <c r="BA143" t="b">
        <v>0</v>
      </c>
      <c r="BB143" t="b">
        <v>1</v>
      </c>
      <c r="BC143" t="b">
        <v>1</v>
      </c>
      <c r="BD143" t="b">
        <v>0</v>
      </c>
      <c r="BE143" t="b">
        <v>0</v>
      </c>
      <c r="BF143" t="b">
        <v>0</v>
      </c>
      <c r="BG143" t="b">
        <v>0</v>
      </c>
      <c r="BJ143" t="s">
        <v>4320</v>
      </c>
      <c r="BK143" t="b">
        <v>0</v>
      </c>
      <c r="BM143" t="s">
        <v>65</v>
      </c>
      <c r="BN143" t="s">
        <v>4322</v>
      </c>
      <c r="BO143" s="79" t="str">
        <f>HYPERLINK("https://twitter.com/amparobarista")</f>
        <v>https://twitter.com/amparobarista</v>
      </c>
      <c r="BP143" s="112" t="str">
        <f>REPLACE(INDEX(GroupVertices[Group], MATCH("~"&amp;Vertices[[#This Row],[Vertex]],GroupVertices[Vertex],0)),1,1,"")</f>
        <v>5</v>
      </c>
      <c r="BQ143" s="2"/>
    </row>
    <row r="144" spans="1:69" x14ac:dyDescent="0.25">
      <c r="A144" s="61" t="s">
        <v>544</v>
      </c>
      <c r="B144" s="62"/>
      <c r="C144" s="62"/>
      <c r="D144" s="63">
        <v>1.5</v>
      </c>
      <c r="E144" s="65"/>
      <c r="F144" s="97" t="str">
        <f>HYPERLINK("https://pbs.twimg.com/profile_images/1080211275/yo_normal.jpg")</f>
        <v>https://pbs.twimg.com/profile_images/1080211275/yo_normal.jpg</v>
      </c>
      <c r="G144" s="62"/>
      <c r="H144" s="66"/>
      <c r="I144" s="67"/>
      <c r="J144" s="67"/>
      <c r="K144" s="66" t="s">
        <v>4409</v>
      </c>
      <c r="L144" s="70"/>
      <c r="M144" s="71">
        <v>5213.236328125</v>
      </c>
      <c r="N144" s="71">
        <v>8958.5908203125</v>
      </c>
      <c r="O144" s="72"/>
      <c r="P144" s="73"/>
      <c r="Q144" s="73"/>
      <c r="R144" s="81"/>
      <c r="S144" s="45">
        <v>1</v>
      </c>
      <c r="T144" s="45">
        <v>0</v>
      </c>
      <c r="U144" s="46">
        <v>0</v>
      </c>
      <c r="V144" s="46">
        <v>2.1939E-2</v>
      </c>
      <c r="W144" s="47"/>
      <c r="X144" s="47"/>
      <c r="Y144" s="47"/>
      <c r="Z144" s="46"/>
      <c r="AA144" s="68">
        <v>144</v>
      </c>
      <c r="AB144"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44" s="69"/>
      <c r="AD144" t="s">
        <v>2771</v>
      </c>
      <c r="AE144" s="77" t="s">
        <v>3194</v>
      </c>
      <c r="AF144">
        <v>64</v>
      </c>
      <c r="AG144">
        <v>57</v>
      </c>
      <c r="AH144">
        <v>771</v>
      </c>
      <c r="AI144">
        <v>1</v>
      </c>
      <c r="AJ144">
        <v>8820</v>
      </c>
      <c r="AK144">
        <v>29</v>
      </c>
      <c r="AL144" t="b">
        <v>0</v>
      </c>
      <c r="AM144" s="76">
        <v>40376.19740740741</v>
      </c>
      <c r="AN144" t="s">
        <v>3444</v>
      </c>
      <c r="AX144" t="b">
        <v>0</v>
      </c>
      <c r="AZ144" t="b">
        <v>0</v>
      </c>
      <c r="BA144" t="b">
        <v>0</v>
      </c>
      <c r="BB144" t="b">
        <v>1</v>
      </c>
      <c r="BC144" t="b">
        <v>0</v>
      </c>
      <c r="BD144" t="b">
        <v>0</v>
      </c>
      <c r="BE144" t="b">
        <v>1</v>
      </c>
      <c r="BF144" t="b">
        <v>0</v>
      </c>
      <c r="BG144" t="b">
        <v>0</v>
      </c>
      <c r="BJ144" t="s">
        <v>4320</v>
      </c>
      <c r="BK144" t="b">
        <v>0</v>
      </c>
      <c r="BM144" t="s">
        <v>65</v>
      </c>
      <c r="BN144" t="s">
        <v>4322</v>
      </c>
      <c r="BO144" s="79" t="str">
        <f>HYPERLINK("https://twitter.com/ely_enjoy")</f>
        <v>https://twitter.com/ely_enjoy</v>
      </c>
      <c r="BP144" s="112" t="str">
        <f>REPLACE(INDEX(GroupVertices[Group], MATCH("~"&amp;Vertices[[#This Row],[Vertex]],GroupVertices[Vertex],0)),1,1,"")</f>
        <v>5</v>
      </c>
      <c r="BQ144" s="2"/>
    </row>
    <row r="145" spans="1:69" x14ac:dyDescent="0.25">
      <c r="A145" s="61" t="s">
        <v>545</v>
      </c>
      <c r="B145" s="62"/>
      <c r="C145" s="62"/>
      <c r="D145" s="63">
        <v>1.5</v>
      </c>
      <c r="E145" s="65"/>
      <c r="F145" s="97" t="str">
        <f>HYPERLINK("https://pbs.twimg.com/profile_images/1923161416825016321/Rmn5l2OE_normal.jpg")</f>
        <v>https://pbs.twimg.com/profile_images/1923161416825016321/Rmn5l2OE_normal.jpg</v>
      </c>
      <c r="G145" s="62"/>
      <c r="H145" s="66"/>
      <c r="I145" s="67"/>
      <c r="J145" s="67"/>
      <c r="K145" s="66" t="s">
        <v>4410</v>
      </c>
      <c r="L145" s="70"/>
      <c r="M145" s="71">
        <v>4509.337890625</v>
      </c>
      <c r="N145" s="71">
        <v>2551.793212890625</v>
      </c>
      <c r="O145" s="72"/>
      <c r="P145" s="73"/>
      <c r="Q145" s="73"/>
      <c r="R145" s="81"/>
      <c r="S145" s="45">
        <v>1</v>
      </c>
      <c r="T145" s="45">
        <v>0</v>
      </c>
      <c r="U145" s="46">
        <v>0</v>
      </c>
      <c r="V145" s="46">
        <v>2.1939E-2</v>
      </c>
      <c r="W145" s="47"/>
      <c r="X145" s="47"/>
      <c r="Y145" s="47"/>
      <c r="Z145" s="46"/>
      <c r="AA145" s="68">
        <v>145</v>
      </c>
      <c r="AB145"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45" s="69"/>
      <c r="AD145" t="s">
        <v>2772</v>
      </c>
      <c r="AE145" s="77" t="s">
        <v>2395</v>
      </c>
      <c r="AF145">
        <v>603</v>
      </c>
      <c r="AG145">
        <v>188</v>
      </c>
      <c r="AH145">
        <v>537</v>
      </c>
      <c r="AI145">
        <v>1</v>
      </c>
      <c r="AJ145">
        <v>323</v>
      </c>
      <c r="AK145">
        <v>85</v>
      </c>
      <c r="AL145" t="b">
        <v>0</v>
      </c>
      <c r="AM145" s="76">
        <v>40077.64943287037</v>
      </c>
      <c r="AN145" t="s">
        <v>3410</v>
      </c>
      <c r="AO145" t="s">
        <v>3712</v>
      </c>
      <c r="AP145" s="79" t="str">
        <f>HYPERLINK("https://t.co/1LZV72ChvC")</f>
        <v>https://t.co/1LZV72ChvC</v>
      </c>
      <c r="AQ145" s="79" t="str">
        <f>HYPERLINK("https://arsmate.com/Natiilove")</f>
        <v>https://arsmate.com/Natiilove</v>
      </c>
      <c r="AR145" t="s">
        <v>4089</v>
      </c>
      <c r="AW145" s="79" t="str">
        <f>HYPERLINK("https://t.co/1LZV72ChvC")</f>
        <v>https://t.co/1LZV72ChvC</v>
      </c>
      <c r="AX145" t="b">
        <v>0</v>
      </c>
      <c r="AZ145" t="b">
        <v>0</v>
      </c>
      <c r="BA145" t="b">
        <v>1</v>
      </c>
      <c r="BB145" t="b">
        <v>0</v>
      </c>
      <c r="BC145" t="b">
        <v>0</v>
      </c>
      <c r="BD145" t="b">
        <v>0</v>
      </c>
      <c r="BE145" t="b">
        <v>1</v>
      </c>
      <c r="BF145" t="b">
        <v>0</v>
      </c>
      <c r="BG145" t="b">
        <v>1</v>
      </c>
      <c r="BH145" s="79" t="str">
        <f>HYPERLINK("https://pbs.twimg.com/profile_banners/76054417/1747352398")</f>
        <v>https://pbs.twimg.com/profile_banners/76054417/1747352398</v>
      </c>
      <c r="BJ145" t="s">
        <v>4320</v>
      </c>
      <c r="BK145" t="b">
        <v>0</v>
      </c>
      <c r="BM145" t="s">
        <v>65</v>
      </c>
      <c r="BN145" t="s">
        <v>4322</v>
      </c>
      <c r="BO145" s="79" t="str">
        <f>HYPERLINK("https://twitter.com/mr_y_mrs")</f>
        <v>https://twitter.com/mr_y_mrs</v>
      </c>
      <c r="BP145" s="112" t="str">
        <f>REPLACE(INDEX(GroupVertices[Group], MATCH("~"&amp;Vertices[[#This Row],[Vertex]],GroupVertices[Vertex],0)),1,1,"")</f>
        <v>5</v>
      </c>
      <c r="BQ145" s="2"/>
    </row>
    <row r="146" spans="1:69" x14ac:dyDescent="0.25">
      <c r="A146" s="61" t="s">
        <v>546</v>
      </c>
      <c r="B146" s="62"/>
      <c r="C146" s="62"/>
      <c r="D146" s="63">
        <v>1.5</v>
      </c>
      <c r="E146" s="65"/>
      <c r="F146" s="97" t="str">
        <f>HYPERLINK("https://pbs.twimg.com/profile_images/1836269207102607360/CX_37sCw_normal.jpg")</f>
        <v>https://pbs.twimg.com/profile_images/1836269207102607360/CX_37sCw_normal.jpg</v>
      </c>
      <c r="G146" s="62"/>
      <c r="H146" s="66"/>
      <c r="I146" s="67"/>
      <c r="J146" s="67"/>
      <c r="K146" s="66" t="s">
        <v>4411</v>
      </c>
      <c r="L146" s="70"/>
      <c r="M146" s="71">
        <v>4939.25341796875</v>
      </c>
      <c r="N146" s="71">
        <v>8967.4814453125</v>
      </c>
      <c r="O146" s="72"/>
      <c r="P146" s="73"/>
      <c r="Q146" s="73"/>
      <c r="R146" s="81"/>
      <c r="S146" s="45">
        <v>1</v>
      </c>
      <c r="T146" s="45">
        <v>0</v>
      </c>
      <c r="U146" s="46">
        <v>0</v>
      </c>
      <c r="V146" s="46">
        <v>2.1939E-2</v>
      </c>
      <c r="W146" s="47"/>
      <c r="X146" s="47"/>
      <c r="Y146" s="47"/>
      <c r="Z146" s="46"/>
      <c r="AA146" s="68">
        <v>146</v>
      </c>
      <c r="AB146"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46" s="69"/>
      <c r="AD146" t="s">
        <v>2773</v>
      </c>
      <c r="AE146" s="77" t="s">
        <v>2396</v>
      </c>
      <c r="AF146">
        <v>2173</v>
      </c>
      <c r="AG146">
        <v>1917</v>
      </c>
      <c r="AH146">
        <v>101260</v>
      </c>
      <c r="AI146">
        <v>8</v>
      </c>
      <c r="AJ146">
        <v>29325</v>
      </c>
      <c r="AK146">
        <v>2488</v>
      </c>
      <c r="AL146" t="b">
        <v>0</v>
      </c>
      <c r="AM146" s="76">
        <v>40243.911990740744</v>
      </c>
      <c r="AN146" t="s">
        <v>3445</v>
      </c>
      <c r="AV146">
        <v>1.4545972954841999E+18</v>
      </c>
      <c r="AX146" t="b">
        <v>0</v>
      </c>
      <c r="AZ146" t="b">
        <v>0</v>
      </c>
      <c r="BA146" t="b">
        <v>0</v>
      </c>
      <c r="BB146" t="b">
        <v>0</v>
      </c>
      <c r="BC146" t="b">
        <v>0</v>
      </c>
      <c r="BD146" t="b">
        <v>0</v>
      </c>
      <c r="BE146" t="b">
        <v>1</v>
      </c>
      <c r="BF146" t="b">
        <v>0</v>
      </c>
      <c r="BG146" t="b">
        <v>0</v>
      </c>
      <c r="BH146" s="79" t="str">
        <f>HYPERLINK("https://pbs.twimg.com/profile_banners/120575756/1497427812")</f>
        <v>https://pbs.twimg.com/profile_banners/120575756/1497427812</v>
      </c>
      <c r="BJ146" t="s">
        <v>4320</v>
      </c>
      <c r="BK146" t="b">
        <v>0</v>
      </c>
      <c r="BM146" t="s">
        <v>65</v>
      </c>
      <c r="BN146" t="s">
        <v>4322</v>
      </c>
      <c r="BO146" s="79" t="str">
        <f>HYPERLINK("https://twitter.com/sourgirl_r")</f>
        <v>https://twitter.com/sourgirl_r</v>
      </c>
      <c r="BP146" s="112" t="str">
        <f>REPLACE(INDEX(GroupVertices[Group], MATCH("~"&amp;Vertices[[#This Row],[Vertex]],GroupVertices[Vertex],0)),1,1,"")</f>
        <v>5</v>
      </c>
      <c r="BQ146" s="2"/>
    </row>
    <row r="147" spans="1:69" x14ac:dyDescent="0.25">
      <c r="A147" s="61" t="s">
        <v>547</v>
      </c>
      <c r="B147" s="62"/>
      <c r="C147" s="62"/>
      <c r="D147" s="63">
        <v>1.5</v>
      </c>
      <c r="E147" s="65"/>
      <c r="F147" s="97" t="str">
        <f>HYPERLINK("https://pbs.twimg.com/profile_images/615876421886590976/ZfPyJEGe_normal.jpg")</f>
        <v>https://pbs.twimg.com/profile_images/615876421886590976/ZfPyJEGe_normal.jpg</v>
      </c>
      <c r="G147" s="62"/>
      <c r="H147" s="66"/>
      <c r="I147" s="67"/>
      <c r="J147" s="67"/>
      <c r="K147" s="66" t="s">
        <v>4412</v>
      </c>
      <c r="L147" s="70"/>
      <c r="M147" s="71">
        <v>2459.53369140625</v>
      </c>
      <c r="N147" s="71">
        <v>8780.1611328125</v>
      </c>
      <c r="O147" s="72"/>
      <c r="P147" s="73"/>
      <c r="Q147" s="73"/>
      <c r="R147" s="81"/>
      <c r="S147" s="45">
        <v>1</v>
      </c>
      <c r="T147" s="45">
        <v>0</v>
      </c>
      <c r="U147" s="46">
        <v>0</v>
      </c>
      <c r="V147" s="46">
        <v>2.1939E-2</v>
      </c>
      <c r="W147" s="47"/>
      <c r="X147" s="47"/>
      <c r="Y147" s="47"/>
      <c r="Z147" s="46"/>
      <c r="AA147" s="68">
        <v>147</v>
      </c>
      <c r="AB147"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47" s="69"/>
      <c r="AD147" t="s">
        <v>2774</v>
      </c>
      <c r="AE147" s="77" t="s">
        <v>2397</v>
      </c>
      <c r="AF147">
        <v>110</v>
      </c>
      <c r="AG147">
        <v>213</v>
      </c>
      <c r="AH147">
        <v>126</v>
      </c>
      <c r="AI147">
        <v>0</v>
      </c>
      <c r="AJ147">
        <v>35</v>
      </c>
      <c r="AK147">
        <v>7</v>
      </c>
      <c r="AL147" t="b">
        <v>0</v>
      </c>
      <c r="AM147" s="76">
        <v>40192.701435185183</v>
      </c>
      <c r="AO147" t="s">
        <v>3713</v>
      </c>
      <c r="AP147" s="79" t="str">
        <f>HYPERLINK("https://t.co/k0oVEt7oDm")</f>
        <v>https://t.co/k0oVEt7oDm</v>
      </c>
      <c r="AQ147" s="79" t="str">
        <f>HYPERLINK("http://www.flickr.com/danielafcuadra")</f>
        <v>http://www.flickr.com/danielafcuadra</v>
      </c>
      <c r="AR147" t="s">
        <v>4090</v>
      </c>
      <c r="AS147" s="79" t="str">
        <f>HYPERLINK("https://t.co/av2KO9ZzSO")</f>
        <v>https://t.co/av2KO9ZzSO</v>
      </c>
      <c r="AT147" s="79" t="str">
        <f>HYPERLINK("https://www.instagram.com/danielacuadra_illustrations/")</f>
        <v>https://www.instagram.com/danielacuadra_illustrations/</v>
      </c>
      <c r="AU147" t="s">
        <v>4276</v>
      </c>
      <c r="AW147" s="79" t="str">
        <f>HYPERLINK("https://t.co/k0oVEt7oDm")</f>
        <v>https://t.co/k0oVEt7oDm</v>
      </c>
      <c r="AX147" t="b">
        <v>0</v>
      </c>
      <c r="AZ147" t="b">
        <v>0</v>
      </c>
      <c r="BA147" t="b">
        <v>0</v>
      </c>
      <c r="BB147" t="b">
        <v>1</v>
      </c>
      <c r="BC147" t="b">
        <v>0</v>
      </c>
      <c r="BD147" t="b">
        <v>0</v>
      </c>
      <c r="BE147" t="b">
        <v>0</v>
      </c>
      <c r="BF147" t="b">
        <v>0</v>
      </c>
      <c r="BG147" t="b">
        <v>0</v>
      </c>
      <c r="BH147" s="79" t="str">
        <f>HYPERLINK("https://pbs.twimg.com/profile_banners/104863717/1399357521")</f>
        <v>https://pbs.twimg.com/profile_banners/104863717/1399357521</v>
      </c>
      <c r="BJ147" t="s">
        <v>4320</v>
      </c>
      <c r="BK147" t="b">
        <v>0</v>
      </c>
      <c r="BM147" t="s">
        <v>65</v>
      </c>
      <c r="BN147" t="s">
        <v>4322</v>
      </c>
      <c r="BO147" s="79" t="str">
        <f>HYPERLINK("https://twitter.com/danielafcuadra")</f>
        <v>https://twitter.com/danielafcuadra</v>
      </c>
      <c r="BP147" s="112" t="str">
        <f>REPLACE(INDEX(GroupVertices[Group], MATCH("~"&amp;Vertices[[#This Row],[Vertex]],GroupVertices[Vertex],0)),1,1,"")</f>
        <v>5</v>
      </c>
      <c r="BQ147" s="2"/>
    </row>
    <row r="148" spans="1:69" x14ac:dyDescent="0.25">
      <c r="A148" s="61" t="s">
        <v>548</v>
      </c>
      <c r="B148" s="62"/>
      <c r="C148" s="62"/>
      <c r="D148" s="63">
        <v>1.5</v>
      </c>
      <c r="E148" s="65"/>
      <c r="F148" s="97" t="str">
        <f>HYPERLINK("https://pbs.twimg.com/profile_images/1566145215055859712/67Uf3Mad_normal.jpg")</f>
        <v>https://pbs.twimg.com/profile_images/1566145215055859712/67Uf3Mad_normal.jpg</v>
      </c>
      <c r="G148" s="62"/>
      <c r="H148" s="66"/>
      <c r="I148" s="67"/>
      <c r="J148" s="67"/>
      <c r="K148" s="66" t="s">
        <v>4413</v>
      </c>
      <c r="L148" s="70"/>
      <c r="M148" s="71">
        <v>2128.44482421875</v>
      </c>
      <c r="N148" s="71">
        <v>3250.37841796875</v>
      </c>
      <c r="O148" s="72"/>
      <c r="P148" s="73"/>
      <c r="Q148" s="73"/>
      <c r="R148" s="81"/>
      <c r="S148" s="45">
        <v>1</v>
      </c>
      <c r="T148" s="45">
        <v>0</v>
      </c>
      <c r="U148" s="46">
        <v>0</v>
      </c>
      <c r="V148" s="46">
        <v>2.1939E-2</v>
      </c>
      <c r="W148" s="47"/>
      <c r="X148" s="47"/>
      <c r="Y148" s="47"/>
      <c r="Z148" s="46"/>
      <c r="AA148" s="68">
        <v>148</v>
      </c>
      <c r="AB148"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48" s="69"/>
      <c r="AD148" t="s">
        <v>2775</v>
      </c>
      <c r="AE148" s="77" t="s">
        <v>2398</v>
      </c>
      <c r="AF148">
        <v>60</v>
      </c>
      <c r="AG148">
        <v>278</v>
      </c>
      <c r="AH148">
        <v>66</v>
      </c>
      <c r="AI148">
        <v>0</v>
      </c>
      <c r="AJ148">
        <v>38</v>
      </c>
      <c r="AK148">
        <v>6</v>
      </c>
      <c r="AL148" t="b">
        <v>0</v>
      </c>
      <c r="AM148" s="76">
        <v>41327.849328703705</v>
      </c>
      <c r="AN148" t="s">
        <v>3400</v>
      </c>
      <c r="AO148" t="s">
        <v>3714</v>
      </c>
      <c r="AX148" t="b">
        <v>0</v>
      </c>
      <c r="AZ148" t="b">
        <v>0</v>
      </c>
      <c r="BA148" t="b">
        <v>0</v>
      </c>
      <c r="BB148" t="b">
        <v>1</v>
      </c>
      <c r="BC148" t="b">
        <v>0</v>
      </c>
      <c r="BD148" t="b">
        <v>0</v>
      </c>
      <c r="BE148" t="b">
        <v>0</v>
      </c>
      <c r="BF148" t="b">
        <v>0</v>
      </c>
      <c r="BG148" t="b">
        <v>0</v>
      </c>
      <c r="BH148" s="79" t="str">
        <f>HYPERLINK("https://pbs.twimg.com/profile_banners/1209685950/1662233342")</f>
        <v>https://pbs.twimg.com/profile_banners/1209685950/1662233342</v>
      </c>
      <c r="BJ148" t="s">
        <v>4320</v>
      </c>
      <c r="BK148" t="b">
        <v>0</v>
      </c>
      <c r="BM148" t="s">
        <v>65</v>
      </c>
      <c r="BN148" t="s">
        <v>4322</v>
      </c>
      <c r="BO148" s="79" t="str">
        <f>HYPERLINK("https://twitter.com/mauricioriscor")</f>
        <v>https://twitter.com/mauricioriscor</v>
      </c>
      <c r="BP148" s="112" t="str">
        <f>REPLACE(INDEX(GroupVertices[Group], MATCH("~"&amp;Vertices[[#This Row],[Vertex]],GroupVertices[Vertex],0)),1,1,"")</f>
        <v>5</v>
      </c>
      <c r="BQ148" s="2"/>
    </row>
    <row r="149" spans="1:69" x14ac:dyDescent="0.25">
      <c r="A149" s="61" t="s">
        <v>549</v>
      </c>
      <c r="B149" s="62"/>
      <c r="C149" s="62"/>
      <c r="D149" s="63">
        <v>1.5</v>
      </c>
      <c r="E149" s="65"/>
      <c r="F149" s="97" t="str">
        <f>HYPERLINK("https://pbs.twimg.com/profile_images/1630436793735577600/zOuYnazY_normal.jpg")</f>
        <v>https://pbs.twimg.com/profile_images/1630436793735577600/zOuYnazY_normal.jpg</v>
      </c>
      <c r="G149" s="62"/>
      <c r="H149" s="66"/>
      <c r="I149" s="67"/>
      <c r="J149" s="67"/>
      <c r="K149" s="66" t="s">
        <v>4414</v>
      </c>
      <c r="L149" s="70"/>
      <c r="M149" s="71">
        <v>716.45843505859375</v>
      </c>
      <c r="N149" s="71">
        <v>6069.1103515625</v>
      </c>
      <c r="O149" s="72"/>
      <c r="P149" s="73"/>
      <c r="Q149" s="73"/>
      <c r="R149" s="81"/>
      <c r="S149" s="45">
        <v>1</v>
      </c>
      <c r="T149" s="45">
        <v>0</v>
      </c>
      <c r="U149" s="46">
        <v>0</v>
      </c>
      <c r="V149" s="46">
        <v>2.1939E-2</v>
      </c>
      <c r="W149" s="47"/>
      <c r="X149" s="47"/>
      <c r="Y149" s="47"/>
      <c r="Z149" s="46"/>
      <c r="AA149" s="68">
        <v>149</v>
      </c>
      <c r="AB149"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49" s="69"/>
      <c r="AD149" t="s">
        <v>2776</v>
      </c>
      <c r="AE149" s="77" t="s">
        <v>2399</v>
      </c>
      <c r="AF149">
        <v>440</v>
      </c>
      <c r="AG149">
        <v>163</v>
      </c>
      <c r="AH149">
        <v>31984</v>
      </c>
      <c r="AI149">
        <v>3</v>
      </c>
      <c r="AJ149">
        <v>8365</v>
      </c>
      <c r="AK149">
        <v>696</v>
      </c>
      <c r="AL149" t="b">
        <v>0</v>
      </c>
      <c r="AM149" s="76">
        <v>41405.986701388887</v>
      </c>
      <c r="AN149" t="s">
        <v>3446</v>
      </c>
      <c r="AX149" t="b">
        <v>0</v>
      </c>
      <c r="AZ149" t="b">
        <v>0</v>
      </c>
      <c r="BA149" t="b">
        <v>1</v>
      </c>
      <c r="BB149" t="b">
        <v>0</v>
      </c>
      <c r="BC149" t="b">
        <v>0</v>
      </c>
      <c r="BD149" t="b">
        <v>0</v>
      </c>
      <c r="BE149" t="b">
        <v>1</v>
      </c>
      <c r="BF149" t="b">
        <v>0</v>
      </c>
      <c r="BG149" t="b">
        <v>0</v>
      </c>
      <c r="BH149" s="79" t="str">
        <f>HYPERLINK("https://pbs.twimg.com/profile_banners/1421836352/1528407498")</f>
        <v>https://pbs.twimg.com/profile_banners/1421836352/1528407498</v>
      </c>
      <c r="BJ149" t="s">
        <v>4320</v>
      </c>
      <c r="BK149" t="b">
        <v>0</v>
      </c>
      <c r="BM149" t="s">
        <v>65</v>
      </c>
      <c r="BN149" t="s">
        <v>4322</v>
      </c>
      <c r="BO149" s="79" t="str">
        <f>HYPERLINK("https://twitter.com/evelyntriples")</f>
        <v>https://twitter.com/evelyntriples</v>
      </c>
      <c r="BP149" s="112" t="str">
        <f>REPLACE(INDEX(GroupVertices[Group], MATCH("~"&amp;Vertices[[#This Row],[Vertex]],GroupVertices[Vertex],0)),1,1,"")</f>
        <v>5</v>
      </c>
      <c r="BQ149" s="2"/>
    </row>
    <row r="150" spans="1:69" x14ac:dyDescent="0.25">
      <c r="A150" s="61" t="s">
        <v>550</v>
      </c>
      <c r="B150" s="62"/>
      <c r="C150" s="62"/>
      <c r="D150" s="63">
        <v>1.5</v>
      </c>
      <c r="E150" s="65"/>
      <c r="F150" s="97" t="str">
        <f>HYPERLINK("https://pbs.twimg.com/profile_images/1187777799274323968/S2GpXeEa_normal.jpg")</f>
        <v>https://pbs.twimg.com/profile_images/1187777799274323968/S2GpXeEa_normal.jpg</v>
      </c>
      <c r="G150" s="62"/>
      <c r="H150" s="66"/>
      <c r="I150" s="67"/>
      <c r="J150" s="67"/>
      <c r="K150" s="66" t="s">
        <v>4415</v>
      </c>
      <c r="L150" s="70"/>
      <c r="M150" s="71">
        <v>590.4228515625</v>
      </c>
      <c r="N150" s="71">
        <v>6314.03173828125</v>
      </c>
      <c r="O150" s="72"/>
      <c r="P150" s="73"/>
      <c r="Q150" s="73"/>
      <c r="R150" s="81"/>
      <c r="S150" s="45">
        <v>1</v>
      </c>
      <c r="T150" s="45">
        <v>0</v>
      </c>
      <c r="U150" s="46">
        <v>0</v>
      </c>
      <c r="V150" s="46">
        <v>2.1939E-2</v>
      </c>
      <c r="W150" s="47"/>
      <c r="X150" s="47"/>
      <c r="Y150" s="47"/>
      <c r="Z150" s="46"/>
      <c r="AA150" s="68">
        <v>150</v>
      </c>
      <c r="AB150"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50" s="69"/>
      <c r="AD150" t="s">
        <v>2777</v>
      </c>
      <c r="AE150" s="77" t="s">
        <v>2400</v>
      </c>
      <c r="AF150">
        <v>0</v>
      </c>
      <c r="AG150">
        <v>15</v>
      </c>
      <c r="AH150">
        <v>18</v>
      </c>
      <c r="AI150">
        <v>0</v>
      </c>
      <c r="AJ150">
        <v>16</v>
      </c>
      <c r="AK150">
        <v>0</v>
      </c>
      <c r="AL150" t="b">
        <v>0</v>
      </c>
      <c r="AM150" s="76">
        <v>43763.713576388887</v>
      </c>
      <c r="AX150" t="b">
        <v>0</v>
      </c>
      <c r="AZ150" t="b">
        <v>0</v>
      </c>
      <c r="BA150" t="b">
        <v>0</v>
      </c>
      <c r="BB150" t="b">
        <v>0</v>
      </c>
      <c r="BC150" t="b">
        <v>1</v>
      </c>
      <c r="BD150" t="b">
        <v>0</v>
      </c>
      <c r="BE150" t="b">
        <v>0</v>
      </c>
      <c r="BF150" t="b">
        <v>0</v>
      </c>
      <c r="BG150" t="b">
        <v>0</v>
      </c>
      <c r="BJ150" t="s">
        <v>4320</v>
      </c>
      <c r="BK150" t="b">
        <v>0</v>
      </c>
      <c r="BM150" t="s">
        <v>65</v>
      </c>
      <c r="BN150" t="s">
        <v>4322</v>
      </c>
      <c r="BO150" s="79" t="str">
        <f>HYPERLINK("https://twitter.com/camila20271470")</f>
        <v>https://twitter.com/camila20271470</v>
      </c>
      <c r="BP150" s="112" t="str">
        <f>REPLACE(INDEX(GroupVertices[Group], MATCH("~"&amp;Vertices[[#This Row],[Vertex]],GroupVertices[Vertex],0)),1,1,"")</f>
        <v>5</v>
      </c>
      <c r="BQ150" s="2"/>
    </row>
    <row r="151" spans="1:69" x14ac:dyDescent="0.25">
      <c r="A151" s="61" t="s">
        <v>551</v>
      </c>
      <c r="B151" s="62"/>
      <c r="C151" s="62"/>
      <c r="D151" s="63">
        <v>1.5</v>
      </c>
      <c r="E151" s="65"/>
      <c r="F151" s="97" t="str">
        <f>HYPERLINK("https://pbs.twimg.com/profile_images/1690010650594988038/9apBP5C7_normal.jpg")</f>
        <v>https://pbs.twimg.com/profile_images/1690010650594988038/9apBP5C7_normal.jpg</v>
      </c>
      <c r="G151" s="62"/>
      <c r="H151" s="66"/>
      <c r="I151" s="67"/>
      <c r="J151" s="67"/>
      <c r="K151" s="66" t="s">
        <v>4416</v>
      </c>
      <c r="L151" s="70"/>
      <c r="M151" s="71">
        <v>2944.695068359375</v>
      </c>
      <c r="N151" s="71">
        <v>6738.984375</v>
      </c>
      <c r="O151" s="72"/>
      <c r="P151" s="73"/>
      <c r="Q151" s="73"/>
      <c r="R151" s="81"/>
      <c r="S151" s="45">
        <v>1</v>
      </c>
      <c r="T151" s="45">
        <v>0</v>
      </c>
      <c r="U151" s="46">
        <v>0</v>
      </c>
      <c r="V151" s="46">
        <v>2.1939E-2</v>
      </c>
      <c r="W151" s="47"/>
      <c r="X151" s="47"/>
      <c r="Y151" s="47"/>
      <c r="Z151" s="46"/>
      <c r="AA151" s="68">
        <v>151</v>
      </c>
      <c r="AB151"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51" s="69"/>
      <c r="AD151" t="s">
        <v>2778</v>
      </c>
      <c r="AE151" s="77" t="s">
        <v>2394</v>
      </c>
      <c r="AF151">
        <v>6</v>
      </c>
      <c r="AG151">
        <v>84</v>
      </c>
      <c r="AH151">
        <v>317</v>
      </c>
      <c r="AI151">
        <v>0</v>
      </c>
      <c r="AJ151">
        <v>503</v>
      </c>
      <c r="AK151">
        <v>20</v>
      </c>
      <c r="AL151" t="b">
        <v>0</v>
      </c>
      <c r="AM151" s="76">
        <v>45111.88784722222</v>
      </c>
      <c r="AX151" t="b">
        <v>0</v>
      </c>
      <c r="AZ151" t="b">
        <v>0</v>
      </c>
      <c r="BA151" t="b">
        <v>0</v>
      </c>
      <c r="BB151" t="b">
        <v>1</v>
      </c>
      <c r="BC151" t="b">
        <v>1</v>
      </c>
      <c r="BD151" t="b">
        <v>0</v>
      </c>
      <c r="BE151" t="b">
        <v>0</v>
      </c>
      <c r="BF151" t="b">
        <v>0</v>
      </c>
      <c r="BG151" t="b">
        <v>0</v>
      </c>
      <c r="BH151" s="79" t="str">
        <f>HYPERLINK("https://pbs.twimg.com/profile_banners/1676339406528032768/1691764912")</f>
        <v>https://pbs.twimg.com/profile_banners/1676339406528032768/1691764912</v>
      </c>
      <c r="BJ151" t="s">
        <v>4320</v>
      </c>
      <c r="BK151" t="b">
        <v>0</v>
      </c>
      <c r="BM151" t="s">
        <v>65</v>
      </c>
      <c r="BN151" t="s">
        <v>4322</v>
      </c>
      <c r="BO151" s="79" t="str">
        <f>HYPERLINK("https://twitter.com/aleja_27f")</f>
        <v>https://twitter.com/aleja_27f</v>
      </c>
      <c r="BP151" s="112" t="str">
        <f>REPLACE(INDEX(GroupVertices[Group], MATCH("~"&amp;Vertices[[#This Row],[Vertex]],GroupVertices[Vertex],0)),1,1,"")</f>
        <v>5</v>
      </c>
      <c r="BQ151" s="2"/>
    </row>
    <row r="152" spans="1:69" x14ac:dyDescent="0.25">
      <c r="A152" s="61" t="s">
        <v>267</v>
      </c>
      <c r="B152" s="62"/>
      <c r="C152" s="62"/>
      <c r="D152" s="63">
        <v>1.5</v>
      </c>
      <c r="E152" s="65"/>
      <c r="F152" s="97" t="str">
        <f>HYPERLINK("https://pbs.twimg.com/profile_images/1871243418996760576/cwZrDSpl_normal.jpg")</f>
        <v>https://pbs.twimg.com/profile_images/1871243418996760576/cwZrDSpl_normal.jpg</v>
      </c>
      <c r="G152" s="62"/>
      <c r="H152" s="66"/>
      <c r="I152" s="67"/>
      <c r="J152" s="67"/>
      <c r="K152" s="66" t="s">
        <v>4417</v>
      </c>
      <c r="L152" s="70"/>
      <c r="M152" s="71">
        <v>756.9161376953125</v>
      </c>
      <c r="N152" s="71">
        <v>5067.97119140625</v>
      </c>
      <c r="O152" s="72"/>
      <c r="P152" s="73"/>
      <c r="Q152" s="73"/>
      <c r="R152" s="81"/>
      <c r="S152" s="45">
        <v>1</v>
      </c>
      <c r="T152" s="45">
        <v>1</v>
      </c>
      <c r="U152" s="46">
        <v>0</v>
      </c>
      <c r="V152" s="46">
        <v>0</v>
      </c>
      <c r="W152" s="47"/>
      <c r="X152" s="47"/>
      <c r="Y152" s="47"/>
      <c r="Z152" s="46"/>
      <c r="AA152" s="68">
        <v>152</v>
      </c>
      <c r="AB152"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52" s="69"/>
      <c r="AD152" t="s">
        <v>2779</v>
      </c>
      <c r="AE152" s="77" t="s">
        <v>3195</v>
      </c>
      <c r="AF152">
        <v>212</v>
      </c>
      <c r="AG152">
        <v>149</v>
      </c>
      <c r="AH152">
        <v>10181</v>
      </c>
      <c r="AI152">
        <v>0</v>
      </c>
      <c r="AJ152">
        <v>9758</v>
      </c>
      <c r="AK152">
        <v>234</v>
      </c>
      <c r="AL152" t="b">
        <v>0</v>
      </c>
      <c r="AM152" s="76">
        <v>41873.925486111111</v>
      </c>
      <c r="AO152" t="s">
        <v>3715</v>
      </c>
      <c r="AV152">
        <v>1.8244292229426099E+18</v>
      </c>
      <c r="AX152" t="b">
        <v>0</v>
      </c>
      <c r="BA152" t="b">
        <v>0</v>
      </c>
      <c r="BB152" t="b">
        <v>0</v>
      </c>
      <c r="BC152" t="b">
        <v>0</v>
      </c>
      <c r="BD152" t="b">
        <v>0</v>
      </c>
      <c r="BE152" t="b">
        <v>1</v>
      </c>
      <c r="BF152" t="b">
        <v>0</v>
      </c>
      <c r="BG152" t="b">
        <v>0</v>
      </c>
      <c r="BH152" s="79" t="str">
        <f>HYPERLINK("https://pbs.twimg.com/profile_banners/2756709835/1734974209")</f>
        <v>https://pbs.twimg.com/profile_banners/2756709835/1734974209</v>
      </c>
      <c r="BJ152" t="s">
        <v>4320</v>
      </c>
      <c r="BK152" t="b">
        <v>0</v>
      </c>
      <c r="BM152" t="s">
        <v>66</v>
      </c>
      <c r="BN152" t="s">
        <v>4322</v>
      </c>
      <c r="BO152" s="79" t="str">
        <f>HYPERLINK("https://twitter.com/rm___fernanda")</f>
        <v>https://twitter.com/rm___fernanda</v>
      </c>
      <c r="BP152" s="112" t="str">
        <f>REPLACE(INDEX(GroupVertices[Group], MATCH("~"&amp;Vertices[[#This Row],[Vertex]],GroupVertices[Vertex],0)),1,1,"")</f>
        <v>127</v>
      </c>
      <c r="BQ152" s="2"/>
    </row>
    <row r="153" spans="1:69" x14ac:dyDescent="0.25">
      <c r="A153" s="61" t="s">
        <v>268</v>
      </c>
      <c r="B153" s="62"/>
      <c r="C153" s="62"/>
      <c r="D153" s="63">
        <v>1.5</v>
      </c>
      <c r="E153" s="65"/>
      <c r="F153" s="97" t="str">
        <f>HYPERLINK("https://pbs.twimg.com/profile_images/1616772802639536128/hA5o5A1L_normal.jpg")</f>
        <v>https://pbs.twimg.com/profile_images/1616772802639536128/hA5o5A1L_normal.jpg</v>
      </c>
      <c r="G153" s="62"/>
      <c r="H153" s="66"/>
      <c r="I153" s="67"/>
      <c r="J153" s="67"/>
      <c r="K153" s="66" t="s">
        <v>4418</v>
      </c>
      <c r="L153" s="70"/>
      <c r="M153" s="71">
        <v>6830.666015625</v>
      </c>
      <c r="N153" s="71">
        <v>3211.505615234375</v>
      </c>
      <c r="O153" s="72"/>
      <c r="P153" s="73"/>
      <c r="Q153" s="73"/>
      <c r="R153" s="81"/>
      <c r="S153" s="45">
        <v>0</v>
      </c>
      <c r="T153" s="45">
        <v>3</v>
      </c>
      <c r="U153" s="46">
        <v>0</v>
      </c>
      <c r="V153" s="46">
        <v>6.7089999999999997E-3</v>
      </c>
      <c r="W153" s="47"/>
      <c r="X153" s="47"/>
      <c r="Y153" s="47"/>
      <c r="Z153" s="46"/>
      <c r="AA153" s="68">
        <v>153</v>
      </c>
      <c r="AB153"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53" s="69"/>
      <c r="AD153" t="s">
        <v>268</v>
      </c>
      <c r="AE153" s="77" t="s">
        <v>2554</v>
      </c>
      <c r="AF153">
        <v>314</v>
      </c>
      <c r="AG153">
        <v>331</v>
      </c>
      <c r="AH153">
        <v>5836</v>
      </c>
      <c r="AI153">
        <v>1</v>
      </c>
      <c r="AJ153">
        <v>2258</v>
      </c>
      <c r="AK153">
        <v>148</v>
      </c>
      <c r="AL153" t="b">
        <v>0</v>
      </c>
      <c r="AM153" s="76">
        <v>44947.464375000003</v>
      </c>
      <c r="AN153" t="s">
        <v>3447</v>
      </c>
      <c r="AO153" t="s">
        <v>3716</v>
      </c>
      <c r="AX153" t="b">
        <v>0</v>
      </c>
      <c r="BA153" t="b">
        <v>0</v>
      </c>
      <c r="BB153" t="b">
        <v>1</v>
      </c>
      <c r="BC153" t="b">
        <v>1</v>
      </c>
      <c r="BD153" t="b">
        <v>0</v>
      </c>
      <c r="BE153" t="b">
        <v>1</v>
      </c>
      <c r="BF153" t="b">
        <v>0</v>
      </c>
      <c r="BG153" t="b">
        <v>0</v>
      </c>
      <c r="BH153" s="79" t="str">
        <f>HYPERLINK("https://pbs.twimg.com/profile_banners/1616754491964932098/1685169573")</f>
        <v>https://pbs.twimg.com/profile_banners/1616754491964932098/1685169573</v>
      </c>
      <c r="BJ153" t="s">
        <v>4320</v>
      </c>
      <c r="BK153" t="b">
        <v>0</v>
      </c>
      <c r="BM153" t="s">
        <v>66</v>
      </c>
      <c r="BN153" t="s">
        <v>4322</v>
      </c>
      <c r="BO153" s="79" t="str">
        <f>HYPERLINK("https://twitter.com/estellerria")</f>
        <v>https://twitter.com/estellerria</v>
      </c>
      <c r="BP153" s="112" t="str">
        <f>REPLACE(INDEX(GroupVertices[Group], MATCH("~"&amp;Vertices[[#This Row],[Vertex]],GroupVertices[Vertex],0)),1,1,"")</f>
        <v>16</v>
      </c>
      <c r="BQ153" s="2"/>
    </row>
    <row r="154" spans="1:69" x14ac:dyDescent="0.25">
      <c r="A154" s="61" t="s">
        <v>552</v>
      </c>
      <c r="B154" s="62"/>
      <c r="C154" s="62"/>
      <c r="D154" s="63">
        <v>1.5</v>
      </c>
      <c r="E154" s="65"/>
      <c r="F154" s="97" t="str">
        <f>HYPERLINK("https://pbs.twimg.com/profile_images/1353994545667649536/t440IhtQ_normal.jpg")</f>
        <v>https://pbs.twimg.com/profile_images/1353994545667649536/t440IhtQ_normal.jpg</v>
      </c>
      <c r="G154" s="62"/>
      <c r="H154" s="66"/>
      <c r="I154" s="67"/>
      <c r="J154" s="67"/>
      <c r="K154" s="66" t="s">
        <v>4419</v>
      </c>
      <c r="L154" s="70"/>
      <c r="M154" s="71">
        <v>5894.43359375</v>
      </c>
      <c r="N154" s="71">
        <v>4884.51025390625</v>
      </c>
      <c r="O154" s="72"/>
      <c r="P154" s="73"/>
      <c r="Q154" s="73"/>
      <c r="R154" s="81"/>
      <c r="S154" s="45">
        <v>3</v>
      </c>
      <c r="T154" s="45">
        <v>0</v>
      </c>
      <c r="U154" s="46">
        <v>0</v>
      </c>
      <c r="V154" s="46">
        <v>6.7089999999999997E-3</v>
      </c>
      <c r="W154" s="47"/>
      <c r="X154" s="47"/>
      <c r="Y154" s="47"/>
      <c r="Z154" s="46"/>
      <c r="AA154" s="68">
        <v>154</v>
      </c>
      <c r="AB154"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54" s="69"/>
      <c r="AD154" t="s">
        <v>2780</v>
      </c>
      <c r="AE154" s="77" t="s">
        <v>2465</v>
      </c>
      <c r="AF154">
        <v>14131</v>
      </c>
      <c r="AG154">
        <v>825</v>
      </c>
      <c r="AH154">
        <v>174894</v>
      </c>
      <c r="AI154">
        <v>0</v>
      </c>
      <c r="AJ154">
        <v>16</v>
      </c>
      <c r="AK154">
        <v>299</v>
      </c>
      <c r="AL154" t="b">
        <v>0</v>
      </c>
      <c r="AM154" s="76">
        <v>41998.995451388888</v>
      </c>
      <c r="AN154" t="s">
        <v>3448</v>
      </c>
      <c r="AO154" t="s">
        <v>3717</v>
      </c>
      <c r="AP154" s="79" t="str">
        <f>HYPERLINK("https://t.co/ISJFcQwdwQ")</f>
        <v>https://t.co/ISJFcQwdwQ</v>
      </c>
      <c r="AQ154" s="79" t="str">
        <f>HYPERLINK("http://www.navarra.com")</f>
        <v>http://www.navarra.com</v>
      </c>
      <c r="AR154" t="s">
        <v>4091</v>
      </c>
      <c r="AV154">
        <v>7.9276467664808294E+17</v>
      </c>
      <c r="AW154" s="79" t="str">
        <f>HYPERLINK("https://t.co/ISJFcQwdwQ")</f>
        <v>https://t.co/ISJFcQwdwQ</v>
      </c>
      <c r="AX154" t="b">
        <v>0</v>
      </c>
      <c r="AZ154" t="b">
        <v>0</v>
      </c>
      <c r="BA154" t="b">
        <v>0</v>
      </c>
      <c r="BB154" t="b">
        <v>1</v>
      </c>
      <c r="BC154" t="b">
        <v>1</v>
      </c>
      <c r="BD154" t="b">
        <v>0</v>
      </c>
      <c r="BE154" t="b">
        <v>0</v>
      </c>
      <c r="BF154" t="b">
        <v>0</v>
      </c>
      <c r="BG154" t="b">
        <v>0</v>
      </c>
      <c r="BH154" s="79" t="str">
        <f>HYPERLINK("https://pbs.twimg.com/profile_banners/2941520332/1562340021")</f>
        <v>https://pbs.twimg.com/profile_banners/2941520332/1562340021</v>
      </c>
      <c r="BJ154" t="s">
        <v>4320</v>
      </c>
      <c r="BK154" t="b">
        <v>0</v>
      </c>
      <c r="BM154" t="s">
        <v>65</v>
      </c>
      <c r="BN154" t="s">
        <v>4322</v>
      </c>
      <c r="BO154" s="79" t="str">
        <f>HYPERLINK("https://twitter.com/navarra_com")</f>
        <v>https://twitter.com/navarra_com</v>
      </c>
      <c r="BP154" s="112" t="str">
        <f>REPLACE(INDEX(GroupVertices[Group], MATCH("~"&amp;Vertices[[#This Row],[Vertex]],GroupVertices[Vertex],0)),1,1,"")</f>
        <v>16</v>
      </c>
      <c r="BQ154" s="2"/>
    </row>
    <row r="155" spans="1:69" x14ac:dyDescent="0.25">
      <c r="A155" s="61" t="s">
        <v>418</v>
      </c>
      <c r="B155" s="62"/>
      <c r="C155" s="62"/>
      <c r="D155" s="63">
        <v>1.5</v>
      </c>
      <c r="E155" s="65"/>
      <c r="F155" s="97" t="str">
        <f>HYPERLINK("https://pbs.twimg.com/profile_images/1677462135348011008/xuZnODw4_normal.jpg")</f>
        <v>https://pbs.twimg.com/profile_images/1677462135348011008/xuZnODw4_normal.jpg</v>
      </c>
      <c r="G155" s="62"/>
      <c r="H155" s="66"/>
      <c r="I155" s="67"/>
      <c r="J155" s="67"/>
      <c r="K155" s="66" t="s">
        <v>4421</v>
      </c>
      <c r="L155" s="70"/>
      <c r="M155" s="71">
        <v>6983.244140625</v>
      </c>
      <c r="N155" s="71">
        <v>2787.5419921875</v>
      </c>
      <c r="O155" s="72"/>
      <c r="P155" s="73"/>
      <c r="Q155" s="73"/>
      <c r="R155" s="81"/>
      <c r="S155" s="45">
        <v>1</v>
      </c>
      <c r="T155" s="45">
        <v>2</v>
      </c>
      <c r="U155" s="46">
        <v>0</v>
      </c>
      <c r="V155" s="46">
        <v>6.7089999999999997E-3</v>
      </c>
      <c r="W155" s="47"/>
      <c r="X155" s="47"/>
      <c r="Y155" s="47"/>
      <c r="Z155" s="46"/>
      <c r="AA155" s="68">
        <v>155</v>
      </c>
      <c r="AB155"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55" s="69"/>
      <c r="AD155" t="s">
        <v>2782</v>
      </c>
      <c r="AE155" s="77" t="s">
        <v>2401</v>
      </c>
      <c r="AF155">
        <v>364</v>
      </c>
      <c r="AG155">
        <v>1238</v>
      </c>
      <c r="AH155">
        <v>14110</v>
      </c>
      <c r="AI155">
        <v>1</v>
      </c>
      <c r="AJ155">
        <v>4742</v>
      </c>
      <c r="AK155">
        <v>391</v>
      </c>
      <c r="AL155" t="b">
        <v>0</v>
      </c>
      <c r="AM155" s="76">
        <v>43023.926226851851</v>
      </c>
      <c r="AX155" t="b">
        <v>0</v>
      </c>
      <c r="BA155" t="b">
        <v>0</v>
      </c>
      <c r="BB155" t="b">
        <v>1</v>
      </c>
      <c r="BC155" t="b">
        <v>1</v>
      </c>
      <c r="BD155" t="b">
        <v>0</v>
      </c>
      <c r="BE155" t="b">
        <v>1</v>
      </c>
      <c r="BF155" t="b">
        <v>0</v>
      </c>
      <c r="BG155" t="b">
        <v>0</v>
      </c>
      <c r="BJ155" t="s">
        <v>4320</v>
      </c>
      <c r="BK155" t="b">
        <v>0</v>
      </c>
      <c r="BM155" t="s">
        <v>66</v>
      </c>
      <c r="BN155" t="s">
        <v>4322</v>
      </c>
      <c r="BO155" s="79" t="str">
        <f>HYPERLINK("https://twitter.com/puck455")</f>
        <v>https://twitter.com/puck455</v>
      </c>
      <c r="BP155" s="112" t="str">
        <f>REPLACE(INDEX(GroupVertices[Group], MATCH("~"&amp;Vertices[[#This Row],[Vertex]],GroupVertices[Vertex],0)),1,1,"")</f>
        <v>16</v>
      </c>
      <c r="BQ155" s="2"/>
    </row>
    <row r="156" spans="1:69" x14ac:dyDescent="0.25">
      <c r="A156" s="61" t="s">
        <v>269</v>
      </c>
      <c r="B156" s="62"/>
      <c r="C156" s="62"/>
      <c r="D156" s="63">
        <v>1.5</v>
      </c>
      <c r="E156" s="65"/>
      <c r="F156" s="97" t="str">
        <f>HYPERLINK("https://pbs.twimg.com/profile_images/1797852636001046528/5dP7-URO_normal.jpg")</f>
        <v>https://pbs.twimg.com/profile_images/1797852636001046528/5dP7-URO_normal.jpg</v>
      </c>
      <c r="G156" s="62"/>
      <c r="H156" s="66"/>
      <c r="I156" s="67"/>
      <c r="J156" s="67"/>
      <c r="K156" s="66" t="s">
        <v>4422</v>
      </c>
      <c r="L156" s="70"/>
      <c r="M156" s="71">
        <v>6284.96240234375</v>
      </c>
      <c r="N156" s="71">
        <v>8516.3232421875</v>
      </c>
      <c r="O156" s="72"/>
      <c r="P156" s="73"/>
      <c r="Q156" s="73"/>
      <c r="R156" s="81"/>
      <c r="S156" s="45">
        <v>1</v>
      </c>
      <c r="T156" s="45">
        <v>1</v>
      </c>
      <c r="U156" s="46">
        <v>0</v>
      </c>
      <c r="V156" s="46">
        <v>0</v>
      </c>
      <c r="W156" s="47"/>
      <c r="X156" s="47"/>
      <c r="Y156" s="47"/>
      <c r="Z156" s="46"/>
      <c r="AA156" s="68">
        <v>156</v>
      </c>
      <c r="AB156"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56" s="69"/>
      <c r="AD156" t="s">
        <v>2783</v>
      </c>
      <c r="AE156" s="77" t="s">
        <v>3196</v>
      </c>
      <c r="AF156">
        <v>19700</v>
      </c>
      <c r="AG156">
        <v>10571</v>
      </c>
      <c r="AH156">
        <v>99783</v>
      </c>
      <c r="AI156">
        <v>30</v>
      </c>
      <c r="AJ156">
        <v>215876</v>
      </c>
      <c r="AK156">
        <v>10019</v>
      </c>
      <c r="AL156" t="b">
        <v>0</v>
      </c>
      <c r="AM156" s="76">
        <v>39943.6246875</v>
      </c>
      <c r="AN156" t="s">
        <v>3449</v>
      </c>
      <c r="AO156" t="s">
        <v>3718</v>
      </c>
      <c r="AP156" s="79" t="str">
        <f>HYPERLINK("https://t.co/UDrYfAFO55")</f>
        <v>https://t.co/UDrYfAFO55</v>
      </c>
      <c r="AQ156" s="79" t="str">
        <f>HYPERLINK("http://dfconexion.com")</f>
        <v>http://dfconexion.com</v>
      </c>
      <c r="AR156" t="s">
        <v>4092</v>
      </c>
      <c r="AV156">
        <v>1.91792976391568E+18</v>
      </c>
      <c r="AW156" s="79" t="str">
        <f>HYPERLINK("https://t.co/UDrYfAFO55")</f>
        <v>https://t.co/UDrYfAFO55</v>
      </c>
      <c r="AX156" t="b">
        <v>0</v>
      </c>
      <c r="BA156" t="b">
        <v>0</v>
      </c>
      <c r="BB156" t="b">
        <v>0</v>
      </c>
      <c r="BC156" t="b">
        <v>0</v>
      </c>
      <c r="BD156" t="b">
        <v>0</v>
      </c>
      <c r="BE156" t="b">
        <v>1</v>
      </c>
      <c r="BF156" t="b">
        <v>0</v>
      </c>
      <c r="BG156" t="b">
        <v>0</v>
      </c>
      <c r="BH156" s="79" t="str">
        <f>HYPERLINK("https://pbs.twimg.com/profile_banners/39057749/1678287795")</f>
        <v>https://pbs.twimg.com/profile_banners/39057749/1678287795</v>
      </c>
      <c r="BJ156" t="s">
        <v>4320</v>
      </c>
      <c r="BK156" t="b">
        <v>0</v>
      </c>
      <c r="BM156" t="s">
        <v>66</v>
      </c>
      <c r="BN156" t="s">
        <v>4322</v>
      </c>
      <c r="BO156" s="79" t="str">
        <f>HYPERLINK("https://twitter.com/aleoglez")</f>
        <v>https://twitter.com/aleoglez</v>
      </c>
      <c r="BP156" s="112" t="str">
        <f>REPLACE(INDEX(GroupVertices[Group], MATCH("~"&amp;Vertices[[#This Row],[Vertex]],GroupVertices[Vertex],0)),1,1,"")</f>
        <v>172</v>
      </c>
      <c r="BQ156" s="2"/>
    </row>
    <row r="157" spans="1:69" x14ac:dyDescent="0.25">
      <c r="A157" s="61" t="s">
        <v>270</v>
      </c>
      <c r="B157" s="62"/>
      <c r="C157" s="62"/>
      <c r="D157" s="63">
        <v>1.5</v>
      </c>
      <c r="E157" s="65"/>
      <c r="F157" s="97" t="str">
        <f>HYPERLINK("https://pbs.twimg.com/profile_images/1921205391393742848/2Mx23Ob3_normal.png")</f>
        <v>https://pbs.twimg.com/profile_images/1921205391393742848/2Mx23Ob3_normal.png</v>
      </c>
      <c r="G157" s="62"/>
      <c r="H157" s="66"/>
      <c r="I157" s="67"/>
      <c r="J157" s="67"/>
      <c r="K157" s="66" t="s">
        <v>4423</v>
      </c>
      <c r="L157" s="70"/>
      <c r="M157" s="71">
        <v>9162.6591796875</v>
      </c>
      <c r="N157" s="71">
        <v>1519.150634765625</v>
      </c>
      <c r="O157" s="72"/>
      <c r="P157" s="73"/>
      <c r="Q157" s="73"/>
      <c r="R157" s="81"/>
      <c r="S157" s="45">
        <v>1</v>
      </c>
      <c r="T157" s="45">
        <v>1</v>
      </c>
      <c r="U157" s="46">
        <v>0</v>
      </c>
      <c r="V157" s="46">
        <v>0</v>
      </c>
      <c r="W157" s="47"/>
      <c r="X157" s="47"/>
      <c r="Y157" s="47"/>
      <c r="Z157" s="46"/>
      <c r="AA157" s="68">
        <v>157</v>
      </c>
      <c r="AB157"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57" s="69"/>
      <c r="AD157" t="s">
        <v>2784</v>
      </c>
      <c r="AE157" s="77" t="s">
        <v>2402</v>
      </c>
      <c r="AF157">
        <v>129</v>
      </c>
      <c r="AG157">
        <v>46</v>
      </c>
      <c r="AH157">
        <v>25159</v>
      </c>
      <c r="AI157">
        <v>2</v>
      </c>
      <c r="AJ157">
        <v>6348</v>
      </c>
      <c r="AK157">
        <v>706</v>
      </c>
      <c r="AL157" t="b">
        <v>0</v>
      </c>
      <c r="AM157" s="76">
        <v>44320.722233796296</v>
      </c>
      <c r="AN157" t="s">
        <v>3450</v>
      </c>
      <c r="AO157" t="s">
        <v>3719</v>
      </c>
      <c r="AV157">
        <v>1.8101002001086001E+18</v>
      </c>
      <c r="AX157" t="b">
        <v>0</v>
      </c>
      <c r="BA157" t="b">
        <v>1</v>
      </c>
      <c r="BB157" t="b">
        <v>0</v>
      </c>
      <c r="BC157" t="b">
        <v>1</v>
      </c>
      <c r="BD157" t="b">
        <v>0</v>
      </c>
      <c r="BE157" t="b">
        <v>0</v>
      </c>
      <c r="BF157" t="b">
        <v>0</v>
      </c>
      <c r="BG157" t="b">
        <v>0</v>
      </c>
      <c r="BH157" s="79" t="str">
        <f>HYPERLINK("https://pbs.twimg.com/profile_banners/1389630809661972487/1719827964")</f>
        <v>https://pbs.twimg.com/profile_banners/1389630809661972487/1719827964</v>
      </c>
      <c r="BJ157" t="s">
        <v>4320</v>
      </c>
      <c r="BK157" t="b">
        <v>0</v>
      </c>
      <c r="BM157" t="s">
        <v>66</v>
      </c>
      <c r="BN157" t="s">
        <v>4322</v>
      </c>
      <c r="BO157" s="79" t="str">
        <f>HYPERLINK("https://twitter.com/comoscsientc")</f>
        <v>https://twitter.com/comoscsientc</v>
      </c>
      <c r="BP157" s="112" t="str">
        <f>REPLACE(INDEX(GroupVertices[Group], MATCH("~"&amp;Vertices[[#This Row],[Vertex]],GroupVertices[Vertex],0)),1,1,"")</f>
        <v>146</v>
      </c>
      <c r="BQ157" s="2"/>
    </row>
    <row r="158" spans="1:69" x14ac:dyDescent="0.25">
      <c r="A158" s="61" t="s">
        <v>271</v>
      </c>
      <c r="B158" s="62"/>
      <c r="C158" s="62"/>
      <c r="D158" s="63">
        <v>1.5</v>
      </c>
      <c r="E158" s="65"/>
      <c r="F158" s="97" t="str">
        <f>HYPERLINK("https://pbs.twimg.com/profile_images/1876053471473901568/vTdwi0ii_normal.jpg")</f>
        <v>https://pbs.twimg.com/profile_images/1876053471473901568/vTdwi0ii_normal.jpg</v>
      </c>
      <c r="G158" s="62"/>
      <c r="H158" s="66"/>
      <c r="I158" s="67"/>
      <c r="J158" s="67"/>
      <c r="K158" s="66" t="s">
        <v>4424</v>
      </c>
      <c r="L158" s="70"/>
      <c r="M158" s="71">
        <v>2202.676025390625</v>
      </c>
      <c r="N158" s="71">
        <v>1217.8773193359375</v>
      </c>
      <c r="O158" s="72"/>
      <c r="P158" s="73"/>
      <c r="Q158" s="73"/>
      <c r="R158" s="81"/>
      <c r="S158" s="45">
        <v>1</v>
      </c>
      <c r="T158" s="45">
        <v>1</v>
      </c>
      <c r="U158" s="46">
        <v>0</v>
      </c>
      <c r="V158" s="46">
        <v>0</v>
      </c>
      <c r="W158" s="47"/>
      <c r="X158" s="47"/>
      <c r="Y158" s="47"/>
      <c r="Z158" s="46"/>
      <c r="AA158" s="68">
        <v>158</v>
      </c>
      <c r="AB158"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58" s="69"/>
      <c r="AD158" t="s">
        <v>2785</v>
      </c>
      <c r="AE158" s="77" t="s">
        <v>2555</v>
      </c>
      <c r="AF158">
        <v>262</v>
      </c>
      <c r="AG158">
        <v>486</v>
      </c>
      <c r="AH158">
        <v>451</v>
      </c>
      <c r="AI158">
        <v>1</v>
      </c>
      <c r="AJ158">
        <v>1054</v>
      </c>
      <c r="AK158">
        <v>247</v>
      </c>
      <c r="AL158" t="b">
        <v>0</v>
      </c>
      <c r="AM158" s="76">
        <v>44951.449884259258</v>
      </c>
      <c r="AN158" t="s">
        <v>3400</v>
      </c>
      <c r="AO158" t="s">
        <v>3720</v>
      </c>
      <c r="AP158" s="79" t="str">
        <f>HYPERLINK("https://t.co/e9nYFxf95F")</f>
        <v>https://t.co/e9nYFxf95F</v>
      </c>
      <c r="AQ158" s="79" t="str">
        <f>HYPERLINK("http://www.contingenciachile.cl")</f>
        <v>http://www.contingenciachile.cl</v>
      </c>
      <c r="AR158" t="s">
        <v>1144</v>
      </c>
      <c r="AS158" s="79" t="str">
        <f>HYPERLINK("https://t.co/0gqibx17Y8")</f>
        <v>https://t.co/0gqibx17Y8</v>
      </c>
      <c r="AT158" s="79" t="str">
        <f>HYPERLINK("https://n9.cl/z69qg")</f>
        <v>https://n9.cl/z69qg</v>
      </c>
      <c r="AU158" t="s">
        <v>4277</v>
      </c>
      <c r="AV158">
        <v>1.8166717780783401E+18</v>
      </c>
      <c r="AW158" s="79" t="str">
        <f>HYPERLINK("https://t.co/e9nYFxf95F")</f>
        <v>https://t.co/e9nYFxf95F</v>
      </c>
      <c r="AX158" t="b">
        <v>0</v>
      </c>
      <c r="BA158" t="b">
        <v>1</v>
      </c>
      <c r="BB158" t="b">
        <v>1</v>
      </c>
      <c r="BC158" t="b">
        <v>1</v>
      </c>
      <c r="BD158" t="b">
        <v>0</v>
      </c>
      <c r="BE158" t="b">
        <v>0</v>
      </c>
      <c r="BF158" t="b">
        <v>0</v>
      </c>
      <c r="BG158" t="b">
        <v>0</v>
      </c>
      <c r="BH158" s="79" t="str">
        <f>HYPERLINK("https://pbs.twimg.com/profile_banners/1618198906088701952/1721586494")</f>
        <v>https://pbs.twimg.com/profile_banners/1618198906088701952/1721586494</v>
      </c>
      <c r="BJ158" t="s">
        <v>4320</v>
      </c>
      <c r="BK158" t="b">
        <v>0</v>
      </c>
      <c r="BM158" t="s">
        <v>66</v>
      </c>
      <c r="BN158" t="s">
        <v>4322</v>
      </c>
      <c r="BO158" s="79" t="str">
        <f>HYPERLINK("https://twitter.com/contingenciacl_")</f>
        <v>https://twitter.com/contingenciacl_</v>
      </c>
      <c r="BP158" s="112" t="str">
        <f>REPLACE(INDEX(GroupVertices[Group], MATCH("~"&amp;Vertices[[#This Row],[Vertex]],GroupVertices[Vertex],0)),1,1,"")</f>
        <v>134</v>
      </c>
      <c r="BQ158" s="2"/>
    </row>
    <row r="159" spans="1:69" x14ac:dyDescent="0.25">
      <c r="A159" s="61" t="s">
        <v>553</v>
      </c>
      <c r="B159" s="62"/>
      <c r="C159" s="62"/>
      <c r="D159" s="63">
        <v>1.5</v>
      </c>
      <c r="E159" s="65"/>
      <c r="F159" s="97" t="str">
        <f>HYPERLINK("https://pbs.twimg.com/profile_images/1824476658734133248/zZA_62Vb_normal.jpg")</f>
        <v>https://pbs.twimg.com/profile_images/1824476658734133248/zZA_62Vb_normal.jpg</v>
      </c>
      <c r="G159" s="62"/>
      <c r="H159" s="66"/>
      <c r="I159" s="67"/>
      <c r="J159" s="67"/>
      <c r="K159" s="66" t="s">
        <v>4427</v>
      </c>
      <c r="L159" s="70"/>
      <c r="M159" s="71">
        <v>8059.3271484375</v>
      </c>
      <c r="N159" s="71">
        <v>7655.02197265625</v>
      </c>
      <c r="O159" s="72"/>
      <c r="P159" s="73"/>
      <c r="Q159" s="73"/>
      <c r="R159" s="81"/>
      <c r="S159" s="45">
        <v>1</v>
      </c>
      <c r="T159" s="45">
        <v>0</v>
      </c>
      <c r="U159" s="46">
        <v>0</v>
      </c>
      <c r="V159" s="46">
        <v>3.1449999999999998E-3</v>
      </c>
      <c r="W159" s="47"/>
      <c r="X159" s="47"/>
      <c r="Y159" s="47"/>
      <c r="Z159" s="46"/>
      <c r="AA159" s="68">
        <v>159</v>
      </c>
      <c r="AB159"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59" s="69"/>
      <c r="AD159" t="s">
        <v>2788</v>
      </c>
      <c r="AE159" s="77" t="s">
        <v>3197</v>
      </c>
      <c r="AF159">
        <v>5495</v>
      </c>
      <c r="AG159">
        <v>2472</v>
      </c>
      <c r="AH159">
        <v>6117</v>
      </c>
      <c r="AI159">
        <v>25</v>
      </c>
      <c r="AJ159">
        <v>14935</v>
      </c>
      <c r="AK159">
        <v>455</v>
      </c>
      <c r="AL159" t="b">
        <v>0</v>
      </c>
      <c r="AM159" s="76">
        <v>41298.224699074075</v>
      </c>
      <c r="AN159" t="s">
        <v>3410</v>
      </c>
      <c r="AO159" t="s">
        <v>3722</v>
      </c>
      <c r="AX159" t="b">
        <v>1</v>
      </c>
      <c r="AZ159" t="b">
        <v>0</v>
      </c>
      <c r="BA159" t="b">
        <v>0</v>
      </c>
      <c r="BB159" t="b">
        <v>1</v>
      </c>
      <c r="BC159" t="b">
        <v>0</v>
      </c>
      <c r="BD159" t="b">
        <v>0</v>
      </c>
      <c r="BE159" t="b">
        <v>1</v>
      </c>
      <c r="BF159" t="b">
        <v>0</v>
      </c>
      <c r="BG159" t="b">
        <v>0</v>
      </c>
      <c r="BH159" s="79" t="str">
        <f>HYPERLINK("https://pbs.twimg.com/profile_banners/1116036842/1741825440")</f>
        <v>https://pbs.twimg.com/profile_banners/1116036842/1741825440</v>
      </c>
      <c r="BJ159" t="s">
        <v>4320</v>
      </c>
      <c r="BK159" t="b">
        <v>0</v>
      </c>
      <c r="BM159" t="s">
        <v>65</v>
      </c>
      <c r="BN159" t="s">
        <v>4322</v>
      </c>
      <c r="BO159" s="79" t="str">
        <f>HYPERLINK("https://twitter.com/alearratiam")</f>
        <v>https://twitter.com/alearratiam</v>
      </c>
      <c r="BP159" s="112" t="str">
        <f>REPLACE(INDEX(GroupVertices[Group], MATCH("~"&amp;Vertices[[#This Row],[Vertex]],GroupVertices[Vertex],0)),1,1,"")</f>
        <v>29</v>
      </c>
      <c r="BQ159" s="2"/>
    </row>
    <row r="160" spans="1:69" x14ac:dyDescent="0.25">
      <c r="A160" s="61" t="s">
        <v>274</v>
      </c>
      <c r="B160" s="62"/>
      <c r="C160" s="62"/>
      <c r="D160" s="63">
        <v>1.5</v>
      </c>
      <c r="E160" s="65"/>
      <c r="F160" s="97" t="str">
        <f>HYPERLINK("https://pbs.twimg.com/profile_images/1649978134597345284/VIYJ7vcm_normal.jpg")</f>
        <v>https://pbs.twimg.com/profile_images/1649978134597345284/VIYJ7vcm_normal.jpg</v>
      </c>
      <c r="G160" s="62"/>
      <c r="H160" s="66"/>
      <c r="I160" s="67"/>
      <c r="J160" s="67"/>
      <c r="K160" s="66" t="s">
        <v>4429</v>
      </c>
      <c r="L160" s="70"/>
      <c r="M160" s="71">
        <v>9230.7431640625</v>
      </c>
      <c r="N160" s="71">
        <v>5560.19921875</v>
      </c>
      <c r="O160" s="72"/>
      <c r="P160" s="73"/>
      <c r="Q160" s="73"/>
      <c r="R160" s="81"/>
      <c r="S160" s="45">
        <v>0</v>
      </c>
      <c r="T160" s="45">
        <v>1</v>
      </c>
      <c r="U160" s="46">
        <v>0</v>
      </c>
      <c r="V160" s="46">
        <v>8.9449999999999998E-3</v>
      </c>
      <c r="W160" s="47"/>
      <c r="X160" s="47"/>
      <c r="Y160" s="47"/>
      <c r="Z160" s="46"/>
      <c r="AA160" s="68">
        <v>160</v>
      </c>
      <c r="AB160"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60" s="69"/>
      <c r="AD160" t="s">
        <v>2790</v>
      </c>
      <c r="AE160" s="77" t="s">
        <v>3198</v>
      </c>
      <c r="AF160">
        <v>291</v>
      </c>
      <c r="AG160">
        <v>356</v>
      </c>
      <c r="AH160">
        <v>23648</v>
      </c>
      <c r="AI160">
        <v>3</v>
      </c>
      <c r="AJ160">
        <v>79640</v>
      </c>
      <c r="AK160">
        <v>504</v>
      </c>
      <c r="AL160" t="b">
        <v>0</v>
      </c>
      <c r="AM160" s="76">
        <v>40934.718009259261</v>
      </c>
      <c r="AN160" t="s">
        <v>3451</v>
      </c>
      <c r="AO160" t="s">
        <v>3724</v>
      </c>
      <c r="AV160">
        <v>1.7538215321140201E+18</v>
      </c>
      <c r="AX160" t="b">
        <v>0</v>
      </c>
      <c r="BA160" t="b">
        <v>0</v>
      </c>
      <c r="BB160" t="b">
        <v>1</v>
      </c>
      <c r="BC160" t="b">
        <v>1</v>
      </c>
      <c r="BD160" t="b">
        <v>0</v>
      </c>
      <c r="BE160" t="b">
        <v>1</v>
      </c>
      <c r="BF160" t="b">
        <v>0</v>
      </c>
      <c r="BG160" t="b">
        <v>0</v>
      </c>
      <c r="BH160" s="79" t="str">
        <f>HYPERLINK("https://pbs.twimg.com/profile_banners/475071898/1682222375")</f>
        <v>https://pbs.twimg.com/profile_banners/475071898/1682222375</v>
      </c>
      <c r="BJ160" t="s">
        <v>4320</v>
      </c>
      <c r="BK160" t="b">
        <v>0</v>
      </c>
      <c r="BM160" t="s">
        <v>66</v>
      </c>
      <c r="BN160" t="s">
        <v>4322</v>
      </c>
      <c r="BO160" s="79" t="str">
        <f>HYPERLINK("https://twitter.com/shoffy_vf")</f>
        <v>https://twitter.com/shoffy_vf</v>
      </c>
      <c r="BP160" s="112" t="str">
        <f>REPLACE(INDEX(GroupVertices[Group], MATCH("~"&amp;Vertices[[#This Row],[Vertex]],GroupVertices[Vertex],0)),1,1,"")</f>
        <v>7</v>
      </c>
      <c r="BQ160" s="2"/>
    </row>
    <row r="161" spans="1:69" x14ac:dyDescent="0.25">
      <c r="A161" s="61" t="s">
        <v>275</v>
      </c>
      <c r="B161" s="62"/>
      <c r="C161" s="62"/>
      <c r="D161" s="63">
        <v>1.5</v>
      </c>
      <c r="E161" s="65"/>
      <c r="F161" s="97" t="str">
        <f>HYPERLINK("https://pbs.twimg.com/profile_images/1753494120054562816/CtxZI_zW_normal.jpg")</f>
        <v>https://pbs.twimg.com/profile_images/1753494120054562816/CtxZI_zW_normal.jpg</v>
      </c>
      <c r="G161" s="62"/>
      <c r="H161" s="66"/>
      <c r="I161" s="67"/>
      <c r="J161" s="67"/>
      <c r="K161" s="66" t="s">
        <v>4430</v>
      </c>
      <c r="L161" s="70"/>
      <c r="M161" s="71">
        <v>1802.215576171875</v>
      </c>
      <c r="N161" s="71">
        <v>2069.31689453125</v>
      </c>
      <c r="O161" s="72"/>
      <c r="P161" s="73"/>
      <c r="Q161" s="73"/>
      <c r="R161" s="81"/>
      <c r="S161" s="45">
        <v>1</v>
      </c>
      <c r="T161" s="45">
        <v>1</v>
      </c>
      <c r="U161" s="46">
        <v>0</v>
      </c>
      <c r="V161" s="46">
        <v>0</v>
      </c>
      <c r="W161" s="47"/>
      <c r="X161" s="47"/>
      <c r="Y161" s="47"/>
      <c r="Z161" s="46"/>
      <c r="AA161" s="68">
        <v>161</v>
      </c>
      <c r="AB161"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61" s="69"/>
      <c r="AD161" t="s">
        <v>2791</v>
      </c>
      <c r="AE161" s="77" t="s">
        <v>2558</v>
      </c>
      <c r="AF161">
        <v>792</v>
      </c>
      <c r="AG161">
        <v>215</v>
      </c>
      <c r="AH161">
        <v>22280</v>
      </c>
      <c r="AI161">
        <v>1</v>
      </c>
      <c r="AJ161">
        <v>30672</v>
      </c>
      <c r="AK161">
        <v>2842</v>
      </c>
      <c r="AL161" t="b">
        <v>0</v>
      </c>
      <c r="AM161" s="76">
        <v>43909.690300925926</v>
      </c>
      <c r="AO161" t="s">
        <v>3725</v>
      </c>
      <c r="AX161" t="b">
        <v>0</v>
      </c>
      <c r="BA161" t="b">
        <v>0</v>
      </c>
      <c r="BB161" t="b">
        <v>0</v>
      </c>
      <c r="BC161" t="b">
        <v>1</v>
      </c>
      <c r="BD161" t="b">
        <v>0</v>
      </c>
      <c r="BE161" t="b">
        <v>1</v>
      </c>
      <c r="BF161" t="b">
        <v>0</v>
      </c>
      <c r="BG161" t="b">
        <v>0</v>
      </c>
      <c r="BH161" s="79" t="str">
        <f>HYPERLINK("https://pbs.twimg.com/profile_banners/1240677877441540096/1741641001")</f>
        <v>https://pbs.twimg.com/profile_banners/1240677877441540096/1741641001</v>
      </c>
      <c r="BJ161" t="s">
        <v>4320</v>
      </c>
      <c r="BK161" t="b">
        <v>0</v>
      </c>
      <c r="BM161" t="s">
        <v>66</v>
      </c>
      <c r="BN161" t="s">
        <v>4322</v>
      </c>
      <c r="BO161" s="79" t="str">
        <f>HYPERLINK("https://twitter.com/patri86381")</f>
        <v>https://twitter.com/patri86381</v>
      </c>
      <c r="BP161" s="112" t="str">
        <f>REPLACE(INDEX(GroupVertices[Group], MATCH("~"&amp;Vertices[[#This Row],[Vertex]],GroupVertices[Vertex],0)),1,1,"")</f>
        <v>161</v>
      </c>
      <c r="BQ161" s="2"/>
    </row>
    <row r="162" spans="1:69" x14ac:dyDescent="0.25">
      <c r="A162" s="61" t="s">
        <v>277</v>
      </c>
      <c r="B162" s="62"/>
      <c r="C162" s="62"/>
      <c r="D162" s="63">
        <v>1.5</v>
      </c>
      <c r="E162" s="65"/>
      <c r="F162" s="97" t="str">
        <f>HYPERLINK("https://pbs.twimg.com/profile_images/1850971815763394561/WNAOVJHf_normal.jpg")</f>
        <v>https://pbs.twimg.com/profile_images/1850971815763394561/WNAOVJHf_normal.jpg</v>
      </c>
      <c r="G162" s="62"/>
      <c r="H162" s="66"/>
      <c r="I162" s="67"/>
      <c r="J162" s="67"/>
      <c r="K162" s="66" t="s">
        <v>4434</v>
      </c>
      <c r="L162" s="70"/>
      <c r="M162" s="71">
        <v>5160.80078125</v>
      </c>
      <c r="N162" s="71">
        <v>9375.048828125</v>
      </c>
      <c r="O162" s="72"/>
      <c r="P162" s="73"/>
      <c r="Q162" s="73"/>
      <c r="R162" s="81"/>
      <c r="S162" s="45">
        <v>1</v>
      </c>
      <c r="T162" s="45">
        <v>1</v>
      </c>
      <c r="U162" s="46">
        <v>0</v>
      </c>
      <c r="V162" s="46">
        <v>0</v>
      </c>
      <c r="W162" s="47"/>
      <c r="X162" s="47"/>
      <c r="Y162" s="47"/>
      <c r="Z162" s="46"/>
      <c r="AA162" s="68">
        <v>162</v>
      </c>
      <c r="AB162"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62" s="69"/>
      <c r="AD162" t="s">
        <v>2795</v>
      </c>
      <c r="AE162" s="77" t="s">
        <v>3200</v>
      </c>
      <c r="AF162">
        <v>2265228</v>
      </c>
      <c r="AG162">
        <v>201138</v>
      </c>
      <c r="AH162">
        <v>1236756</v>
      </c>
      <c r="AI162">
        <v>7048</v>
      </c>
      <c r="AJ162">
        <v>23</v>
      </c>
      <c r="AK162">
        <v>824769</v>
      </c>
      <c r="AL162" t="b">
        <v>0</v>
      </c>
      <c r="AM162" s="76">
        <v>39174.640439814815</v>
      </c>
      <c r="AN162" t="s">
        <v>3410</v>
      </c>
      <c r="AO162" t="s">
        <v>3729</v>
      </c>
      <c r="AP162" s="79" t="str">
        <f>HYPERLINK("https://t.co/DM9Jj6Uhlo")</f>
        <v>https://t.co/DM9Jj6Uhlo</v>
      </c>
      <c r="AQ162" s="79" t="str">
        <f>HYPERLINK("http://www.latercera.com")</f>
        <v>http://www.latercera.com</v>
      </c>
      <c r="AR162" t="s">
        <v>1145</v>
      </c>
      <c r="AS162" t="s">
        <v>4240</v>
      </c>
      <c r="AT162" t="s">
        <v>4253</v>
      </c>
      <c r="AU162" t="s">
        <v>4278</v>
      </c>
      <c r="AW162" s="79" t="str">
        <f>HYPERLINK("https://t.co/DM9Jj6Uhlo")</f>
        <v>https://t.co/DM9Jj6Uhlo</v>
      </c>
      <c r="AX162" t="b">
        <v>1</v>
      </c>
      <c r="AZ162" t="b">
        <v>1</v>
      </c>
      <c r="BA162" t="b">
        <v>0</v>
      </c>
      <c r="BB162" t="b">
        <v>0</v>
      </c>
      <c r="BC162" t="b">
        <v>0</v>
      </c>
      <c r="BD162" t="b">
        <v>0</v>
      </c>
      <c r="BE162" t="b">
        <v>1</v>
      </c>
      <c r="BF162" t="b">
        <v>0</v>
      </c>
      <c r="BG162" t="b">
        <v>0</v>
      </c>
      <c r="BH162" s="79" t="str">
        <f>HYPERLINK("https://pbs.twimg.com/profile_banners/3222731/1716395475")</f>
        <v>https://pbs.twimg.com/profile_banners/3222731/1716395475</v>
      </c>
      <c r="BJ162" t="s">
        <v>4320</v>
      </c>
      <c r="BK162" t="b">
        <v>1</v>
      </c>
      <c r="BM162" t="s">
        <v>66</v>
      </c>
      <c r="BN162" t="s">
        <v>4322</v>
      </c>
      <c r="BO162" s="79" t="str">
        <f>HYPERLINK("https://twitter.com/latercera")</f>
        <v>https://twitter.com/latercera</v>
      </c>
      <c r="BP162" s="112" t="str">
        <f>REPLACE(INDEX(GroupVertices[Group], MATCH("~"&amp;Vertices[[#This Row],[Vertex]],GroupVertices[Vertex],0)),1,1,"")</f>
        <v>206</v>
      </c>
      <c r="BQ162" s="2"/>
    </row>
    <row r="163" spans="1:69" x14ac:dyDescent="0.25">
      <c r="A163" s="61" t="s">
        <v>278</v>
      </c>
      <c r="B163" s="62"/>
      <c r="C163" s="62"/>
      <c r="D163" s="63">
        <v>1.5</v>
      </c>
      <c r="E163" s="65"/>
      <c r="F163" s="97" t="str">
        <f>HYPERLINK("https://pbs.twimg.com/profile_images/477659492587278337/OjBEBRZw_normal.jpeg")</f>
        <v>https://pbs.twimg.com/profile_images/477659492587278337/OjBEBRZw_normal.jpeg</v>
      </c>
      <c r="G163" s="62"/>
      <c r="H163" s="66"/>
      <c r="I163" s="67"/>
      <c r="J163" s="67"/>
      <c r="K163" s="66" t="s">
        <v>4435</v>
      </c>
      <c r="L163" s="70"/>
      <c r="M163" s="71">
        <v>3265.701416015625</v>
      </c>
      <c r="N163" s="71">
        <v>7323.54833984375</v>
      </c>
      <c r="O163" s="72"/>
      <c r="P163" s="73"/>
      <c r="Q163" s="73"/>
      <c r="R163" s="81"/>
      <c r="S163" s="45">
        <v>0</v>
      </c>
      <c r="T163" s="45">
        <v>1</v>
      </c>
      <c r="U163" s="46">
        <v>0</v>
      </c>
      <c r="V163" s="46">
        <v>1.1611E-2</v>
      </c>
      <c r="W163" s="47"/>
      <c r="X163" s="47"/>
      <c r="Y163" s="47"/>
      <c r="Z163" s="46"/>
      <c r="AA163" s="68">
        <v>163</v>
      </c>
      <c r="AB163"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63" s="69"/>
      <c r="AD163" t="s">
        <v>2796</v>
      </c>
      <c r="AE163" s="77" t="s">
        <v>3201</v>
      </c>
      <c r="AF163">
        <v>12253</v>
      </c>
      <c r="AG163">
        <v>11420</v>
      </c>
      <c r="AH163">
        <v>504036</v>
      </c>
      <c r="AI163">
        <v>331</v>
      </c>
      <c r="AJ163">
        <v>8534</v>
      </c>
      <c r="AK163">
        <v>6054</v>
      </c>
      <c r="AL163" t="b">
        <v>0</v>
      </c>
      <c r="AM163" s="76">
        <v>40449.095046296294</v>
      </c>
      <c r="AN163" t="s">
        <v>3454</v>
      </c>
      <c r="AX163" t="b">
        <v>1</v>
      </c>
      <c r="BA163" t="b">
        <v>0</v>
      </c>
      <c r="BB163" t="b">
        <v>1</v>
      </c>
      <c r="BC163" t="b">
        <v>1</v>
      </c>
      <c r="BD163" t="b">
        <v>0</v>
      </c>
      <c r="BE163" t="b">
        <v>1</v>
      </c>
      <c r="BF163" t="b">
        <v>0</v>
      </c>
      <c r="BG163" t="b">
        <v>0</v>
      </c>
      <c r="BJ163" t="s">
        <v>4320</v>
      </c>
      <c r="BK163" t="b">
        <v>0</v>
      </c>
      <c r="BM163" t="s">
        <v>66</v>
      </c>
      <c r="BN163" t="s">
        <v>4322</v>
      </c>
      <c r="BO163" s="79" t="str">
        <f>HYPERLINK("https://twitter.com/benignopf")</f>
        <v>https://twitter.com/benignopf</v>
      </c>
      <c r="BP163" s="112" t="str">
        <f>REPLACE(INDEX(GroupVertices[Group], MATCH("~"&amp;Vertices[[#This Row],[Vertex]],GroupVertices[Vertex],0)),1,1,"")</f>
        <v>4</v>
      </c>
      <c r="BQ163" s="2"/>
    </row>
    <row r="164" spans="1:69" x14ac:dyDescent="0.25">
      <c r="A164" s="61" t="s">
        <v>279</v>
      </c>
      <c r="B164" s="62"/>
      <c r="C164" s="62"/>
      <c r="D164" s="63">
        <v>1.5</v>
      </c>
      <c r="E164" s="65"/>
      <c r="F164" s="97" t="str">
        <f>HYPERLINK("https://pbs.twimg.com/profile_images/1844719183910613006/Sjln39lc_normal.jpg")</f>
        <v>https://pbs.twimg.com/profile_images/1844719183910613006/Sjln39lc_normal.jpg</v>
      </c>
      <c r="G164" s="62"/>
      <c r="H164" s="66"/>
      <c r="I164" s="67"/>
      <c r="J164" s="67"/>
      <c r="K164" s="66" t="s">
        <v>4436</v>
      </c>
      <c r="L164" s="70"/>
      <c r="M164" s="71">
        <v>6977.4375</v>
      </c>
      <c r="N164" s="71">
        <v>2262.682373046875</v>
      </c>
      <c r="O164" s="72"/>
      <c r="P164" s="73"/>
      <c r="Q164" s="73"/>
      <c r="R164" s="81"/>
      <c r="S164" s="45">
        <v>2</v>
      </c>
      <c r="T164" s="45">
        <v>1</v>
      </c>
      <c r="U164" s="46">
        <v>0</v>
      </c>
      <c r="V164" s="46">
        <v>2.0960000000000002E-3</v>
      </c>
      <c r="W164" s="47"/>
      <c r="X164" s="47"/>
      <c r="Y164" s="47"/>
      <c r="Z164" s="46"/>
      <c r="AA164" s="68">
        <v>164</v>
      </c>
      <c r="AB164"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64" s="69"/>
      <c r="AD164" t="s">
        <v>2797</v>
      </c>
      <c r="AE164" s="77" t="s">
        <v>2404</v>
      </c>
      <c r="AF164">
        <v>34522</v>
      </c>
      <c r="AG164">
        <v>964</v>
      </c>
      <c r="AH164">
        <v>59330</v>
      </c>
      <c r="AI164">
        <v>42</v>
      </c>
      <c r="AJ164">
        <v>99580</v>
      </c>
      <c r="AK164">
        <v>4853</v>
      </c>
      <c r="AL164" t="b">
        <v>0</v>
      </c>
      <c r="AM164" s="76">
        <v>44348.760983796295</v>
      </c>
      <c r="AN164" t="s">
        <v>3455</v>
      </c>
      <c r="AO164" t="s">
        <v>3730</v>
      </c>
      <c r="AP164" s="79" t="str">
        <f>HYPERLINK("https://t.co/YWaRc9I1ir")</f>
        <v>https://t.co/YWaRc9I1ir</v>
      </c>
      <c r="AQ164" s="79" t="str">
        <f>HYPERLINK("https://linktr.ee/albammmedina")</f>
        <v>https://linktr.ee/albammmedina</v>
      </c>
      <c r="AR164" t="s">
        <v>4096</v>
      </c>
      <c r="AV164">
        <v>1.9298506347039501E+18</v>
      </c>
      <c r="AW164" s="79" t="str">
        <f>HYPERLINK("https://t.co/YWaRc9I1ir")</f>
        <v>https://t.co/YWaRc9I1ir</v>
      </c>
      <c r="AX164" t="b">
        <v>1</v>
      </c>
      <c r="BA164" t="b">
        <v>1</v>
      </c>
      <c r="BB164" t="b">
        <v>0</v>
      </c>
      <c r="BC164" t="b">
        <v>1</v>
      </c>
      <c r="BD164" t="b">
        <v>0</v>
      </c>
      <c r="BE164" t="b">
        <v>1</v>
      </c>
      <c r="BF164" t="b">
        <v>0</v>
      </c>
      <c r="BG164" t="b">
        <v>0</v>
      </c>
      <c r="BH164" s="79" t="str">
        <f>HYPERLINK("https://pbs.twimg.com/profile_banners/1399791662906449920/1748951555")</f>
        <v>https://pbs.twimg.com/profile_banners/1399791662906449920/1748951555</v>
      </c>
      <c r="BJ164" t="s">
        <v>4320</v>
      </c>
      <c r="BK164" t="b">
        <v>0</v>
      </c>
      <c r="BM164" t="s">
        <v>66</v>
      </c>
      <c r="BN164" t="s">
        <v>4322</v>
      </c>
      <c r="BO164" s="79" t="str">
        <f>HYPERLINK("https://twitter.com/albammmedina")</f>
        <v>https://twitter.com/albammmedina</v>
      </c>
      <c r="BP164" s="112" t="str">
        <f>REPLACE(INDEX(GroupVertices[Group], MATCH("~"&amp;Vertices[[#This Row],[Vertex]],GroupVertices[Vertex],0)),1,1,"")</f>
        <v>102</v>
      </c>
      <c r="BQ164" s="2"/>
    </row>
    <row r="165" spans="1:69" x14ac:dyDescent="0.25">
      <c r="A165" s="61" t="s">
        <v>280</v>
      </c>
      <c r="B165" s="62"/>
      <c r="C165" s="62"/>
      <c r="D165" s="63">
        <v>1.5</v>
      </c>
      <c r="E165" s="65"/>
      <c r="F165" s="97" t="str">
        <f>HYPERLINK("https://pbs.twimg.com/profile_images/1311219771732615168/k51jmXHo_normal.jpg")</f>
        <v>https://pbs.twimg.com/profile_images/1311219771732615168/k51jmXHo_normal.jpg</v>
      </c>
      <c r="G165" s="62"/>
      <c r="H165" s="66"/>
      <c r="I165" s="67"/>
      <c r="J165" s="67"/>
      <c r="K165" s="66" t="s">
        <v>4437</v>
      </c>
      <c r="L165" s="70"/>
      <c r="M165" s="71">
        <v>8592.625</v>
      </c>
      <c r="N165" s="71">
        <v>3710.351318359375</v>
      </c>
      <c r="O165" s="72"/>
      <c r="P165" s="73"/>
      <c r="Q165" s="73"/>
      <c r="R165" s="81"/>
      <c r="S165" s="45">
        <v>0</v>
      </c>
      <c r="T165" s="45">
        <v>1</v>
      </c>
      <c r="U165" s="46">
        <v>0</v>
      </c>
      <c r="V165" s="46">
        <v>2.0960000000000002E-3</v>
      </c>
      <c r="W165" s="47"/>
      <c r="X165" s="47"/>
      <c r="Y165" s="47"/>
      <c r="Z165" s="46"/>
      <c r="AA165" s="68">
        <v>165</v>
      </c>
      <c r="AB165"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65" s="69"/>
      <c r="AD165" t="s">
        <v>2798</v>
      </c>
      <c r="AE165" s="77" t="s">
        <v>2560</v>
      </c>
      <c r="AF165">
        <v>26</v>
      </c>
      <c r="AG165">
        <v>194</v>
      </c>
      <c r="AH165">
        <v>636</v>
      </c>
      <c r="AI165">
        <v>0</v>
      </c>
      <c r="AJ165">
        <v>557</v>
      </c>
      <c r="AK165">
        <v>97</v>
      </c>
      <c r="AL165" t="b">
        <v>0</v>
      </c>
      <c r="AM165" s="76">
        <v>44099.53392361111</v>
      </c>
      <c r="AN165" t="s">
        <v>3456</v>
      </c>
      <c r="AO165" t="s">
        <v>3731</v>
      </c>
      <c r="AX165" t="b">
        <v>0</v>
      </c>
      <c r="BA165" t="b">
        <v>0</v>
      </c>
      <c r="BB165" t="b">
        <v>1</v>
      </c>
      <c r="BC165" t="b">
        <v>1</v>
      </c>
      <c r="BD165" t="b">
        <v>0</v>
      </c>
      <c r="BE165" t="b">
        <v>0</v>
      </c>
      <c r="BF165" t="b">
        <v>0</v>
      </c>
      <c r="BG165" t="b">
        <v>0</v>
      </c>
      <c r="BH165" s="79" t="str">
        <f>HYPERLINK("https://pbs.twimg.com/profile_banners/1309474908854980608/1601454155")</f>
        <v>https://pbs.twimg.com/profile_banners/1309474908854980608/1601454155</v>
      </c>
      <c r="BJ165" t="s">
        <v>4320</v>
      </c>
      <c r="BK165" t="b">
        <v>0</v>
      </c>
      <c r="BM165" t="s">
        <v>66</v>
      </c>
      <c r="BN165" t="s">
        <v>4322</v>
      </c>
      <c r="BO165" s="79" t="str">
        <f>HYPERLINK("https://twitter.com/alfonsocc98")</f>
        <v>https://twitter.com/alfonsocc98</v>
      </c>
      <c r="BP165" s="112" t="str">
        <f>REPLACE(INDEX(GroupVertices[Group], MATCH("~"&amp;Vertices[[#This Row],[Vertex]],GroupVertices[Vertex],0)),1,1,"")</f>
        <v>102</v>
      </c>
      <c r="BQ165" s="2"/>
    </row>
    <row r="166" spans="1:69" x14ac:dyDescent="0.25">
      <c r="A166" s="61" t="s">
        <v>281</v>
      </c>
      <c r="B166" s="62"/>
      <c r="C166" s="62"/>
      <c r="D166" s="63">
        <v>1.5</v>
      </c>
      <c r="E166" s="65"/>
      <c r="F166" s="97" t="str">
        <f>HYPERLINK("https://pbs.twimg.com/profile_images/1148245378996813825/5fifZtEj_normal.png")</f>
        <v>https://pbs.twimg.com/profile_images/1148245378996813825/5fifZtEj_normal.png</v>
      </c>
      <c r="G166" s="62"/>
      <c r="H166" s="66"/>
      <c r="I166" s="67"/>
      <c r="J166" s="67"/>
      <c r="K166" s="66" t="s">
        <v>4438</v>
      </c>
      <c r="L166" s="70"/>
      <c r="M166" s="71">
        <v>6603.0556640625</v>
      </c>
      <c r="N166" s="71">
        <v>9743.3818359375</v>
      </c>
      <c r="O166" s="72"/>
      <c r="P166" s="73"/>
      <c r="Q166" s="73"/>
      <c r="R166" s="81"/>
      <c r="S166" s="45">
        <v>1</v>
      </c>
      <c r="T166" s="45">
        <v>1</v>
      </c>
      <c r="U166" s="46">
        <v>0</v>
      </c>
      <c r="V166" s="46">
        <v>0</v>
      </c>
      <c r="W166" s="47"/>
      <c r="X166" s="47"/>
      <c r="Y166" s="47"/>
      <c r="Z166" s="46"/>
      <c r="AA166" s="68">
        <v>166</v>
      </c>
      <c r="AB166"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66" s="69"/>
      <c r="AD166" t="s">
        <v>2799</v>
      </c>
      <c r="AE166" s="77" t="s">
        <v>3202</v>
      </c>
      <c r="AF166">
        <v>4201544</v>
      </c>
      <c r="AG166">
        <v>1765</v>
      </c>
      <c r="AH166">
        <v>734744</v>
      </c>
      <c r="AI166">
        <v>3050</v>
      </c>
      <c r="AJ166">
        <v>1763</v>
      </c>
      <c r="AK166">
        <v>290676</v>
      </c>
      <c r="AL166" t="b">
        <v>0</v>
      </c>
      <c r="AM166" s="76">
        <v>40012.932986111111</v>
      </c>
      <c r="AN166" t="s">
        <v>3400</v>
      </c>
      <c r="AO166" t="s">
        <v>3732</v>
      </c>
      <c r="AP166" s="79" t="str">
        <f>HYPERLINK("https://t.co/Bqs3wIRGzF")</f>
        <v>https://t.co/Bqs3wIRGzF</v>
      </c>
      <c r="AQ166" s="79" t="str">
        <f>HYPERLINK("http://www.meganoticias.cl")</f>
        <v>http://www.meganoticias.cl</v>
      </c>
      <c r="AR166" t="s">
        <v>1146</v>
      </c>
      <c r="AS166" s="79" t="str">
        <f>HYPERLINK("https://t.co/PTo5rIBCJR")</f>
        <v>https://t.co/PTo5rIBCJR</v>
      </c>
      <c r="AT166" s="79" t="str">
        <f>HYPERLINK("http://Meganoticias.cl")</f>
        <v>http://Meganoticias.cl</v>
      </c>
      <c r="AU166" t="s">
        <v>4279</v>
      </c>
      <c r="AW166" s="79" t="str">
        <f>HYPERLINK("https://t.co/Bqs3wIRGzF")</f>
        <v>https://t.co/Bqs3wIRGzF</v>
      </c>
      <c r="AX166" t="b">
        <v>1</v>
      </c>
      <c r="AZ166" t="b">
        <v>1</v>
      </c>
      <c r="BA166" t="b">
        <v>1</v>
      </c>
      <c r="BB166" t="b">
        <v>1</v>
      </c>
      <c r="BC166" t="b">
        <v>0</v>
      </c>
      <c r="BD166" t="b">
        <v>0</v>
      </c>
      <c r="BE166" t="b">
        <v>1</v>
      </c>
      <c r="BF166" t="b">
        <v>0</v>
      </c>
      <c r="BG166" t="b">
        <v>0</v>
      </c>
      <c r="BH166" s="79" t="str">
        <f>HYPERLINK("https://pbs.twimg.com/profile_banners/58048133/1594330482")</f>
        <v>https://pbs.twimg.com/profile_banners/58048133/1594330482</v>
      </c>
      <c r="BJ166" t="s">
        <v>4321</v>
      </c>
      <c r="BK166" t="b">
        <v>1</v>
      </c>
      <c r="BM166" t="s">
        <v>66</v>
      </c>
      <c r="BN166" t="s">
        <v>4322</v>
      </c>
      <c r="BO166" s="79" t="str">
        <f>HYPERLINK("https://twitter.com/meganoticiascl")</f>
        <v>https://twitter.com/meganoticiascl</v>
      </c>
      <c r="BP166" s="112" t="str">
        <f>REPLACE(INDEX(GroupVertices[Group], MATCH("~"&amp;Vertices[[#This Row],[Vertex]],GroupVertices[Vertex],0)),1,1,"")</f>
        <v>212</v>
      </c>
      <c r="BQ166" s="2"/>
    </row>
    <row r="167" spans="1:69" x14ac:dyDescent="0.25">
      <c r="A167" s="61" t="s">
        <v>282</v>
      </c>
      <c r="B167" s="62"/>
      <c r="C167" s="62"/>
      <c r="D167" s="63">
        <v>1.5</v>
      </c>
      <c r="E167" s="65"/>
      <c r="F167" s="97" t="str">
        <f>HYPERLINK("https://pbs.twimg.com/profile_images/1797595979908009984/MTvs9JZN_normal.jpg")</f>
        <v>https://pbs.twimg.com/profile_images/1797595979908009984/MTvs9JZN_normal.jpg</v>
      </c>
      <c r="G167" s="62"/>
      <c r="H167" s="66"/>
      <c r="I167" s="67"/>
      <c r="J167" s="67"/>
      <c r="K167" s="66" t="s">
        <v>4439</v>
      </c>
      <c r="L167" s="70"/>
      <c r="M167" s="71">
        <v>7356.990234375</v>
      </c>
      <c r="N167" s="71">
        <v>8150.48876953125</v>
      </c>
      <c r="O167" s="72"/>
      <c r="P167" s="73"/>
      <c r="Q167" s="73"/>
      <c r="R167" s="81"/>
      <c r="S167" s="45">
        <v>0</v>
      </c>
      <c r="T167" s="45">
        <v>1</v>
      </c>
      <c r="U167" s="46">
        <v>0</v>
      </c>
      <c r="V167" s="46">
        <v>1.1611E-2</v>
      </c>
      <c r="W167" s="47"/>
      <c r="X167" s="47"/>
      <c r="Y167" s="47"/>
      <c r="Z167" s="46"/>
      <c r="AA167" s="68">
        <v>167</v>
      </c>
      <c r="AB167"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67" s="69"/>
      <c r="AD167" t="s">
        <v>2800</v>
      </c>
      <c r="AE167" s="77" t="s">
        <v>2561</v>
      </c>
      <c r="AF167">
        <v>4252</v>
      </c>
      <c r="AG167">
        <v>4447</v>
      </c>
      <c r="AH167">
        <v>196894</v>
      </c>
      <c r="AI167">
        <v>5</v>
      </c>
      <c r="AJ167">
        <v>127825</v>
      </c>
      <c r="AK167">
        <v>3094</v>
      </c>
      <c r="AL167" t="b">
        <v>0</v>
      </c>
      <c r="AM167" s="76">
        <v>42842.760289351849</v>
      </c>
      <c r="AN167" t="s">
        <v>3457</v>
      </c>
      <c r="AO167" t="s">
        <v>3733</v>
      </c>
      <c r="AV167">
        <v>1.6027276171778299E+18</v>
      </c>
      <c r="AX167" t="b">
        <v>0</v>
      </c>
      <c r="BA167" t="b">
        <v>1</v>
      </c>
      <c r="BB167" t="b">
        <v>0</v>
      </c>
      <c r="BC167" t="b">
        <v>1</v>
      </c>
      <c r="BD167" t="b">
        <v>0</v>
      </c>
      <c r="BE167" t="b">
        <v>1</v>
      </c>
      <c r="BF167" t="b">
        <v>0</v>
      </c>
      <c r="BG167" t="b">
        <v>0</v>
      </c>
      <c r="BH167" s="79" t="str">
        <f>HYPERLINK("https://pbs.twimg.com/profile_banners/854035435097649152/1717452432")</f>
        <v>https://pbs.twimg.com/profile_banners/854035435097649152/1717452432</v>
      </c>
      <c r="BJ167" t="s">
        <v>4320</v>
      </c>
      <c r="BK167" t="b">
        <v>0</v>
      </c>
      <c r="BM167" t="s">
        <v>66</v>
      </c>
      <c r="BN167" t="s">
        <v>4322</v>
      </c>
      <c r="BO167" s="79" t="str">
        <f>HYPERLINK("https://twitter.com/myriligmez21")</f>
        <v>https://twitter.com/myriligmez21</v>
      </c>
      <c r="BP167" s="112" t="str">
        <f>REPLACE(INDEX(GroupVertices[Group], MATCH("~"&amp;Vertices[[#This Row],[Vertex]],GroupVertices[Vertex],0)),1,1,"")</f>
        <v>4</v>
      </c>
      <c r="BQ167" s="2"/>
    </row>
    <row r="168" spans="1:69" x14ac:dyDescent="0.25">
      <c r="A168" s="61" t="s">
        <v>283</v>
      </c>
      <c r="B168" s="62"/>
      <c r="C168" s="62"/>
      <c r="D168" s="63">
        <v>1.5</v>
      </c>
      <c r="E168" s="65"/>
      <c r="F168" s="97" t="str">
        <f>HYPERLINK("https://pbs.twimg.com/profile_images/1767130512726892544/KfJF5xs1_normal.jpg")</f>
        <v>https://pbs.twimg.com/profile_images/1767130512726892544/KfJF5xs1_normal.jpg</v>
      </c>
      <c r="G168" s="62"/>
      <c r="H168" s="66"/>
      <c r="I168" s="67"/>
      <c r="J168" s="67"/>
      <c r="K168" s="66" t="s">
        <v>4440</v>
      </c>
      <c r="L168" s="70"/>
      <c r="M168" s="71">
        <v>3004.34765625</v>
      </c>
      <c r="N168" s="71">
        <v>847.9847412109375</v>
      </c>
      <c r="O168" s="72"/>
      <c r="P168" s="73"/>
      <c r="Q168" s="73"/>
      <c r="R168" s="81"/>
      <c r="S168" s="45">
        <v>1</v>
      </c>
      <c r="T168" s="45">
        <v>1</v>
      </c>
      <c r="U168" s="46">
        <v>0</v>
      </c>
      <c r="V168" s="46">
        <v>0</v>
      </c>
      <c r="W168" s="47"/>
      <c r="X168" s="47"/>
      <c r="Y168" s="47"/>
      <c r="Z168" s="46"/>
      <c r="AA168" s="68">
        <v>168</v>
      </c>
      <c r="AB168"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68" s="69"/>
      <c r="AD168" t="s">
        <v>2801</v>
      </c>
      <c r="AE168" s="77" t="s">
        <v>3203</v>
      </c>
      <c r="AF168">
        <v>3925</v>
      </c>
      <c r="AG168">
        <v>299</v>
      </c>
      <c r="AH168">
        <v>6732</v>
      </c>
      <c r="AI168">
        <v>23</v>
      </c>
      <c r="AJ168">
        <v>929</v>
      </c>
      <c r="AK168">
        <v>3595</v>
      </c>
      <c r="AL168" t="b">
        <v>0</v>
      </c>
      <c r="AM168" s="76">
        <v>41795.648321759261</v>
      </c>
      <c r="AN168" t="s">
        <v>3458</v>
      </c>
      <c r="AO168" t="s">
        <v>3734</v>
      </c>
      <c r="AP168" s="79" t="str">
        <f>HYPERLINK("https://t.co/9l9Ssb4yAH")</f>
        <v>https://t.co/9l9Ssb4yAH</v>
      </c>
      <c r="AQ168" s="79" t="str">
        <f>HYPERLINK("https://aysen.mineduc.cl/")</f>
        <v>https://aysen.mineduc.cl/</v>
      </c>
      <c r="AR168" t="s">
        <v>4097</v>
      </c>
      <c r="AW168" s="79" t="str">
        <f>HYPERLINK("https://t.co/9l9Ssb4yAH")</f>
        <v>https://t.co/9l9Ssb4yAH</v>
      </c>
      <c r="AX168" t="b">
        <v>0</v>
      </c>
      <c r="BA168" t="b">
        <v>0</v>
      </c>
      <c r="BB168" t="b">
        <v>1</v>
      </c>
      <c r="BC168" t="b">
        <v>1</v>
      </c>
      <c r="BD168" t="b">
        <v>0</v>
      </c>
      <c r="BE168" t="b">
        <v>0</v>
      </c>
      <c r="BF168" t="b">
        <v>0</v>
      </c>
      <c r="BG168" t="b">
        <v>0</v>
      </c>
      <c r="BH168" s="79" t="str">
        <f>HYPERLINK("https://pbs.twimg.com/profile_banners/2548324454/1741723581")</f>
        <v>https://pbs.twimg.com/profile_banners/2548324454/1741723581</v>
      </c>
      <c r="BJ168" t="s">
        <v>4320</v>
      </c>
      <c r="BK168" t="b">
        <v>0</v>
      </c>
      <c r="BM168" t="s">
        <v>66</v>
      </c>
      <c r="BN168" t="s">
        <v>4322</v>
      </c>
      <c r="BO168" s="79" t="str">
        <f>HYPERLINK("https://twitter.com/mineducaysen")</f>
        <v>https://twitter.com/mineducaysen</v>
      </c>
      <c r="BP168" s="112" t="str">
        <f>REPLACE(INDEX(GroupVertices[Group], MATCH("~"&amp;Vertices[[#This Row],[Vertex]],GroupVertices[Vertex],0)),1,1,"")</f>
        <v>187</v>
      </c>
      <c r="BQ168" s="2"/>
    </row>
    <row r="169" spans="1:69" x14ac:dyDescent="0.25">
      <c r="A169" s="61" t="s">
        <v>284</v>
      </c>
      <c r="B169" s="62"/>
      <c r="C169" s="62"/>
      <c r="D169" s="63">
        <v>1.5</v>
      </c>
      <c r="E169" s="65"/>
      <c r="F169" s="97" t="str">
        <f>HYPERLINK("https://pbs.twimg.com/profile_images/1895103228678705152/qiKXdzTB_normal.jpg")</f>
        <v>https://pbs.twimg.com/profile_images/1895103228678705152/qiKXdzTB_normal.jpg</v>
      </c>
      <c r="G169" s="62"/>
      <c r="H169" s="66"/>
      <c r="I169" s="67"/>
      <c r="J169" s="67"/>
      <c r="K169" s="66" t="s">
        <v>4441</v>
      </c>
      <c r="L169" s="70"/>
      <c r="M169" s="71">
        <v>3264.884521484375</v>
      </c>
      <c r="N169" s="71">
        <v>970.32757568359375</v>
      </c>
      <c r="O169" s="72"/>
      <c r="P169" s="73"/>
      <c r="Q169" s="73"/>
      <c r="R169" s="81"/>
      <c r="S169" s="45">
        <v>0</v>
      </c>
      <c r="T169" s="45">
        <v>1</v>
      </c>
      <c r="U169" s="46">
        <v>0</v>
      </c>
      <c r="V169" s="46">
        <v>2.0960000000000002E-3</v>
      </c>
      <c r="W169" s="47"/>
      <c r="X169" s="47"/>
      <c r="Y169" s="47"/>
      <c r="Z169" s="46"/>
      <c r="AA169" s="68">
        <v>169</v>
      </c>
      <c r="AB169"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69" s="69"/>
      <c r="AD169" t="s">
        <v>2802</v>
      </c>
      <c r="AE169" s="77" t="s">
        <v>3204</v>
      </c>
      <c r="AF169">
        <v>11190</v>
      </c>
      <c r="AG169">
        <v>1200</v>
      </c>
      <c r="AH169">
        <v>150187</v>
      </c>
      <c r="AI169">
        <v>199</v>
      </c>
      <c r="AJ169">
        <v>84732</v>
      </c>
      <c r="AK169">
        <v>9293</v>
      </c>
      <c r="AL169" t="b">
        <v>0</v>
      </c>
      <c r="AM169" s="76">
        <v>39856.341817129629</v>
      </c>
      <c r="AN169" t="s">
        <v>3459</v>
      </c>
      <c r="AO169" t="s">
        <v>3735</v>
      </c>
      <c r="AP169" s="79" t="str">
        <f>HYPERLINK("https://t.co/vKvKu6O7q4")</f>
        <v>https://t.co/vKvKu6O7q4</v>
      </c>
      <c r="AQ169" s="79" t="str">
        <f>HYPERLINK("http://eduardovirgala.weebly.com")</f>
        <v>http://eduardovirgala.weebly.com</v>
      </c>
      <c r="AR169" t="s">
        <v>4098</v>
      </c>
      <c r="AV169">
        <v>1.7960957049028401E+18</v>
      </c>
      <c r="AW169" s="79" t="str">
        <f>HYPERLINK("https://t.co/vKvKu6O7q4")</f>
        <v>https://t.co/vKvKu6O7q4</v>
      </c>
      <c r="AX169" t="b">
        <v>0</v>
      </c>
      <c r="BA169" t="b">
        <v>1</v>
      </c>
      <c r="BB169" t="b">
        <v>0</v>
      </c>
      <c r="BC169" t="b">
        <v>0</v>
      </c>
      <c r="BD169" t="b">
        <v>0</v>
      </c>
      <c r="BE169" t="b">
        <v>1</v>
      </c>
      <c r="BF169" t="b">
        <v>0</v>
      </c>
      <c r="BG169" t="b">
        <v>0</v>
      </c>
      <c r="BH169" s="79" t="str">
        <f>HYPERLINK("https://pbs.twimg.com/profile_banners/20661700/1747392238")</f>
        <v>https://pbs.twimg.com/profile_banners/20661700/1747392238</v>
      </c>
      <c r="BJ169" t="s">
        <v>4320</v>
      </c>
      <c r="BK169" t="b">
        <v>0</v>
      </c>
      <c r="BM169" t="s">
        <v>66</v>
      </c>
      <c r="BN169" t="s">
        <v>4322</v>
      </c>
      <c r="BO169" s="79" t="str">
        <f>HYPERLINK("https://twitter.com/eduardovirgala")</f>
        <v>https://twitter.com/eduardovirgala</v>
      </c>
      <c r="BP169" s="112" t="str">
        <f>REPLACE(INDEX(GroupVertices[Group], MATCH("~"&amp;Vertices[[#This Row],[Vertex]],GroupVertices[Vertex],0)),1,1,"")</f>
        <v>104</v>
      </c>
      <c r="BQ169" s="2"/>
    </row>
    <row r="170" spans="1:69" x14ac:dyDescent="0.25">
      <c r="A170" s="61" t="s">
        <v>364</v>
      </c>
      <c r="B170" s="62"/>
      <c r="C170" s="62"/>
      <c r="D170" s="63">
        <v>1.5</v>
      </c>
      <c r="E170" s="65"/>
      <c r="F170" s="97" t="str">
        <f>HYPERLINK("https://pbs.twimg.com/profile_images/1855166772325793792/KmMN0Mad_normal.jpg")</f>
        <v>https://pbs.twimg.com/profile_images/1855166772325793792/KmMN0Mad_normal.jpg</v>
      </c>
      <c r="G170" s="62"/>
      <c r="H170" s="66"/>
      <c r="I170" s="67"/>
      <c r="J170" s="67"/>
      <c r="K170" s="66" t="s">
        <v>4442</v>
      </c>
      <c r="L170" s="70"/>
      <c r="M170" s="71">
        <v>3447.911376953125</v>
      </c>
      <c r="N170" s="71">
        <v>284.5458984375</v>
      </c>
      <c r="O170" s="72"/>
      <c r="P170" s="73"/>
      <c r="Q170" s="73"/>
      <c r="R170" s="81"/>
      <c r="S170" s="45">
        <v>2</v>
      </c>
      <c r="T170" s="45">
        <v>1</v>
      </c>
      <c r="U170" s="46">
        <v>0</v>
      </c>
      <c r="V170" s="46">
        <v>2.0960000000000002E-3</v>
      </c>
      <c r="W170" s="47"/>
      <c r="X170" s="47"/>
      <c r="Y170" s="47"/>
      <c r="Z170" s="46"/>
      <c r="AA170" s="68">
        <v>170</v>
      </c>
      <c r="AB170"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70" s="69"/>
      <c r="AD170" t="s">
        <v>2803</v>
      </c>
      <c r="AE170" s="77" t="s">
        <v>3205</v>
      </c>
      <c r="AF170">
        <v>203436</v>
      </c>
      <c r="AG170">
        <v>469</v>
      </c>
      <c r="AH170">
        <v>508678</v>
      </c>
      <c r="AI170">
        <v>2057</v>
      </c>
      <c r="AJ170">
        <v>51742</v>
      </c>
      <c r="AK170">
        <v>102660</v>
      </c>
      <c r="AL170" t="b">
        <v>0</v>
      </c>
      <c r="AM170" s="76">
        <v>41473.310601851852</v>
      </c>
      <c r="AN170" t="s">
        <v>1769</v>
      </c>
      <c r="AO170" t="s">
        <v>3736</v>
      </c>
      <c r="AP170" s="79" t="str">
        <f>HYPERLINK("https://t.co/YJQxkxJzw9")</f>
        <v>https://t.co/YJQxkxJzw9</v>
      </c>
      <c r="AQ170" s="79" t="str">
        <f>HYPERLINK("https://theobjective.com/")</f>
        <v>https://theobjective.com/</v>
      </c>
      <c r="AR170" t="s">
        <v>1172</v>
      </c>
      <c r="AS170" t="s">
        <v>4241</v>
      </c>
      <c r="AT170" t="s">
        <v>4254</v>
      </c>
      <c r="AU170" t="s">
        <v>4280</v>
      </c>
      <c r="AV170">
        <v>1.9297683159514701E+18</v>
      </c>
      <c r="AW170" s="79" t="str">
        <f>HYPERLINK("https://t.co/YJQxkxJzw9")</f>
        <v>https://t.co/YJQxkxJzw9</v>
      </c>
      <c r="AX170" t="b">
        <v>0</v>
      </c>
      <c r="BA170" t="b">
        <v>1</v>
      </c>
      <c r="BB170" t="b">
        <v>0</v>
      </c>
      <c r="BC170" t="b">
        <v>0</v>
      </c>
      <c r="BD170" t="b">
        <v>0</v>
      </c>
      <c r="BE170" t="b">
        <v>1</v>
      </c>
      <c r="BF170" t="b">
        <v>0</v>
      </c>
      <c r="BG170" t="b">
        <v>0</v>
      </c>
      <c r="BH170" s="79" t="str">
        <f>HYPERLINK("https://pbs.twimg.com/profile_banners/1602818168/1658148991")</f>
        <v>https://pbs.twimg.com/profile_banners/1602818168/1658148991</v>
      </c>
      <c r="BJ170" t="s">
        <v>4321</v>
      </c>
      <c r="BK170" t="b">
        <v>0</v>
      </c>
      <c r="BM170" t="s">
        <v>66</v>
      </c>
      <c r="BN170" t="s">
        <v>4322</v>
      </c>
      <c r="BO170" s="79" t="str">
        <f>HYPERLINK("https://twitter.com/theobjective_es")</f>
        <v>https://twitter.com/theobjective_es</v>
      </c>
      <c r="BP170" s="112" t="str">
        <f>REPLACE(INDEX(GroupVertices[Group], MATCH("~"&amp;Vertices[[#This Row],[Vertex]],GroupVertices[Vertex],0)),1,1,"")</f>
        <v>104</v>
      </c>
      <c r="BQ170" s="2"/>
    </row>
    <row r="171" spans="1:69" x14ac:dyDescent="0.25">
      <c r="A171" s="61" t="s">
        <v>285</v>
      </c>
      <c r="B171" s="62"/>
      <c r="C171" s="62"/>
      <c r="D171" s="63">
        <v>1.5</v>
      </c>
      <c r="E171" s="65"/>
      <c r="F171" s="97" t="str">
        <f>HYPERLINK("https://pbs.twimg.com/profile_images/1585019773217218560/h7RfJXXc_normal.jpg")</f>
        <v>https://pbs.twimg.com/profile_images/1585019773217218560/h7RfJXXc_normal.jpg</v>
      </c>
      <c r="G171" s="62"/>
      <c r="H171" s="66"/>
      <c r="I171" s="67"/>
      <c r="J171" s="67"/>
      <c r="K171" s="66" t="s">
        <v>4443</v>
      </c>
      <c r="L171" s="70"/>
      <c r="M171" s="71">
        <v>2907.496337890625</v>
      </c>
      <c r="N171" s="71">
        <v>1988.4991455078125</v>
      </c>
      <c r="O171" s="72"/>
      <c r="P171" s="73"/>
      <c r="Q171" s="73"/>
      <c r="R171" s="81"/>
      <c r="S171" s="45">
        <v>0</v>
      </c>
      <c r="T171" s="45">
        <v>1</v>
      </c>
      <c r="U171" s="46">
        <v>0</v>
      </c>
      <c r="V171" s="46">
        <v>2.0960000000000002E-3</v>
      </c>
      <c r="W171" s="47"/>
      <c r="X171" s="47"/>
      <c r="Y171" s="47"/>
      <c r="Z171" s="46"/>
      <c r="AA171" s="68">
        <v>171</v>
      </c>
      <c r="AB171"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71" s="69"/>
      <c r="AD171" t="s">
        <v>2804</v>
      </c>
      <c r="AE171" s="77" t="s">
        <v>3206</v>
      </c>
      <c r="AF171">
        <v>77</v>
      </c>
      <c r="AG171">
        <v>107</v>
      </c>
      <c r="AH171">
        <v>3642</v>
      </c>
      <c r="AI171">
        <v>1</v>
      </c>
      <c r="AJ171">
        <v>3390</v>
      </c>
      <c r="AK171">
        <v>23</v>
      </c>
      <c r="AL171" t="b">
        <v>0</v>
      </c>
      <c r="AM171" s="76">
        <v>40316.628530092596</v>
      </c>
      <c r="AN171" t="s">
        <v>3460</v>
      </c>
      <c r="AO171" t="s">
        <v>3737</v>
      </c>
      <c r="AX171" t="b">
        <v>0</v>
      </c>
      <c r="BA171" t="b">
        <v>0</v>
      </c>
      <c r="BB171" t="b">
        <v>1</v>
      </c>
      <c r="BC171" t="b">
        <v>0</v>
      </c>
      <c r="BD171" t="b">
        <v>0</v>
      </c>
      <c r="BE171" t="b">
        <v>0</v>
      </c>
      <c r="BF171" t="b">
        <v>0</v>
      </c>
      <c r="BG171" t="b">
        <v>0</v>
      </c>
      <c r="BH171" s="79" t="str">
        <f>HYPERLINK("https://pbs.twimg.com/profile_banners/145273075/1692146995")</f>
        <v>https://pbs.twimg.com/profile_banners/145273075/1692146995</v>
      </c>
      <c r="BJ171" t="s">
        <v>4320</v>
      </c>
      <c r="BK171" t="b">
        <v>0</v>
      </c>
      <c r="BM171" t="s">
        <v>66</v>
      </c>
      <c r="BN171" t="s">
        <v>4322</v>
      </c>
      <c r="BO171" s="79" t="str">
        <f>HYPERLINK("https://twitter.com/leo_fiorentino")</f>
        <v>https://twitter.com/leo_fiorentino</v>
      </c>
      <c r="BP171" s="112" t="str">
        <f>REPLACE(INDEX(GroupVertices[Group], MATCH("~"&amp;Vertices[[#This Row],[Vertex]],GroupVertices[Vertex],0)),1,1,"")</f>
        <v>51</v>
      </c>
      <c r="BQ171" s="2"/>
    </row>
    <row r="172" spans="1:69" x14ac:dyDescent="0.25">
      <c r="A172" s="61" t="s">
        <v>557</v>
      </c>
      <c r="B172" s="62"/>
      <c r="C172" s="62"/>
      <c r="D172" s="63">
        <v>1.5</v>
      </c>
      <c r="E172" s="65"/>
      <c r="F172" s="97" t="str">
        <f>HYPERLINK("https://pbs.twimg.com/profile_images/505013785652781056/A-o410YZ_normal.jpeg")</f>
        <v>https://pbs.twimg.com/profile_images/505013785652781056/A-o410YZ_normal.jpeg</v>
      </c>
      <c r="G172" s="62"/>
      <c r="H172" s="66"/>
      <c r="I172" s="67"/>
      <c r="J172" s="67"/>
      <c r="K172" s="66" t="s">
        <v>4444</v>
      </c>
      <c r="L172" s="70"/>
      <c r="M172" s="71">
        <v>4816.685546875</v>
      </c>
      <c r="N172" s="71">
        <v>775.05755615234375</v>
      </c>
      <c r="O172" s="72"/>
      <c r="P172" s="73"/>
      <c r="Q172" s="73"/>
      <c r="R172" s="81"/>
      <c r="S172" s="45">
        <v>1</v>
      </c>
      <c r="T172" s="45">
        <v>0</v>
      </c>
      <c r="U172" s="46">
        <v>0</v>
      </c>
      <c r="V172" s="46">
        <v>2.0960000000000002E-3</v>
      </c>
      <c r="W172" s="47"/>
      <c r="X172" s="47"/>
      <c r="Y172" s="47"/>
      <c r="Z172" s="46"/>
      <c r="AA172" s="68">
        <v>172</v>
      </c>
      <c r="AB172"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72" s="69"/>
      <c r="AD172" t="s">
        <v>2805</v>
      </c>
      <c r="AE172" s="77" t="s">
        <v>2405</v>
      </c>
      <c r="AF172">
        <v>11453</v>
      </c>
      <c r="AG172">
        <v>1799</v>
      </c>
      <c r="AH172">
        <v>31790</v>
      </c>
      <c r="AI172">
        <v>23</v>
      </c>
      <c r="AJ172">
        <v>24659</v>
      </c>
      <c r="AK172">
        <v>1588</v>
      </c>
      <c r="AL172" t="b">
        <v>0</v>
      </c>
      <c r="AM172" s="76">
        <v>41836.620405092595</v>
      </c>
      <c r="AN172" t="s">
        <v>3461</v>
      </c>
      <c r="AO172" t="s">
        <v>3738</v>
      </c>
      <c r="AP172" s="79" t="str">
        <f>HYPERLINK("https://t.co/YXYOZNifiv")</f>
        <v>https://t.co/YXYOZNifiv</v>
      </c>
      <c r="AQ172" s="79" t="str">
        <f>HYPERLINK("http://grupoperfil.com.uy")</f>
        <v>http://grupoperfil.com.uy</v>
      </c>
      <c r="AR172" t="s">
        <v>4099</v>
      </c>
      <c r="AS172" s="79" t="str">
        <f>HYPERLINK("https://t.co/G2MLRgxeen")</f>
        <v>https://t.co/G2MLRgxeen</v>
      </c>
      <c r="AT172" s="79" t="str">
        <f>HYPERLINK("http://I.de")</f>
        <v>http://I.de</v>
      </c>
      <c r="AU172" t="s">
        <v>4281</v>
      </c>
      <c r="AW172" s="79" t="str">
        <f>HYPERLINK("https://t.co/YXYOZNifiv")</f>
        <v>https://t.co/YXYOZNifiv</v>
      </c>
      <c r="AX172" t="b">
        <v>1</v>
      </c>
      <c r="AZ172" t="b">
        <v>0</v>
      </c>
      <c r="BA172" t="b">
        <v>0</v>
      </c>
      <c r="BB172" t="b">
        <v>1</v>
      </c>
      <c r="BC172" t="b">
        <v>1</v>
      </c>
      <c r="BD172" t="b">
        <v>0</v>
      </c>
      <c r="BE172" t="b">
        <v>1</v>
      </c>
      <c r="BF172" t="b">
        <v>0</v>
      </c>
      <c r="BG172" t="b">
        <v>0</v>
      </c>
      <c r="BJ172" t="s">
        <v>4320</v>
      </c>
      <c r="BK172" t="b">
        <v>0</v>
      </c>
      <c r="BM172" t="s">
        <v>65</v>
      </c>
      <c r="BN172" t="s">
        <v>4322</v>
      </c>
      <c r="BO172" s="79" t="str">
        <f>HYPERLINK("https://twitter.com/selvaandreoli")</f>
        <v>https://twitter.com/selvaandreoli</v>
      </c>
      <c r="BP172" s="112" t="str">
        <f>REPLACE(INDEX(GroupVertices[Group], MATCH("~"&amp;Vertices[[#This Row],[Vertex]],GroupVertices[Vertex],0)),1,1,"")</f>
        <v>51</v>
      </c>
      <c r="BQ172" s="2"/>
    </row>
    <row r="173" spans="1:69" x14ac:dyDescent="0.25">
      <c r="A173" s="61" t="s">
        <v>286</v>
      </c>
      <c r="B173" s="62"/>
      <c r="C173" s="62"/>
      <c r="D173" s="63">
        <v>1.5</v>
      </c>
      <c r="E173" s="65"/>
      <c r="F173" s="97" t="str">
        <f>HYPERLINK("https://abs.twimg.com/sticky/default_profile_images/default_profile_normal.png")</f>
        <v>https://abs.twimg.com/sticky/default_profile_images/default_profile_normal.png</v>
      </c>
      <c r="G173" s="62"/>
      <c r="H173" s="66"/>
      <c r="I173" s="67"/>
      <c r="J173" s="67"/>
      <c r="K173" s="66" t="s">
        <v>4445</v>
      </c>
      <c r="L173" s="70"/>
      <c r="M173" s="71">
        <v>5681.525390625</v>
      </c>
      <c r="N173" s="71">
        <v>8802.966796875</v>
      </c>
      <c r="O173" s="72"/>
      <c r="P173" s="73"/>
      <c r="Q173" s="73"/>
      <c r="R173" s="81"/>
      <c r="S173" s="45">
        <v>0</v>
      </c>
      <c r="T173" s="45">
        <v>1</v>
      </c>
      <c r="U173" s="46">
        <v>0</v>
      </c>
      <c r="V173" s="46">
        <v>2.0960000000000002E-3</v>
      </c>
      <c r="W173" s="47"/>
      <c r="X173" s="47"/>
      <c r="Y173" s="47"/>
      <c r="Z173" s="46"/>
      <c r="AA173" s="68">
        <v>173</v>
      </c>
      <c r="AB173"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73" s="69"/>
      <c r="AD173" t="s">
        <v>2806</v>
      </c>
      <c r="AE173" s="77" t="s">
        <v>2562</v>
      </c>
      <c r="AF173">
        <v>168</v>
      </c>
      <c r="AG173">
        <v>427</v>
      </c>
      <c r="AH173">
        <v>10294</v>
      </c>
      <c r="AI173">
        <v>0</v>
      </c>
      <c r="AJ173">
        <v>29976</v>
      </c>
      <c r="AK173">
        <v>0</v>
      </c>
      <c r="AL173" t="b">
        <v>0</v>
      </c>
      <c r="AM173" s="76">
        <v>43676.648657407408</v>
      </c>
      <c r="AO173" t="s">
        <v>3739</v>
      </c>
      <c r="AX173" t="b">
        <v>0</v>
      </c>
      <c r="BA173" t="b">
        <v>0</v>
      </c>
      <c r="BB173" t="b">
        <v>1</v>
      </c>
      <c r="BC173" t="b">
        <v>1</v>
      </c>
      <c r="BD173" t="b">
        <v>1</v>
      </c>
      <c r="BE173" t="b">
        <v>1</v>
      </c>
      <c r="BF173" t="b">
        <v>0</v>
      </c>
      <c r="BG173" t="b">
        <v>0</v>
      </c>
      <c r="BJ173" t="s">
        <v>4320</v>
      </c>
      <c r="BK173" t="b">
        <v>0</v>
      </c>
      <c r="BM173" t="s">
        <v>66</v>
      </c>
      <c r="BN173" t="s">
        <v>4322</v>
      </c>
      <c r="BO173" s="79" t="str">
        <f>HYPERLINK("https://twitter.com/cojimanki1")</f>
        <v>https://twitter.com/cojimanki1</v>
      </c>
      <c r="BP173" s="112" t="str">
        <f>REPLACE(INDEX(GroupVertices[Group], MATCH("~"&amp;Vertices[[#This Row],[Vertex]],GroupVertices[Vertex],0)),1,1,"")</f>
        <v>53</v>
      </c>
      <c r="BQ173" s="2"/>
    </row>
    <row r="174" spans="1:69" x14ac:dyDescent="0.25">
      <c r="A174" s="61" t="s">
        <v>558</v>
      </c>
      <c r="B174" s="62"/>
      <c r="C174" s="62"/>
      <c r="D174" s="63">
        <v>1.5</v>
      </c>
      <c r="E174" s="65"/>
      <c r="F174" s="97" t="str">
        <f>HYPERLINK("https://pbs.twimg.com/profile_images/1358937756790046721/4dsHztNO_normal.jpg")</f>
        <v>https://pbs.twimg.com/profile_images/1358937756790046721/4dsHztNO_normal.jpg</v>
      </c>
      <c r="G174" s="62"/>
      <c r="H174" s="66"/>
      <c r="I174" s="67"/>
      <c r="J174" s="67"/>
      <c r="K174" s="66" t="s">
        <v>4446</v>
      </c>
      <c r="L174" s="70"/>
      <c r="M174" s="71">
        <v>3190.7763671875</v>
      </c>
      <c r="N174" s="71">
        <v>8960.66796875</v>
      </c>
      <c r="O174" s="72"/>
      <c r="P174" s="73"/>
      <c r="Q174" s="73"/>
      <c r="R174" s="81"/>
      <c r="S174" s="45">
        <v>1</v>
      </c>
      <c r="T174" s="45">
        <v>0</v>
      </c>
      <c r="U174" s="46">
        <v>0</v>
      </c>
      <c r="V174" s="46">
        <v>2.0960000000000002E-3</v>
      </c>
      <c r="W174" s="47"/>
      <c r="X174" s="47"/>
      <c r="Y174" s="47"/>
      <c r="Z174" s="46"/>
      <c r="AA174" s="68">
        <v>174</v>
      </c>
      <c r="AB174"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74" s="69"/>
      <c r="AD174" t="s">
        <v>2807</v>
      </c>
      <c r="AE174" s="77" t="s">
        <v>2406</v>
      </c>
      <c r="AF174">
        <v>45145</v>
      </c>
      <c r="AG174">
        <v>35421</v>
      </c>
      <c r="AH174">
        <v>103057</v>
      </c>
      <c r="AI174">
        <v>157</v>
      </c>
      <c r="AJ174">
        <v>387861</v>
      </c>
      <c r="AK174">
        <v>42018</v>
      </c>
      <c r="AL174" t="b">
        <v>0</v>
      </c>
      <c r="AM174" s="76">
        <v>43944.034768518519</v>
      </c>
      <c r="AN174" t="s">
        <v>3462</v>
      </c>
      <c r="AO174" t="s">
        <v>3740</v>
      </c>
      <c r="AV174">
        <v>1.27162650889805E+18</v>
      </c>
      <c r="AX174" t="b">
        <v>0</v>
      </c>
      <c r="AZ174" t="b">
        <v>0</v>
      </c>
      <c r="BA174" t="b">
        <v>0</v>
      </c>
      <c r="BB174" t="b">
        <v>0</v>
      </c>
      <c r="BC174" t="b">
        <v>1</v>
      </c>
      <c r="BD174" t="b">
        <v>0</v>
      </c>
      <c r="BE174" t="b">
        <v>1</v>
      </c>
      <c r="BF174" t="b">
        <v>0</v>
      </c>
      <c r="BG174" t="b">
        <v>0</v>
      </c>
      <c r="BH174" s="79" t="str">
        <f>HYPERLINK("https://pbs.twimg.com/profile_banners/1253123691346636800/1588507020")</f>
        <v>https://pbs.twimg.com/profile_banners/1253123691346636800/1588507020</v>
      </c>
      <c r="BJ174" t="s">
        <v>4320</v>
      </c>
      <c r="BK174" t="b">
        <v>0</v>
      </c>
      <c r="BM174" t="s">
        <v>65</v>
      </c>
      <c r="BN174" t="s">
        <v>4322</v>
      </c>
      <c r="BO174" s="79" t="str">
        <f>HYPERLINK("https://twitter.com/muzeriqui")</f>
        <v>https://twitter.com/muzeriqui</v>
      </c>
      <c r="BP174" s="112" t="str">
        <f>REPLACE(INDEX(GroupVertices[Group], MATCH("~"&amp;Vertices[[#This Row],[Vertex]],GroupVertices[Vertex],0)),1,1,"")</f>
        <v>53</v>
      </c>
      <c r="BQ174" s="2"/>
    </row>
    <row r="175" spans="1:69" x14ac:dyDescent="0.25">
      <c r="A175" s="61" t="s">
        <v>287</v>
      </c>
      <c r="B175" s="62"/>
      <c r="C175" s="62"/>
      <c r="D175" s="63">
        <v>1.5</v>
      </c>
      <c r="E175" s="65"/>
      <c r="F175" s="97" t="str">
        <f>HYPERLINK("https://pbs.twimg.com/profile_images/1911940492595515392/FJtEFS0y_normal.jpg")</f>
        <v>https://pbs.twimg.com/profile_images/1911940492595515392/FJtEFS0y_normal.jpg</v>
      </c>
      <c r="G175" s="62"/>
      <c r="H175" s="66"/>
      <c r="I175" s="67"/>
      <c r="J175" s="67"/>
      <c r="K175" s="66" t="s">
        <v>4447</v>
      </c>
      <c r="L175" s="70"/>
      <c r="M175" s="71">
        <v>3883.056396484375</v>
      </c>
      <c r="N175" s="71">
        <v>7208.43701171875</v>
      </c>
      <c r="O175" s="72"/>
      <c r="P175" s="73"/>
      <c r="Q175" s="73"/>
      <c r="R175" s="81"/>
      <c r="S175" s="45">
        <v>0</v>
      </c>
      <c r="T175" s="45">
        <v>1</v>
      </c>
      <c r="U175" s="46">
        <v>0</v>
      </c>
      <c r="V175" s="46">
        <v>2.0960000000000002E-3</v>
      </c>
      <c r="W175" s="47"/>
      <c r="X175" s="47"/>
      <c r="Y175" s="47"/>
      <c r="Z175" s="46"/>
      <c r="AA175" s="68">
        <v>175</v>
      </c>
      <c r="AB175"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75" s="69"/>
      <c r="AD175" t="s">
        <v>2808</v>
      </c>
      <c r="AE175" s="77" t="s">
        <v>2563</v>
      </c>
      <c r="AF175">
        <v>76</v>
      </c>
      <c r="AG175">
        <v>61</v>
      </c>
      <c r="AH175">
        <v>2998</v>
      </c>
      <c r="AI175">
        <v>0</v>
      </c>
      <c r="AJ175">
        <v>18499</v>
      </c>
      <c r="AK175">
        <v>342</v>
      </c>
      <c r="AL175" t="b">
        <v>0</v>
      </c>
      <c r="AM175" s="76">
        <v>45174.865729166668</v>
      </c>
      <c r="AN175" t="s">
        <v>3463</v>
      </c>
      <c r="AO175" t="s">
        <v>3741</v>
      </c>
      <c r="AV175">
        <v>1.7313090214564101E+18</v>
      </c>
      <c r="AX175" t="b">
        <v>0</v>
      </c>
      <c r="BA175" t="b">
        <v>0</v>
      </c>
      <c r="BB175" t="b">
        <v>0</v>
      </c>
      <c r="BC175" t="b">
        <v>1</v>
      </c>
      <c r="BD175" t="b">
        <v>0</v>
      </c>
      <c r="BE175" t="b">
        <v>0</v>
      </c>
      <c r="BF175" t="b">
        <v>0</v>
      </c>
      <c r="BG175" t="b">
        <v>0</v>
      </c>
      <c r="BH175" s="79" t="str">
        <f>HYPERLINK("https://pbs.twimg.com/profile_banners/1699162102957481984/1740789974")</f>
        <v>https://pbs.twimg.com/profile_banners/1699162102957481984/1740789974</v>
      </c>
      <c r="BJ175" t="s">
        <v>4320</v>
      </c>
      <c r="BK175" t="b">
        <v>0</v>
      </c>
      <c r="BM175" t="s">
        <v>66</v>
      </c>
      <c r="BN175" t="s">
        <v>4322</v>
      </c>
      <c r="BO175" s="79" t="str">
        <f>HYPERLINK("https://twitter.com/divxnopka")</f>
        <v>https://twitter.com/divxnopka</v>
      </c>
      <c r="BP175" s="112" t="str">
        <f>REPLACE(INDEX(GroupVertices[Group], MATCH("~"&amp;Vertices[[#This Row],[Vertex]],GroupVertices[Vertex],0)),1,1,"")</f>
        <v>107</v>
      </c>
      <c r="BQ175" s="2"/>
    </row>
    <row r="176" spans="1:69" x14ac:dyDescent="0.25">
      <c r="A176" s="61" t="s">
        <v>559</v>
      </c>
      <c r="B176" s="62"/>
      <c r="C176" s="62"/>
      <c r="D176" s="63">
        <v>1.5</v>
      </c>
      <c r="E176" s="65"/>
      <c r="F176" s="97" t="str">
        <f>HYPERLINK("https://pbs.twimg.com/profile_images/1244038828274397191/ITbHe9a6_normal.jpg")</f>
        <v>https://pbs.twimg.com/profile_images/1244038828274397191/ITbHe9a6_normal.jpg</v>
      </c>
      <c r="G176" s="62"/>
      <c r="H176" s="66"/>
      <c r="I176" s="67"/>
      <c r="J176" s="67"/>
      <c r="K176" s="66" t="s">
        <v>4448</v>
      </c>
      <c r="L176" s="70"/>
      <c r="M176" s="71">
        <v>2156.5361328125</v>
      </c>
      <c r="N176" s="71">
        <v>6215.36279296875</v>
      </c>
      <c r="O176" s="72"/>
      <c r="P176" s="73"/>
      <c r="Q176" s="73"/>
      <c r="R176" s="81"/>
      <c r="S176" s="45">
        <v>1</v>
      </c>
      <c r="T176" s="45">
        <v>0</v>
      </c>
      <c r="U176" s="46">
        <v>0</v>
      </c>
      <c r="V176" s="46">
        <v>2.0960000000000002E-3</v>
      </c>
      <c r="W176" s="47"/>
      <c r="X176" s="47"/>
      <c r="Y176" s="47"/>
      <c r="Z176" s="46"/>
      <c r="AA176" s="68">
        <v>176</v>
      </c>
      <c r="AB176"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76" s="69"/>
      <c r="AD176" t="s">
        <v>2809</v>
      </c>
      <c r="AE176" s="77" t="s">
        <v>2407</v>
      </c>
      <c r="AF176">
        <v>3755</v>
      </c>
      <c r="AG176">
        <v>272</v>
      </c>
      <c r="AH176">
        <v>89846</v>
      </c>
      <c r="AI176">
        <v>104</v>
      </c>
      <c r="AJ176">
        <v>36270</v>
      </c>
      <c r="AK176">
        <v>3326</v>
      </c>
      <c r="AL176" t="b">
        <v>0</v>
      </c>
      <c r="AM176" s="76">
        <v>40438.092013888891</v>
      </c>
      <c r="AO176" t="s">
        <v>3742</v>
      </c>
      <c r="AV176">
        <v>1.55994856882737E+18</v>
      </c>
      <c r="AX176" t="b">
        <v>0</v>
      </c>
      <c r="AZ176" t="b">
        <v>0</v>
      </c>
      <c r="BA176" t="b">
        <v>0</v>
      </c>
      <c r="BB176" t="b">
        <v>0</v>
      </c>
      <c r="BC176" t="b">
        <v>0</v>
      </c>
      <c r="BD176" t="b">
        <v>0</v>
      </c>
      <c r="BE176" t="b">
        <v>1</v>
      </c>
      <c r="BF176" t="b">
        <v>0</v>
      </c>
      <c r="BG176" t="b">
        <v>0</v>
      </c>
      <c r="BH176" s="79" t="str">
        <f>HYPERLINK("https://pbs.twimg.com/profile_banners/191683457/1648521185")</f>
        <v>https://pbs.twimg.com/profile_banners/191683457/1648521185</v>
      </c>
      <c r="BJ176" t="s">
        <v>4320</v>
      </c>
      <c r="BK176" t="b">
        <v>0</v>
      </c>
      <c r="BM176" t="s">
        <v>65</v>
      </c>
      <c r="BN176" t="s">
        <v>4322</v>
      </c>
      <c r="BO176" s="79" t="str">
        <f>HYPERLINK("https://twitter.com/n3s3p4s")</f>
        <v>https://twitter.com/n3s3p4s</v>
      </c>
      <c r="BP176" s="112" t="str">
        <f>REPLACE(INDEX(GroupVertices[Group], MATCH("~"&amp;Vertices[[#This Row],[Vertex]],GroupVertices[Vertex],0)),1,1,"")</f>
        <v>107</v>
      </c>
      <c r="BQ176" s="2"/>
    </row>
    <row r="177" spans="1:69" x14ac:dyDescent="0.25">
      <c r="A177" s="61" t="s">
        <v>560</v>
      </c>
      <c r="B177" s="62"/>
      <c r="C177" s="62"/>
      <c r="D177" s="63">
        <v>1.5</v>
      </c>
      <c r="E177" s="65"/>
      <c r="F177" s="97" t="str">
        <f>HYPERLINK("https://pbs.twimg.com/profile_images/1928041291272617984/PYB1Wdbp_normal.jpg")</f>
        <v>https://pbs.twimg.com/profile_images/1928041291272617984/PYB1Wdbp_normal.jpg</v>
      </c>
      <c r="G177" s="62"/>
      <c r="H177" s="66"/>
      <c r="I177" s="67"/>
      <c r="J177" s="67"/>
      <c r="K177" s="66" t="s">
        <v>4450</v>
      </c>
      <c r="L177" s="70"/>
      <c r="M177" s="71">
        <v>8096.52685546875</v>
      </c>
      <c r="N177" s="71">
        <v>8468.392578125</v>
      </c>
      <c r="O177" s="72"/>
      <c r="P177" s="73"/>
      <c r="Q177" s="73"/>
      <c r="R177" s="81"/>
      <c r="S177" s="45">
        <v>1</v>
      </c>
      <c r="T177" s="45">
        <v>0</v>
      </c>
      <c r="U177" s="46">
        <v>0</v>
      </c>
      <c r="V177" s="46">
        <v>8.9449999999999998E-3</v>
      </c>
      <c r="W177" s="47"/>
      <c r="X177" s="47"/>
      <c r="Y177" s="47"/>
      <c r="Z177" s="46"/>
      <c r="AA177" s="68">
        <v>177</v>
      </c>
      <c r="AB177"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77" s="69"/>
      <c r="AD177" t="s">
        <v>2811</v>
      </c>
      <c r="AE177" s="77" t="s">
        <v>2408</v>
      </c>
      <c r="AF177">
        <v>39018</v>
      </c>
      <c r="AG177">
        <v>564</v>
      </c>
      <c r="AH177">
        <v>56132</v>
      </c>
      <c r="AI177">
        <v>376</v>
      </c>
      <c r="AJ177">
        <v>7305</v>
      </c>
      <c r="AK177">
        <v>15741</v>
      </c>
      <c r="AL177" t="b">
        <v>0</v>
      </c>
      <c r="AM177" s="76">
        <v>40857.611678240741</v>
      </c>
      <c r="AN177" t="s">
        <v>3465</v>
      </c>
      <c r="AO177" t="s">
        <v>3744</v>
      </c>
      <c r="AX177" t="b">
        <v>0</v>
      </c>
      <c r="AZ177" t="b">
        <v>0</v>
      </c>
      <c r="BA177" t="b">
        <v>1</v>
      </c>
      <c r="BB177" t="b">
        <v>1</v>
      </c>
      <c r="BC177" t="b">
        <v>0</v>
      </c>
      <c r="BD177" t="b">
        <v>0</v>
      </c>
      <c r="BE177" t="b">
        <v>1</v>
      </c>
      <c r="BF177" t="b">
        <v>0</v>
      </c>
      <c r="BG177" t="b">
        <v>0</v>
      </c>
      <c r="BH177" s="79" t="str">
        <f>HYPERLINK("https://pbs.twimg.com/profile_banners/409285722/1724013131")</f>
        <v>https://pbs.twimg.com/profile_banners/409285722/1724013131</v>
      </c>
      <c r="BJ177" t="s">
        <v>4320</v>
      </c>
      <c r="BK177" t="b">
        <v>0</v>
      </c>
      <c r="BM177" t="s">
        <v>65</v>
      </c>
      <c r="BN177" t="s">
        <v>4322</v>
      </c>
      <c r="BO177" s="79" t="str">
        <f>HYPERLINK("https://twitter.com/cfbadalonafutur")</f>
        <v>https://twitter.com/cfbadalonafutur</v>
      </c>
      <c r="BP177" s="112" t="str">
        <f>REPLACE(INDEX(GroupVertices[Group], MATCH("~"&amp;Vertices[[#This Row],[Vertex]],GroupVertices[Vertex],0)),1,1,"")</f>
        <v>8</v>
      </c>
      <c r="BQ177" s="2"/>
    </row>
    <row r="178" spans="1:69" x14ac:dyDescent="0.25">
      <c r="A178" s="61" t="s">
        <v>561</v>
      </c>
      <c r="B178" s="62"/>
      <c r="C178" s="62"/>
      <c r="D178" s="63">
        <v>1.5</v>
      </c>
      <c r="E178" s="65"/>
      <c r="F178" s="97" t="str">
        <f>HYPERLINK("https://pbs.twimg.com/profile_images/1906725638788050944/S5VdnWhz_normal.jpg")</f>
        <v>https://pbs.twimg.com/profile_images/1906725638788050944/S5VdnWhz_normal.jpg</v>
      </c>
      <c r="G178" s="62"/>
      <c r="H178" s="66"/>
      <c r="I178" s="67"/>
      <c r="J178" s="67"/>
      <c r="K178" s="66" t="s">
        <v>4451</v>
      </c>
      <c r="L178" s="70"/>
      <c r="M178" s="71">
        <v>1938.5540771484375</v>
      </c>
      <c r="N178" s="71">
        <v>7527.85107421875</v>
      </c>
      <c r="O178" s="72"/>
      <c r="P178" s="73"/>
      <c r="Q178" s="73"/>
      <c r="R178" s="81"/>
      <c r="S178" s="45">
        <v>1</v>
      </c>
      <c r="T178" s="45">
        <v>0</v>
      </c>
      <c r="U178" s="46">
        <v>0</v>
      </c>
      <c r="V178" s="46">
        <v>8.9449999999999998E-3</v>
      </c>
      <c r="W178" s="47"/>
      <c r="X178" s="47"/>
      <c r="Y178" s="47"/>
      <c r="Z178" s="46"/>
      <c r="AA178" s="68">
        <v>178</v>
      </c>
      <c r="AB178"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78" s="69"/>
      <c r="AD178" t="s">
        <v>2812</v>
      </c>
      <c r="AE178" s="77" t="s">
        <v>3208</v>
      </c>
      <c r="AF178">
        <v>88689</v>
      </c>
      <c r="AG178">
        <v>127</v>
      </c>
      <c r="AH178">
        <v>44739</v>
      </c>
      <c r="AI178">
        <v>580</v>
      </c>
      <c r="AJ178">
        <v>1159</v>
      </c>
      <c r="AK178">
        <v>19005</v>
      </c>
      <c r="AL178" t="b">
        <v>0</v>
      </c>
      <c r="AM178" s="76">
        <v>40498.654050925928</v>
      </c>
      <c r="AO178" t="s">
        <v>3745</v>
      </c>
      <c r="AP178" s="79" t="str">
        <f>HYPERLINK("https://t.co/ytkCCEvbYv")</f>
        <v>https://t.co/ytkCCEvbYv</v>
      </c>
      <c r="AQ178" s="79" t="str">
        <f>HYPERLINK("https://herculesdealicantecf.com")</f>
        <v>https://herculesdealicantecf.com</v>
      </c>
      <c r="AR178" t="s">
        <v>4100</v>
      </c>
      <c r="AW178" s="79" t="str">
        <f>HYPERLINK("https://t.co/ytkCCEvbYv")</f>
        <v>https://t.co/ytkCCEvbYv</v>
      </c>
      <c r="AX178" t="b">
        <v>1</v>
      </c>
      <c r="AZ178" t="b">
        <v>0</v>
      </c>
      <c r="BA178" t="b">
        <v>0</v>
      </c>
      <c r="BB178" t="b">
        <v>1</v>
      </c>
      <c r="BC178" t="b">
        <v>0</v>
      </c>
      <c r="BD178" t="b">
        <v>0</v>
      </c>
      <c r="BE178" t="b">
        <v>0</v>
      </c>
      <c r="BF178" t="b">
        <v>0</v>
      </c>
      <c r="BG178" t="b">
        <v>0</v>
      </c>
      <c r="BH178" s="79" t="str">
        <f>HYPERLINK("https://pbs.twimg.com/profile_banners/216385346/1713774749")</f>
        <v>https://pbs.twimg.com/profile_banners/216385346/1713774749</v>
      </c>
      <c r="BJ178" t="s">
        <v>4320</v>
      </c>
      <c r="BK178" t="b">
        <v>0</v>
      </c>
      <c r="BM178" t="s">
        <v>65</v>
      </c>
      <c r="BN178" t="s">
        <v>4322</v>
      </c>
      <c r="BO178" s="79" t="str">
        <f>HYPERLINK("https://twitter.com/cfhercules")</f>
        <v>https://twitter.com/cfhercules</v>
      </c>
      <c r="BP178" s="112" t="str">
        <f>REPLACE(INDEX(GroupVertices[Group], MATCH("~"&amp;Vertices[[#This Row],[Vertex]],GroupVertices[Vertex],0)),1,1,"")</f>
        <v>8</v>
      </c>
      <c r="BQ178" s="2"/>
    </row>
    <row r="179" spans="1:69" x14ac:dyDescent="0.25">
      <c r="A179" s="61" t="s">
        <v>562</v>
      </c>
      <c r="B179" s="62"/>
      <c r="C179" s="62"/>
      <c r="D179" s="63">
        <v>1.5</v>
      </c>
      <c r="E179" s="65"/>
      <c r="F179" s="97" t="str">
        <f>HYPERLINK("https://pbs.twimg.com/profile_images/1635402828658225152/Fd59cFuT_normal.jpg")</f>
        <v>https://pbs.twimg.com/profile_images/1635402828658225152/Fd59cFuT_normal.jpg</v>
      </c>
      <c r="G179" s="62"/>
      <c r="H179" s="66"/>
      <c r="I179" s="67"/>
      <c r="J179" s="67"/>
      <c r="K179" s="66" t="s">
        <v>4452</v>
      </c>
      <c r="L179" s="70"/>
      <c r="M179" s="71">
        <v>5758.92822265625</v>
      </c>
      <c r="N179" s="71">
        <v>3684.513427734375</v>
      </c>
      <c r="O179" s="72"/>
      <c r="P179" s="73"/>
      <c r="Q179" s="73"/>
      <c r="R179" s="81"/>
      <c r="S179" s="45">
        <v>1</v>
      </c>
      <c r="T179" s="45">
        <v>0</v>
      </c>
      <c r="U179" s="46">
        <v>0</v>
      </c>
      <c r="V179" s="46">
        <v>8.9449999999999998E-3</v>
      </c>
      <c r="W179" s="47"/>
      <c r="X179" s="47"/>
      <c r="Y179" s="47"/>
      <c r="Z179" s="46"/>
      <c r="AA179" s="68">
        <v>179</v>
      </c>
      <c r="AB179"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79" s="69"/>
      <c r="AD179" t="s">
        <v>2813</v>
      </c>
      <c r="AE179" s="77" t="s">
        <v>2409</v>
      </c>
      <c r="AF179">
        <v>5379</v>
      </c>
      <c r="AG179">
        <v>918</v>
      </c>
      <c r="AH179">
        <v>26785</v>
      </c>
      <c r="AI179">
        <v>35</v>
      </c>
      <c r="AJ179">
        <v>16627</v>
      </c>
      <c r="AK179">
        <v>2954</v>
      </c>
      <c r="AL179" t="b">
        <v>0</v>
      </c>
      <c r="AM179" s="76">
        <v>40593.581967592596</v>
      </c>
      <c r="AN179" t="s">
        <v>3432</v>
      </c>
      <c r="AO179" t="s">
        <v>3746</v>
      </c>
      <c r="AX179" t="b">
        <v>1</v>
      </c>
      <c r="AZ179" t="b">
        <v>0</v>
      </c>
      <c r="BA179" t="b">
        <v>1</v>
      </c>
      <c r="BB179" t="b">
        <v>1</v>
      </c>
      <c r="BC179" t="b">
        <v>0</v>
      </c>
      <c r="BD179" t="b">
        <v>0</v>
      </c>
      <c r="BE179" t="b">
        <v>1</v>
      </c>
      <c r="BF179" t="b">
        <v>0</v>
      </c>
      <c r="BG179" t="b">
        <v>0</v>
      </c>
      <c r="BH179" s="79" t="str">
        <f>HYPERLINK("https://pbs.twimg.com/profile_banners/254542275/1713689457")</f>
        <v>https://pbs.twimg.com/profile_banners/254542275/1713689457</v>
      </c>
      <c r="BJ179" t="s">
        <v>4320</v>
      </c>
      <c r="BK179" t="b">
        <v>0</v>
      </c>
      <c r="BM179" t="s">
        <v>65</v>
      </c>
      <c r="BN179" t="s">
        <v>4322</v>
      </c>
      <c r="BO179" s="79" t="str">
        <f>HYPERLINK("https://twitter.com/sergiosierratv")</f>
        <v>https://twitter.com/sergiosierratv</v>
      </c>
      <c r="BP179" s="112" t="str">
        <f>REPLACE(INDEX(GroupVertices[Group], MATCH("~"&amp;Vertices[[#This Row],[Vertex]],GroupVertices[Vertex],0)),1,1,"")</f>
        <v>8</v>
      </c>
      <c r="BQ179" s="2"/>
    </row>
    <row r="180" spans="1:69" x14ac:dyDescent="0.25">
      <c r="A180" s="61" t="s">
        <v>563</v>
      </c>
      <c r="B180" s="62"/>
      <c r="C180" s="62"/>
      <c r="D180" s="63">
        <v>1.5</v>
      </c>
      <c r="E180" s="65"/>
      <c r="F180" s="97" t="str">
        <f>HYPERLINK("https://pbs.twimg.com/profile_images/1918025228996710400/xbUJ7e9H_normal.jpg")</f>
        <v>https://pbs.twimg.com/profile_images/1918025228996710400/xbUJ7e9H_normal.jpg</v>
      </c>
      <c r="G180" s="62"/>
      <c r="H180" s="66"/>
      <c r="I180" s="67"/>
      <c r="J180" s="67"/>
      <c r="K180" s="66" t="s">
        <v>4453</v>
      </c>
      <c r="L180" s="70"/>
      <c r="M180" s="71">
        <v>4299.57958984375</v>
      </c>
      <c r="N180" s="71">
        <v>8426.4375</v>
      </c>
      <c r="O180" s="72"/>
      <c r="P180" s="73"/>
      <c r="Q180" s="73"/>
      <c r="R180" s="81"/>
      <c r="S180" s="45">
        <v>1</v>
      </c>
      <c r="T180" s="45">
        <v>0</v>
      </c>
      <c r="U180" s="46">
        <v>0</v>
      </c>
      <c r="V180" s="46">
        <v>8.9449999999999998E-3</v>
      </c>
      <c r="W180" s="47"/>
      <c r="X180" s="47"/>
      <c r="Y180" s="47"/>
      <c r="Z180" s="46"/>
      <c r="AA180" s="68">
        <v>180</v>
      </c>
      <c r="AB180"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80" s="69"/>
      <c r="AD180" t="s">
        <v>2814</v>
      </c>
      <c r="AE180" s="77" t="s">
        <v>2410</v>
      </c>
      <c r="AF180">
        <v>1181</v>
      </c>
      <c r="AG180">
        <v>660</v>
      </c>
      <c r="AH180">
        <v>17811</v>
      </c>
      <c r="AI180">
        <v>11</v>
      </c>
      <c r="AJ180">
        <v>30229</v>
      </c>
      <c r="AK180">
        <v>2198</v>
      </c>
      <c r="AL180" t="b">
        <v>0</v>
      </c>
      <c r="AM180" s="76">
        <v>41416.356087962966</v>
      </c>
      <c r="AN180" t="s">
        <v>3466</v>
      </c>
      <c r="AO180" t="s">
        <v>3747</v>
      </c>
      <c r="AV180">
        <v>1.8787303344242501E+18</v>
      </c>
      <c r="AX180" t="b">
        <v>0</v>
      </c>
      <c r="AZ180" t="b">
        <v>0</v>
      </c>
      <c r="BA180" t="b">
        <v>1</v>
      </c>
      <c r="BB180" t="b">
        <v>0</v>
      </c>
      <c r="BC180" t="b">
        <v>0</v>
      </c>
      <c r="BD180" t="b">
        <v>0</v>
      </c>
      <c r="BE180" t="b">
        <v>1</v>
      </c>
      <c r="BF180" t="b">
        <v>0</v>
      </c>
      <c r="BG180" t="b">
        <v>0</v>
      </c>
      <c r="BH180" s="79" t="str">
        <f>HYPERLINK("https://pbs.twimg.com/profile_banners/1448323596/1714931679")</f>
        <v>https://pbs.twimg.com/profile_banners/1448323596/1714931679</v>
      </c>
      <c r="BJ180" t="s">
        <v>4320</v>
      </c>
      <c r="BK180" t="b">
        <v>0</v>
      </c>
      <c r="BM180" t="s">
        <v>65</v>
      </c>
      <c r="BN180" t="s">
        <v>4322</v>
      </c>
      <c r="BO180" s="79" t="str">
        <f>HYPERLINK("https://twitter.com/dannyhcf89")</f>
        <v>https://twitter.com/dannyhcf89</v>
      </c>
      <c r="BP180" s="112" t="str">
        <f>REPLACE(INDEX(GroupVertices[Group], MATCH("~"&amp;Vertices[[#This Row],[Vertex]],GroupVertices[Vertex],0)),1,1,"")</f>
        <v>8</v>
      </c>
      <c r="BQ180" s="2"/>
    </row>
    <row r="181" spans="1:69" x14ac:dyDescent="0.25">
      <c r="A181" s="61" t="s">
        <v>564</v>
      </c>
      <c r="B181" s="62"/>
      <c r="C181" s="62"/>
      <c r="D181" s="63">
        <v>1.5</v>
      </c>
      <c r="E181" s="65"/>
      <c r="F181" s="97" t="str">
        <f>HYPERLINK("https://pbs.twimg.com/profile_images/1433196915122966533/1fDg8t9q_normal.jpg")</f>
        <v>https://pbs.twimg.com/profile_images/1433196915122966533/1fDg8t9q_normal.jpg</v>
      </c>
      <c r="G181" s="62"/>
      <c r="H181" s="66"/>
      <c r="I181" s="67"/>
      <c r="J181" s="67"/>
      <c r="K181" s="66" t="s">
        <v>4454</v>
      </c>
      <c r="L181" s="70"/>
      <c r="M181" s="71">
        <v>7626.95166015625</v>
      </c>
      <c r="N181" s="71">
        <v>5076.470703125</v>
      </c>
      <c r="O181" s="72"/>
      <c r="P181" s="73"/>
      <c r="Q181" s="73"/>
      <c r="R181" s="81"/>
      <c r="S181" s="45">
        <v>1</v>
      </c>
      <c r="T181" s="45">
        <v>0</v>
      </c>
      <c r="U181" s="46">
        <v>0</v>
      </c>
      <c r="V181" s="46">
        <v>8.9449999999999998E-3</v>
      </c>
      <c r="W181" s="47"/>
      <c r="X181" s="47"/>
      <c r="Y181" s="47"/>
      <c r="Z181" s="46"/>
      <c r="AA181" s="68">
        <v>181</v>
      </c>
      <c r="AB181"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81" s="69"/>
      <c r="AD181" t="s">
        <v>2815</v>
      </c>
      <c r="AE181" s="77" t="s">
        <v>2411</v>
      </c>
      <c r="AF181">
        <v>646</v>
      </c>
      <c r="AG181">
        <v>297</v>
      </c>
      <c r="AH181">
        <v>33501</v>
      </c>
      <c r="AI181">
        <v>7</v>
      </c>
      <c r="AJ181">
        <v>54769</v>
      </c>
      <c r="AK181">
        <v>1783</v>
      </c>
      <c r="AL181" t="b">
        <v>0</v>
      </c>
      <c r="AM181" s="76">
        <v>41201.591469907406</v>
      </c>
      <c r="AN181" t="s">
        <v>3467</v>
      </c>
      <c r="AO181" t="s">
        <v>3748</v>
      </c>
      <c r="AX181" t="b">
        <v>0</v>
      </c>
      <c r="AZ181" t="b">
        <v>0</v>
      </c>
      <c r="BA181" t="b">
        <v>1</v>
      </c>
      <c r="BB181" t="b">
        <v>0</v>
      </c>
      <c r="BC181" t="b">
        <v>0</v>
      </c>
      <c r="BD181" t="b">
        <v>0</v>
      </c>
      <c r="BE181" t="b">
        <v>1</v>
      </c>
      <c r="BF181" t="b">
        <v>0</v>
      </c>
      <c r="BG181" t="b">
        <v>0</v>
      </c>
      <c r="BH181" s="79" t="str">
        <f>HYPERLINK("https://pbs.twimg.com/profile_banners/891062893/1689946327")</f>
        <v>https://pbs.twimg.com/profile_banners/891062893/1689946327</v>
      </c>
      <c r="BJ181" t="s">
        <v>4320</v>
      </c>
      <c r="BK181" t="b">
        <v>0</v>
      </c>
      <c r="BM181" t="s">
        <v>65</v>
      </c>
      <c r="BN181" t="s">
        <v>4322</v>
      </c>
      <c r="BO181" s="79" t="str">
        <f>HYPERLINK("https://twitter.com/el_gali_13")</f>
        <v>https://twitter.com/el_gali_13</v>
      </c>
      <c r="BP181" s="112" t="str">
        <f>REPLACE(INDEX(GroupVertices[Group], MATCH("~"&amp;Vertices[[#This Row],[Vertex]],GroupVertices[Vertex],0)),1,1,"")</f>
        <v>8</v>
      </c>
      <c r="BQ181" s="2"/>
    </row>
    <row r="182" spans="1:69" x14ac:dyDescent="0.25">
      <c r="A182" s="61" t="s">
        <v>565</v>
      </c>
      <c r="B182" s="62"/>
      <c r="C182" s="62"/>
      <c r="D182" s="63">
        <v>1.5</v>
      </c>
      <c r="E182" s="65"/>
      <c r="F182" s="97" t="str">
        <f>HYPERLINK("https://pbs.twimg.com/profile_images/1586074027910651904/-2dxEZ2a_normal.jpg")</f>
        <v>https://pbs.twimg.com/profile_images/1586074027910651904/-2dxEZ2a_normal.jpg</v>
      </c>
      <c r="G182" s="62"/>
      <c r="H182" s="66"/>
      <c r="I182" s="67"/>
      <c r="J182" s="67"/>
      <c r="K182" s="66" t="s">
        <v>4455</v>
      </c>
      <c r="L182" s="70"/>
      <c r="M182" s="71">
        <v>4396.4462890625</v>
      </c>
      <c r="N182" s="71">
        <v>7422.615234375</v>
      </c>
      <c r="O182" s="72"/>
      <c r="P182" s="73"/>
      <c r="Q182" s="73"/>
      <c r="R182" s="81"/>
      <c r="S182" s="45">
        <v>1</v>
      </c>
      <c r="T182" s="45">
        <v>0</v>
      </c>
      <c r="U182" s="46">
        <v>0</v>
      </c>
      <c r="V182" s="46">
        <v>8.9449999999999998E-3</v>
      </c>
      <c r="W182" s="47"/>
      <c r="X182" s="47"/>
      <c r="Y182" s="47"/>
      <c r="Z182" s="46"/>
      <c r="AA182" s="68">
        <v>182</v>
      </c>
      <c r="AB182"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82" s="69"/>
      <c r="AD182" t="s">
        <v>2816</v>
      </c>
      <c r="AE182" s="77" t="s">
        <v>3209</v>
      </c>
      <c r="AF182">
        <v>2643</v>
      </c>
      <c r="AG182">
        <v>2753</v>
      </c>
      <c r="AH182">
        <v>72463</v>
      </c>
      <c r="AI182">
        <v>43</v>
      </c>
      <c r="AJ182">
        <v>53001</v>
      </c>
      <c r="AK182">
        <v>3450</v>
      </c>
      <c r="AL182" t="b">
        <v>0</v>
      </c>
      <c r="AM182" s="76">
        <v>41228.909375000003</v>
      </c>
      <c r="AN182" t="s">
        <v>3468</v>
      </c>
      <c r="AO182" t="s">
        <v>3749</v>
      </c>
      <c r="AV182">
        <v>1.7870940500398799E+18</v>
      </c>
      <c r="AX182" t="b">
        <v>0</v>
      </c>
      <c r="AZ182" t="b">
        <v>0</v>
      </c>
      <c r="BA182" t="b">
        <v>0</v>
      </c>
      <c r="BB182" t="b">
        <v>1</v>
      </c>
      <c r="BC182" t="b">
        <v>1</v>
      </c>
      <c r="BD182" t="b">
        <v>0</v>
      </c>
      <c r="BE182" t="b">
        <v>1</v>
      </c>
      <c r="BF182" t="b">
        <v>0</v>
      </c>
      <c r="BG182" t="b">
        <v>0</v>
      </c>
      <c r="BH182" s="79" t="str">
        <f>HYPERLINK("https://pbs.twimg.com/profile_banners/950516604/1709472522")</f>
        <v>https://pbs.twimg.com/profile_banners/950516604/1709472522</v>
      </c>
      <c r="BJ182" t="s">
        <v>4320</v>
      </c>
      <c r="BK182" t="b">
        <v>0</v>
      </c>
      <c r="BM182" t="s">
        <v>65</v>
      </c>
      <c r="BN182" t="s">
        <v>4322</v>
      </c>
      <c r="BO182" s="79" t="str">
        <f>HYPERLINK("https://twitter.com/jjavierperezr")</f>
        <v>https://twitter.com/jjavierperezr</v>
      </c>
      <c r="BP182" s="112" t="str">
        <f>REPLACE(INDEX(GroupVertices[Group], MATCH("~"&amp;Vertices[[#This Row],[Vertex]],GroupVertices[Vertex],0)),1,1,"")</f>
        <v>8</v>
      </c>
      <c r="BQ182" s="2"/>
    </row>
    <row r="183" spans="1:69" x14ac:dyDescent="0.25">
      <c r="A183" s="61" t="s">
        <v>566</v>
      </c>
      <c r="B183" s="62"/>
      <c r="C183" s="62"/>
      <c r="D183" s="63">
        <v>1.5</v>
      </c>
      <c r="E183" s="65"/>
      <c r="F183" s="97" t="str">
        <f>HYPERLINK("https://pbs.twimg.com/profile_images/1818927698476933120/fuBnaMDO_normal.jpg")</f>
        <v>https://pbs.twimg.com/profile_images/1818927698476933120/fuBnaMDO_normal.jpg</v>
      </c>
      <c r="G183" s="62"/>
      <c r="H183" s="66"/>
      <c r="I183" s="67"/>
      <c r="J183" s="67"/>
      <c r="K183" s="66" t="s">
        <v>4456</v>
      </c>
      <c r="L183" s="70"/>
      <c r="M183" s="71">
        <v>7125.55859375</v>
      </c>
      <c r="N183" s="71">
        <v>9162.1318359375</v>
      </c>
      <c r="O183" s="72"/>
      <c r="P183" s="73"/>
      <c r="Q183" s="73"/>
      <c r="R183" s="81"/>
      <c r="S183" s="45">
        <v>1</v>
      </c>
      <c r="T183" s="45">
        <v>0</v>
      </c>
      <c r="U183" s="46">
        <v>0</v>
      </c>
      <c r="V183" s="46">
        <v>8.9449999999999998E-3</v>
      </c>
      <c r="W183" s="47"/>
      <c r="X183" s="47"/>
      <c r="Y183" s="47"/>
      <c r="Z183" s="46"/>
      <c r="AA183" s="68">
        <v>183</v>
      </c>
      <c r="AB183"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83" s="69"/>
      <c r="AD183" t="s">
        <v>2817</v>
      </c>
      <c r="AE183" s="77" t="s">
        <v>3210</v>
      </c>
      <c r="AF183">
        <v>53</v>
      </c>
      <c r="AG183">
        <v>47</v>
      </c>
      <c r="AH183">
        <v>35</v>
      </c>
      <c r="AI183">
        <v>0</v>
      </c>
      <c r="AJ183">
        <v>40</v>
      </c>
      <c r="AK183">
        <v>12</v>
      </c>
      <c r="AL183" t="b">
        <v>0</v>
      </c>
      <c r="AM183" s="76">
        <v>45505.35496527778</v>
      </c>
      <c r="AV183">
        <v>1.81893484890547E+18</v>
      </c>
      <c r="AX183" t="b">
        <v>0</v>
      </c>
      <c r="AZ183" t="b">
        <v>0</v>
      </c>
      <c r="BA183" t="b">
        <v>0</v>
      </c>
      <c r="BB183" t="b">
        <v>1</v>
      </c>
      <c r="BC183" t="b">
        <v>1</v>
      </c>
      <c r="BD183" t="b">
        <v>0</v>
      </c>
      <c r="BE183" t="b">
        <v>0</v>
      </c>
      <c r="BF183" t="b">
        <v>0</v>
      </c>
      <c r="BG183" t="b">
        <v>0</v>
      </c>
      <c r="BJ183" t="s">
        <v>4320</v>
      </c>
      <c r="BK183" t="b">
        <v>0</v>
      </c>
      <c r="BM183" t="s">
        <v>65</v>
      </c>
      <c r="BN183" t="s">
        <v>4322</v>
      </c>
      <c r="BO183" s="79" t="str">
        <f>HYPERLINK("https://twitter.com/phlosmonigotes")</f>
        <v>https://twitter.com/phlosmonigotes</v>
      </c>
      <c r="BP183" s="112" t="str">
        <f>REPLACE(INDEX(GroupVertices[Group], MATCH("~"&amp;Vertices[[#This Row],[Vertex]],GroupVertices[Vertex],0)),1,1,"")</f>
        <v>8</v>
      </c>
      <c r="BQ183" s="2"/>
    </row>
    <row r="184" spans="1:69" x14ac:dyDescent="0.25">
      <c r="A184" s="61" t="s">
        <v>567</v>
      </c>
      <c r="B184" s="62"/>
      <c r="C184" s="62"/>
      <c r="D184" s="63">
        <v>1.5</v>
      </c>
      <c r="E184" s="65"/>
      <c r="F184" s="97" t="str">
        <f>HYPERLINK("https://pbs.twimg.com/profile_images/1060291557981593600/QMUZgiz__normal.jpg")</f>
        <v>https://pbs.twimg.com/profile_images/1060291557981593600/QMUZgiz__normal.jpg</v>
      </c>
      <c r="G184" s="62"/>
      <c r="H184" s="66"/>
      <c r="I184" s="67"/>
      <c r="J184" s="67"/>
      <c r="K184" s="66" t="s">
        <v>4457</v>
      </c>
      <c r="L184" s="70"/>
      <c r="M184" s="71">
        <v>4556.8095703125</v>
      </c>
      <c r="N184" s="71">
        <v>5326.70068359375</v>
      </c>
      <c r="O184" s="72"/>
      <c r="P184" s="73"/>
      <c r="Q184" s="73"/>
      <c r="R184" s="81"/>
      <c r="S184" s="45">
        <v>1</v>
      </c>
      <c r="T184" s="45">
        <v>0</v>
      </c>
      <c r="U184" s="46">
        <v>0</v>
      </c>
      <c r="V184" s="46">
        <v>8.9449999999999998E-3</v>
      </c>
      <c r="W184" s="47"/>
      <c r="X184" s="47"/>
      <c r="Y184" s="47"/>
      <c r="Z184" s="46"/>
      <c r="AA184" s="68">
        <v>184</v>
      </c>
      <c r="AB184"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84" s="69"/>
      <c r="AD184" t="s">
        <v>2818</v>
      </c>
      <c r="AE184" s="77" t="s">
        <v>2412</v>
      </c>
      <c r="AF184">
        <v>8450</v>
      </c>
      <c r="AG184">
        <v>924</v>
      </c>
      <c r="AH184">
        <v>30942</v>
      </c>
      <c r="AI184">
        <v>24</v>
      </c>
      <c r="AJ184">
        <v>21696</v>
      </c>
      <c r="AK184">
        <v>8118</v>
      </c>
      <c r="AL184" t="b">
        <v>0</v>
      </c>
      <c r="AM184" s="76">
        <v>41822.648379629631</v>
      </c>
      <c r="AN184" t="s">
        <v>3469</v>
      </c>
      <c r="AO184" t="s">
        <v>3750</v>
      </c>
      <c r="AP184" s="79" t="str">
        <f>HYPERLINK("https://t.co/83c10HwwrG")</f>
        <v>https://t.co/83c10HwwrG</v>
      </c>
      <c r="AQ184" s="79" t="str">
        <f>HYPERLINK("https://www.ivoox.com/todos-juntos-armonia-hercules-alicante_fg_f1741407_filtro_1.xml")</f>
        <v>https://www.ivoox.com/todos-juntos-armonia-hercules-alicante_fg_f1741407_filtro_1.xml</v>
      </c>
      <c r="AR184" t="s">
        <v>4101</v>
      </c>
      <c r="AW184" s="79" t="str">
        <f>HYPERLINK("https://t.co/83c10HwwrG")</f>
        <v>https://t.co/83c10HwwrG</v>
      </c>
      <c r="AX184" t="b">
        <v>0</v>
      </c>
      <c r="AZ184" t="b">
        <v>0</v>
      </c>
      <c r="BA184" t="b">
        <v>1</v>
      </c>
      <c r="BB184" t="b">
        <v>1</v>
      </c>
      <c r="BC184" t="b">
        <v>0</v>
      </c>
      <c r="BD184" t="b">
        <v>0</v>
      </c>
      <c r="BE184" t="b">
        <v>1</v>
      </c>
      <c r="BF184" t="b">
        <v>0</v>
      </c>
      <c r="BG184" t="b">
        <v>0</v>
      </c>
      <c r="BH184" s="79" t="str">
        <f>HYPERLINK("https://pbs.twimg.com/profile_banners/2600048012/1539898844")</f>
        <v>https://pbs.twimg.com/profile_banners/2600048012/1539898844</v>
      </c>
      <c r="BJ184" t="s">
        <v>4320</v>
      </c>
      <c r="BK184" t="b">
        <v>0</v>
      </c>
      <c r="BM184" t="s">
        <v>65</v>
      </c>
      <c r="BN184" t="s">
        <v>4322</v>
      </c>
      <c r="BO184" s="79" t="str">
        <f>HYPERLINK("https://twitter.com/salermico")</f>
        <v>https://twitter.com/salermico</v>
      </c>
      <c r="BP184" s="112" t="str">
        <f>REPLACE(INDEX(GroupVertices[Group], MATCH("~"&amp;Vertices[[#This Row],[Vertex]],GroupVertices[Vertex],0)),1,1,"")</f>
        <v>8</v>
      </c>
      <c r="BQ184" s="2"/>
    </row>
    <row r="185" spans="1:69" x14ac:dyDescent="0.25">
      <c r="A185" s="61" t="s">
        <v>568</v>
      </c>
      <c r="B185" s="62"/>
      <c r="C185" s="62"/>
      <c r="D185" s="63">
        <v>1.5</v>
      </c>
      <c r="E185" s="65"/>
      <c r="F185" s="97" t="str">
        <f>HYPERLINK("https://pbs.twimg.com/profile_images/1915664937935912960/iScz2xWr_normal.png")</f>
        <v>https://pbs.twimg.com/profile_images/1915664937935912960/iScz2xWr_normal.png</v>
      </c>
      <c r="G185" s="62"/>
      <c r="H185" s="66"/>
      <c r="I185" s="67"/>
      <c r="J185" s="67"/>
      <c r="K185" s="66" t="s">
        <v>4459</v>
      </c>
      <c r="L185" s="70"/>
      <c r="M185" s="71">
        <v>8210.60546875</v>
      </c>
      <c r="N185" s="71">
        <v>2962.50390625</v>
      </c>
      <c r="O185" s="72"/>
      <c r="P185" s="73"/>
      <c r="Q185" s="73"/>
      <c r="R185" s="81"/>
      <c r="S185" s="45">
        <v>1</v>
      </c>
      <c r="T185" s="45">
        <v>0</v>
      </c>
      <c r="U185" s="46">
        <v>0</v>
      </c>
      <c r="V185" s="46">
        <v>3.774E-3</v>
      </c>
      <c r="W185" s="47"/>
      <c r="X185" s="47"/>
      <c r="Y185" s="47"/>
      <c r="Z185" s="46"/>
      <c r="AA185" s="68">
        <v>185</v>
      </c>
      <c r="AB185"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85" s="69"/>
      <c r="AD185" t="s">
        <v>2820</v>
      </c>
      <c r="AE185" s="77" t="s">
        <v>3212</v>
      </c>
      <c r="AF185">
        <v>90754</v>
      </c>
      <c r="AG185">
        <v>445</v>
      </c>
      <c r="AH185">
        <v>27234</v>
      </c>
      <c r="AI185">
        <v>1109</v>
      </c>
      <c r="AJ185">
        <v>1401</v>
      </c>
      <c r="AK185">
        <v>17161</v>
      </c>
      <c r="AL185" t="b">
        <v>0</v>
      </c>
      <c r="AM185" s="76">
        <v>43259.422037037039</v>
      </c>
      <c r="AN185" t="s">
        <v>1769</v>
      </c>
      <c r="AO185" t="s">
        <v>3752</v>
      </c>
      <c r="AP185" s="79" t="str">
        <f>HYPERLINK("https://t.co/0NhJP5tTlb")</f>
        <v>https://t.co/0NhJP5tTlb</v>
      </c>
      <c r="AQ185" s="79" t="str">
        <f>HYPERLINK("https://www.miteco.gob.es/es/")</f>
        <v>https://www.miteco.gob.es/es/</v>
      </c>
      <c r="AR185" t="s">
        <v>4103</v>
      </c>
      <c r="AV185">
        <v>1.92983714372515E+18</v>
      </c>
      <c r="AW185" s="79" t="str">
        <f>HYPERLINK("https://t.co/0NhJP5tTlb")</f>
        <v>https://t.co/0NhJP5tTlb</v>
      </c>
      <c r="AX185" t="b">
        <v>0</v>
      </c>
      <c r="AZ185" t="b">
        <v>0</v>
      </c>
      <c r="BA185" t="b">
        <v>0</v>
      </c>
      <c r="BB185" t="b">
        <v>1</v>
      </c>
      <c r="BC185" t="b">
        <v>0</v>
      </c>
      <c r="BD185" t="b">
        <v>0</v>
      </c>
      <c r="BE185" t="b">
        <v>1</v>
      </c>
      <c r="BF185" t="b">
        <v>0</v>
      </c>
      <c r="BG185" t="b">
        <v>0</v>
      </c>
      <c r="BH185" s="79" t="str">
        <f>HYPERLINK("https://pbs.twimg.com/profile_banners/1005028594136092673/1743584143")</f>
        <v>https://pbs.twimg.com/profile_banners/1005028594136092673/1743584143</v>
      </c>
      <c r="BJ185" t="s">
        <v>4320</v>
      </c>
      <c r="BK185" t="b">
        <v>0</v>
      </c>
      <c r="BM185" t="s">
        <v>65</v>
      </c>
      <c r="BN185" t="s">
        <v>4322</v>
      </c>
      <c r="BO185" s="79" t="str">
        <f>HYPERLINK("https://twitter.com/mitecogob")</f>
        <v>https://twitter.com/mitecogob</v>
      </c>
      <c r="BP185" s="112" t="str">
        <f>REPLACE(INDEX(GroupVertices[Group], MATCH("~"&amp;Vertices[[#This Row],[Vertex]],GroupVertices[Vertex],0)),1,1,"")</f>
        <v>24</v>
      </c>
      <c r="BQ185" s="2"/>
    </row>
    <row r="186" spans="1:69" x14ac:dyDescent="0.25">
      <c r="A186" s="61" t="s">
        <v>569</v>
      </c>
      <c r="B186" s="62"/>
      <c r="C186" s="62"/>
      <c r="D186" s="63">
        <v>1.5</v>
      </c>
      <c r="E186" s="65"/>
      <c r="F186" s="97" t="str">
        <f>HYPERLINK("https://pbs.twimg.com/profile_images/1899002123632750592/vRX46HgM_normal.jpg")</f>
        <v>https://pbs.twimg.com/profile_images/1899002123632750592/vRX46HgM_normal.jpg</v>
      </c>
      <c r="G186" s="62"/>
      <c r="H186" s="66"/>
      <c r="I186" s="67"/>
      <c r="J186" s="67"/>
      <c r="K186" s="66" t="s">
        <v>4460</v>
      </c>
      <c r="L186" s="70"/>
      <c r="M186" s="71">
        <v>6388.787109375</v>
      </c>
      <c r="N186" s="71">
        <v>2382.238037109375</v>
      </c>
      <c r="O186" s="72"/>
      <c r="P186" s="73"/>
      <c r="Q186" s="73"/>
      <c r="R186" s="81"/>
      <c r="S186" s="45">
        <v>1</v>
      </c>
      <c r="T186" s="45">
        <v>0</v>
      </c>
      <c r="U186" s="46">
        <v>0</v>
      </c>
      <c r="V186" s="46">
        <v>3.774E-3</v>
      </c>
      <c r="W186" s="47"/>
      <c r="X186" s="47"/>
      <c r="Y186" s="47"/>
      <c r="Z186" s="46"/>
      <c r="AA186" s="68">
        <v>186</v>
      </c>
      <c r="AB186"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86" s="69"/>
      <c r="AD186" t="s">
        <v>2821</v>
      </c>
      <c r="AE186" s="77" t="s">
        <v>3213</v>
      </c>
      <c r="AF186">
        <v>7340</v>
      </c>
      <c r="AG186">
        <v>725</v>
      </c>
      <c r="AH186">
        <v>8330</v>
      </c>
      <c r="AI186">
        <v>136</v>
      </c>
      <c r="AJ186">
        <v>923</v>
      </c>
      <c r="AK186">
        <v>5472</v>
      </c>
      <c r="AL186" t="b">
        <v>0</v>
      </c>
      <c r="AM186" s="76">
        <v>41192.499537037038</v>
      </c>
      <c r="AN186" t="s">
        <v>1769</v>
      </c>
      <c r="AO186" t="s">
        <v>3753</v>
      </c>
      <c r="AP186" s="79" t="str">
        <f>HYPERLINK("https://t.co/S52adIcNkb")</f>
        <v>https://t.co/S52adIcNkb</v>
      </c>
      <c r="AQ186" s="79" t="str">
        <f>HYPERLINK("http://www.chtajo.es")</f>
        <v>http://www.chtajo.es</v>
      </c>
      <c r="AR186" t="s">
        <v>4104</v>
      </c>
      <c r="AS186" s="79" t="str">
        <f>HYPERLINK("https://t.co/ZbsmzmjTIM")</f>
        <v>https://t.co/ZbsmzmjTIM</v>
      </c>
      <c r="AT186" s="79" t="str">
        <f>HYPERLINK("http://instagram.com/chtajo/")</f>
        <v>http://instagram.com/chtajo/</v>
      </c>
      <c r="AU186" t="s">
        <v>4283</v>
      </c>
      <c r="AW186" s="79" t="str">
        <f>HYPERLINK("https://t.co/S52adIcNkb")</f>
        <v>https://t.co/S52adIcNkb</v>
      </c>
      <c r="AX186" t="b">
        <v>0</v>
      </c>
      <c r="AZ186" t="b">
        <v>0</v>
      </c>
      <c r="BA186" t="b">
        <v>1</v>
      </c>
      <c r="BB186" t="b">
        <v>1</v>
      </c>
      <c r="BC186" t="b">
        <v>0</v>
      </c>
      <c r="BD186" t="b">
        <v>0</v>
      </c>
      <c r="BE186" t="b">
        <v>1</v>
      </c>
      <c r="BF186" t="b">
        <v>0</v>
      </c>
      <c r="BG186" t="b">
        <v>0</v>
      </c>
      <c r="BH186" s="79" t="str">
        <f>HYPERLINK("https://pbs.twimg.com/profile_banners/871645081/1645600360")</f>
        <v>https://pbs.twimg.com/profile_banners/871645081/1645600360</v>
      </c>
      <c r="BJ186" t="s">
        <v>4320</v>
      </c>
      <c r="BK186" t="b">
        <v>0</v>
      </c>
      <c r="BM186" t="s">
        <v>65</v>
      </c>
      <c r="BN186" t="s">
        <v>4322</v>
      </c>
      <c r="BO186" s="79" t="str">
        <f>HYPERLINK("https://twitter.com/chtajo")</f>
        <v>https://twitter.com/chtajo</v>
      </c>
      <c r="BP186" s="112" t="str">
        <f>REPLACE(INDEX(GroupVertices[Group], MATCH("~"&amp;Vertices[[#This Row],[Vertex]],GroupVertices[Vertex],0)),1,1,"")</f>
        <v>24</v>
      </c>
      <c r="BQ186" s="2"/>
    </row>
    <row r="187" spans="1:69" x14ac:dyDescent="0.25">
      <c r="A187" s="61" t="s">
        <v>570</v>
      </c>
      <c r="B187" s="62"/>
      <c r="C187" s="62"/>
      <c r="D187" s="63">
        <v>1.5</v>
      </c>
      <c r="E187" s="65"/>
      <c r="F187" s="97" t="str">
        <f>HYPERLINK("https://pbs.twimg.com/profile_images/2882176055/7da0b351398fbf9404b5861f6bd87a01_normal.jpeg")</f>
        <v>https://pbs.twimg.com/profile_images/2882176055/7da0b351398fbf9404b5861f6bd87a01_normal.jpeg</v>
      </c>
      <c r="G187" s="62"/>
      <c r="H187" s="66"/>
      <c r="I187" s="67"/>
      <c r="J187" s="67"/>
      <c r="K187" s="66" t="s">
        <v>4461</v>
      </c>
      <c r="L187" s="70"/>
      <c r="M187" s="71">
        <v>7350.25732421875</v>
      </c>
      <c r="N187" s="71">
        <v>773.87786865234375</v>
      </c>
      <c r="O187" s="72"/>
      <c r="P187" s="73"/>
      <c r="Q187" s="73"/>
      <c r="R187" s="81"/>
      <c r="S187" s="45">
        <v>1</v>
      </c>
      <c r="T187" s="45">
        <v>0</v>
      </c>
      <c r="U187" s="46">
        <v>0</v>
      </c>
      <c r="V187" s="46">
        <v>3.774E-3</v>
      </c>
      <c r="W187" s="47"/>
      <c r="X187" s="47"/>
      <c r="Y187" s="47"/>
      <c r="Z187" s="46"/>
      <c r="AA187" s="68">
        <v>187</v>
      </c>
      <c r="AB187"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87" s="69"/>
      <c r="AD187" t="s">
        <v>2822</v>
      </c>
      <c r="AE187" s="77" t="s">
        <v>2413</v>
      </c>
      <c r="AF187">
        <v>2441</v>
      </c>
      <c r="AG187">
        <v>1092</v>
      </c>
      <c r="AH187">
        <v>22444</v>
      </c>
      <c r="AI187">
        <v>101</v>
      </c>
      <c r="AJ187">
        <v>15158</v>
      </c>
      <c r="AK187">
        <v>1861</v>
      </c>
      <c r="AL187" t="b">
        <v>0</v>
      </c>
      <c r="AM187" s="76">
        <v>39168.447280092594</v>
      </c>
      <c r="AN187" t="s">
        <v>3471</v>
      </c>
      <c r="AO187" t="s">
        <v>3754</v>
      </c>
      <c r="AP187" s="79" t="str">
        <f>HYPERLINK("https://t.co/gyV8qEcKCU")</f>
        <v>https://t.co/gyV8qEcKCU</v>
      </c>
      <c r="AQ187" s="79" t="str">
        <f>HYPERLINK("https://guaix.fis.ucm.es/tess/")</f>
        <v>https://guaix.fis.ucm.es/tess/</v>
      </c>
      <c r="AR187" t="s">
        <v>4105</v>
      </c>
      <c r="AS187" s="79" t="str">
        <f>HYPERLINK("https://t.co/gyV8qEcKCU")</f>
        <v>https://t.co/gyV8qEcKCU</v>
      </c>
      <c r="AT187" s="79" t="str">
        <f>HYPERLINK("https://guaix.fis.ucm.es/tess/")</f>
        <v>https://guaix.fis.ucm.es/tess/</v>
      </c>
      <c r="AU187" t="s">
        <v>4105</v>
      </c>
      <c r="AV187">
        <v>9.0220296858129997E+17</v>
      </c>
      <c r="AW187" s="79" t="str">
        <f>HYPERLINK("https://t.co/gyV8qEcKCU")</f>
        <v>https://t.co/gyV8qEcKCU</v>
      </c>
      <c r="AX187" t="b">
        <v>0</v>
      </c>
      <c r="AZ187" t="b">
        <v>0</v>
      </c>
      <c r="BA187" t="b">
        <v>0</v>
      </c>
      <c r="BB187" t="b">
        <v>1</v>
      </c>
      <c r="BC187" t="b">
        <v>0</v>
      </c>
      <c r="BD187" t="b">
        <v>0</v>
      </c>
      <c r="BE187" t="b">
        <v>1</v>
      </c>
      <c r="BF187" t="b">
        <v>0</v>
      </c>
      <c r="BG187" t="b">
        <v>0</v>
      </c>
      <c r="BJ187" t="s">
        <v>4320</v>
      </c>
      <c r="BK187" t="b">
        <v>0</v>
      </c>
      <c r="BM187" t="s">
        <v>65</v>
      </c>
      <c r="BN187" t="s">
        <v>4322</v>
      </c>
      <c r="BO187" s="79" t="str">
        <f>HYPERLINK("https://twitter.com/cefalopodo")</f>
        <v>https://twitter.com/cefalopodo</v>
      </c>
      <c r="BP187" s="112" t="str">
        <f>REPLACE(INDEX(GroupVertices[Group], MATCH("~"&amp;Vertices[[#This Row],[Vertex]],GroupVertices[Vertex],0)),1,1,"")</f>
        <v>24</v>
      </c>
      <c r="BQ187" s="2"/>
    </row>
    <row r="188" spans="1:69" x14ac:dyDescent="0.25">
      <c r="A188" s="61" t="s">
        <v>290</v>
      </c>
      <c r="B188" s="62"/>
      <c r="C188" s="62"/>
      <c r="D188" s="63">
        <v>1.5</v>
      </c>
      <c r="E188" s="65"/>
      <c r="F188" s="97" t="str">
        <f>HYPERLINK("https://pbs.twimg.com/profile_images/1790340736237338625/TuOpNyGy_normal.jpg")</f>
        <v>https://pbs.twimg.com/profile_images/1790340736237338625/TuOpNyGy_normal.jpg</v>
      </c>
      <c r="G188" s="62"/>
      <c r="H188" s="66"/>
      <c r="I188" s="67"/>
      <c r="J188" s="67"/>
      <c r="K188" s="66" t="s">
        <v>4462</v>
      </c>
      <c r="L188" s="70"/>
      <c r="M188" s="71">
        <v>599.86077880859375</v>
      </c>
      <c r="N188" s="71">
        <v>4642.00341796875</v>
      </c>
      <c r="O188" s="72"/>
      <c r="P188" s="73"/>
      <c r="Q188" s="73"/>
      <c r="R188" s="81"/>
      <c r="S188" s="45">
        <v>1</v>
      </c>
      <c r="T188" s="45">
        <v>1</v>
      </c>
      <c r="U188" s="46">
        <v>0</v>
      </c>
      <c r="V188" s="46">
        <v>0</v>
      </c>
      <c r="W188" s="47"/>
      <c r="X188" s="47"/>
      <c r="Y188" s="47"/>
      <c r="Z188" s="46"/>
      <c r="AA188" s="68">
        <v>188</v>
      </c>
      <c r="AB188"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88" s="69"/>
      <c r="AD188" t="s">
        <v>2823</v>
      </c>
      <c r="AE188" s="77" t="s">
        <v>3214</v>
      </c>
      <c r="AF188">
        <v>1894</v>
      </c>
      <c r="AG188">
        <v>2126</v>
      </c>
      <c r="AH188">
        <v>138505</v>
      </c>
      <c r="AI188">
        <v>35</v>
      </c>
      <c r="AJ188">
        <v>10198</v>
      </c>
      <c r="AK188">
        <v>18924</v>
      </c>
      <c r="AL188" t="b">
        <v>0</v>
      </c>
      <c r="AM188" s="76">
        <v>40305.619618055556</v>
      </c>
      <c r="AN188" t="s">
        <v>3472</v>
      </c>
      <c r="AO188" t="s">
        <v>3755</v>
      </c>
      <c r="AP188" s="79" t="str">
        <f>HYPERLINK("https://t.co/VigFoF1PkA")</f>
        <v>https://t.co/VigFoF1PkA</v>
      </c>
      <c r="AQ188" s="79" t="str">
        <f>HYPERLINK("http://www.bionoticias.cl/web/")</f>
        <v>http://www.bionoticias.cl/web/</v>
      </c>
      <c r="AR188" t="s">
        <v>4106</v>
      </c>
      <c r="AS188" t="s">
        <v>4242</v>
      </c>
      <c r="AT188" t="s">
        <v>4255</v>
      </c>
      <c r="AU188" t="s">
        <v>4284</v>
      </c>
      <c r="AW188" s="79" t="str">
        <f>HYPERLINK("https://t.co/VigFoF1PkA")</f>
        <v>https://t.co/VigFoF1PkA</v>
      </c>
      <c r="AX188" t="b">
        <v>0</v>
      </c>
      <c r="BA188" t="b">
        <v>0</v>
      </c>
      <c r="BB188" t="b">
        <v>1</v>
      </c>
      <c r="BC188" t="b">
        <v>0</v>
      </c>
      <c r="BD188" t="b">
        <v>0</v>
      </c>
      <c r="BE188" t="b">
        <v>0</v>
      </c>
      <c r="BF188" t="b">
        <v>0</v>
      </c>
      <c r="BG188" t="b">
        <v>0</v>
      </c>
      <c r="BH188" s="79" t="str">
        <f>HYPERLINK("https://pbs.twimg.com/profile_banners/141240332/1719548087")</f>
        <v>https://pbs.twimg.com/profile_banners/141240332/1719548087</v>
      </c>
      <c r="BJ188" t="s">
        <v>4320</v>
      </c>
      <c r="BK188" t="b">
        <v>0</v>
      </c>
      <c r="BM188" t="s">
        <v>66</v>
      </c>
      <c r="BN188" t="s">
        <v>4322</v>
      </c>
      <c r="BO188" s="79" t="str">
        <f>HYPERLINK("https://twitter.com/chandiafer")</f>
        <v>https://twitter.com/chandiafer</v>
      </c>
      <c r="BP188" s="112" t="str">
        <f>REPLACE(INDEX(GroupVertices[Group], MATCH("~"&amp;Vertices[[#This Row],[Vertex]],GroupVertices[Vertex],0)),1,1,"")</f>
        <v>135</v>
      </c>
      <c r="BQ188" s="2"/>
    </row>
    <row r="189" spans="1:69" x14ac:dyDescent="0.25">
      <c r="A189" s="61" t="s">
        <v>291</v>
      </c>
      <c r="B189" s="62"/>
      <c r="C189" s="62"/>
      <c r="D189" s="63">
        <v>1.5</v>
      </c>
      <c r="E189" s="65"/>
      <c r="F189" s="97" t="str">
        <f>HYPERLINK("https://pbs.twimg.com/profile_images/1266088127895986176/foWjU4Ss_normal.jpg")</f>
        <v>https://pbs.twimg.com/profile_images/1266088127895986176/foWjU4Ss_normal.jpg</v>
      </c>
      <c r="G189" s="62"/>
      <c r="H189" s="66"/>
      <c r="I189" s="67"/>
      <c r="J189" s="67"/>
      <c r="K189" s="66" t="s">
        <v>4463</v>
      </c>
      <c r="L189" s="70"/>
      <c r="M189" s="71">
        <v>4003.47998046875</v>
      </c>
      <c r="N189" s="71">
        <v>8974.2978515625</v>
      </c>
      <c r="O189" s="72"/>
      <c r="P189" s="73"/>
      <c r="Q189" s="73"/>
      <c r="R189" s="81"/>
      <c r="S189" s="45">
        <v>1</v>
      </c>
      <c r="T189" s="45">
        <v>1</v>
      </c>
      <c r="U189" s="46">
        <v>0</v>
      </c>
      <c r="V189" s="46">
        <v>0</v>
      </c>
      <c r="W189" s="47"/>
      <c r="X189" s="47"/>
      <c r="Y189" s="47"/>
      <c r="Z189" s="46"/>
      <c r="AA189" s="68">
        <v>189</v>
      </c>
      <c r="AB189"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89" s="69"/>
      <c r="AD189" t="s">
        <v>2824</v>
      </c>
      <c r="AE189" s="77" t="s">
        <v>2564</v>
      </c>
      <c r="AF189">
        <v>294</v>
      </c>
      <c r="AG189">
        <v>249</v>
      </c>
      <c r="AH189">
        <v>6845</v>
      </c>
      <c r="AI189">
        <v>3</v>
      </c>
      <c r="AJ189">
        <v>58</v>
      </c>
      <c r="AK189">
        <v>1014</v>
      </c>
      <c r="AL189" t="b">
        <v>0</v>
      </c>
      <c r="AM189" s="76">
        <v>43339.704791666663</v>
      </c>
      <c r="AN189" t="s">
        <v>3473</v>
      </c>
      <c r="AO189" t="s">
        <v>3756</v>
      </c>
      <c r="AP189" s="79" t="str">
        <f>HYPERLINK("https://t.co/4rNLrzDzgQ")</f>
        <v>https://t.co/4rNLrzDzgQ</v>
      </c>
      <c r="AQ189" s="79" t="str">
        <f>HYPERLINK("https://portaleduca.cl/")</f>
        <v>https://portaleduca.cl/</v>
      </c>
      <c r="AR189" t="s">
        <v>1148</v>
      </c>
      <c r="AS189" s="79" t="str">
        <f>HYPERLINK("https://t.co/GRvPEx19Cx")</f>
        <v>https://t.co/GRvPEx19Cx</v>
      </c>
      <c r="AT189" s="79" t="str">
        <f>HYPERLINK("http://grupoprensadigital.cl")</f>
        <v>http://grupoprensadigital.cl</v>
      </c>
      <c r="AU189" t="s">
        <v>4285</v>
      </c>
      <c r="AV189">
        <v>1.66393248721758E+18</v>
      </c>
      <c r="AW189" s="79" t="str">
        <f>HYPERLINK("https://t.co/4rNLrzDzgQ")</f>
        <v>https://t.co/4rNLrzDzgQ</v>
      </c>
      <c r="AX189" t="b">
        <v>0</v>
      </c>
      <c r="BA189" t="b">
        <v>0</v>
      </c>
      <c r="BB189" t="b">
        <v>1</v>
      </c>
      <c r="BC189" t="b">
        <v>1</v>
      </c>
      <c r="BD189" t="b">
        <v>0</v>
      </c>
      <c r="BE189" t="b">
        <v>0</v>
      </c>
      <c r="BF189" t="b">
        <v>0</v>
      </c>
      <c r="BG189" t="b">
        <v>0</v>
      </c>
      <c r="BH189" s="79" t="str">
        <f>HYPERLINK("https://pbs.twimg.com/profile_banners/1034122091136790528/1535594856")</f>
        <v>https://pbs.twimg.com/profile_banners/1034122091136790528/1535594856</v>
      </c>
      <c r="BJ189" t="s">
        <v>4320</v>
      </c>
      <c r="BK189" t="b">
        <v>0</v>
      </c>
      <c r="BM189" t="s">
        <v>66</v>
      </c>
      <c r="BN189" t="s">
        <v>4322</v>
      </c>
      <c r="BO189" s="79" t="str">
        <f>HYPERLINK("https://twitter.com/prensa_educa")</f>
        <v>https://twitter.com/prensa_educa</v>
      </c>
      <c r="BP189" s="112" t="str">
        <f>REPLACE(INDEX(GroupVertices[Group], MATCH("~"&amp;Vertices[[#This Row],[Vertex]],GroupVertices[Vertex],0)),1,1,"")</f>
        <v>143</v>
      </c>
      <c r="BQ189" s="2"/>
    </row>
    <row r="190" spans="1:69" x14ac:dyDescent="0.25">
      <c r="A190" s="61" t="s">
        <v>571</v>
      </c>
      <c r="B190" s="62"/>
      <c r="C190" s="62"/>
      <c r="D190" s="63">
        <v>1.5</v>
      </c>
      <c r="E190" s="65"/>
      <c r="F190" s="97" t="str">
        <f>HYPERLINK("https://pbs.twimg.com/profile_images/1737874480070881280/lYPWdz-i_normal.jpg")</f>
        <v>https://pbs.twimg.com/profile_images/1737874480070881280/lYPWdz-i_normal.jpg</v>
      </c>
      <c r="G190" s="62"/>
      <c r="H190" s="66"/>
      <c r="I190" s="67"/>
      <c r="J190" s="67"/>
      <c r="K190" s="66" t="s">
        <v>4465</v>
      </c>
      <c r="L190" s="70"/>
      <c r="M190" s="71">
        <v>8151.06982421875</v>
      </c>
      <c r="N190" s="71">
        <v>5160.09521484375</v>
      </c>
      <c r="O190" s="72"/>
      <c r="P190" s="73"/>
      <c r="Q190" s="73"/>
      <c r="R190" s="81"/>
      <c r="S190" s="45">
        <v>1</v>
      </c>
      <c r="T190" s="45">
        <v>0</v>
      </c>
      <c r="U190" s="46">
        <v>0</v>
      </c>
      <c r="V190" s="46">
        <v>4.7920000000000003E-3</v>
      </c>
      <c r="W190" s="47"/>
      <c r="X190" s="47"/>
      <c r="Y190" s="47"/>
      <c r="Z190" s="46"/>
      <c r="AA190" s="68">
        <v>190</v>
      </c>
      <c r="AB190"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90" s="69"/>
      <c r="AD190" t="s">
        <v>2826</v>
      </c>
      <c r="AE190" s="77" t="s">
        <v>2414</v>
      </c>
      <c r="AF190">
        <v>1473</v>
      </c>
      <c r="AG190">
        <v>2018</v>
      </c>
      <c r="AH190">
        <v>3402</v>
      </c>
      <c r="AI190">
        <v>11</v>
      </c>
      <c r="AJ190">
        <v>7869</v>
      </c>
      <c r="AK190">
        <v>4</v>
      </c>
      <c r="AL190" t="b">
        <v>0</v>
      </c>
      <c r="AM190" s="76">
        <v>43028.287476851852</v>
      </c>
      <c r="AX190" t="b">
        <v>1</v>
      </c>
      <c r="AZ190" t="b">
        <v>0</v>
      </c>
      <c r="BA190" t="b">
        <v>0</v>
      </c>
      <c r="BB190" t="b">
        <v>1</v>
      </c>
      <c r="BC190" t="b">
        <v>1</v>
      </c>
      <c r="BD190" t="b">
        <v>0</v>
      </c>
      <c r="BE190" t="b">
        <v>0</v>
      </c>
      <c r="BF190" t="b">
        <v>0</v>
      </c>
      <c r="BG190" t="b">
        <v>0</v>
      </c>
      <c r="BJ190" t="s">
        <v>4320</v>
      </c>
      <c r="BK190" t="b">
        <v>0</v>
      </c>
      <c r="BM190" t="s">
        <v>65</v>
      </c>
      <c r="BN190" t="s">
        <v>4322</v>
      </c>
      <c r="BO190" s="79" t="str">
        <f>HYPERLINK("https://twitter.com/manolo67985717")</f>
        <v>https://twitter.com/manolo67985717</v>
      </c>
      <c r="BP190" s="112" t="str">
        <f>REPLACE(INDEX(GroupVertices[Group], MATCH("~"&amp;Vertices[[#This Row],[Vertex]],GroupVertices[Vertex],0)),1,1,"")</f>
        <v>13</v>
      </c>
      <c r="BQ190" s="2"/>
    </row>
    <row r="191" spans="1:69" x14ac:dyDescent="0.25">
      <c r="A191" s="61" t="s">
        <v>572</v>
      </c>
      <c r="B191" s="62"/>
      <c r="C191" s="62"/>
      <c r="D191" s="63">
        <v>1.5</v>
      </c>
      <c r="E191" s="65"/>
      <c r="F191" s="97" t="str">
        <f>HYPERLINK("https://pbs.twimg.com/profile_images/847436402383925248/xgQoFEk0_normal.jpg")</f>
        <v>https://pbs.twimg.com/profile_images/847436402383925248/xgQoFEk0_normal.jpg</v>
      </c>
      <c r="G191" s="62"/>
      <c r="H191" s="66"/>
      <c r="I191" s="67"/>
      <c r="J191" s="67"/>
      <c r="K191" s="66" t="s">
        <v>4466</v>
      </c>
      <c r="L191" s="70"/>
      <c r="M191" s="71">
        <v>3813.78564453125</v>
      </c>
      <c r="N191" s="71">
        <v>7421.16552734375</v>
      </c>
      <c r="O191" s="72"/>
      <c r="P191" s="73"/>
      <c r="Q191" s="73"/>
      <c r="R191" s="81"/>
      <c r="S191" s="45">
        <v>1</v>
      </c>
      <c r="T191" s="45">
        <v>0</v>
      </c>
      <c r="U191" s="46">
        <v>0</v>
      </c>
      <c r="V191" s="46">
        <v>4.7920000000000003E-3</v>
      </c>
      <c r="W191" s="47"/>
      <c r="X191" s="47"/>
      <c r="Y191" s="47"/>
      <c r="Z191" s="46"/>
      <c r="AA191" s="68">
        <v>191</v>
      </c>
      <c r="AB191"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91" s="69"/>
      <c r="AD191" t="s">
        <v>2827</v>
      </c>
      <c r="AE191" s="77" t="s">
        <v>3215</v>
      </c>
      <c r="AF191">
        <v>70744</v>
      </c>
      <c r="AG191">
        <v>1556</v>
      </c>
      <c r="AH191">
        <v>51813</v>
      </c>
      <c r="AI191">
        <v>195</v>
      </c>
      <c r="AJ191">
        <v>47281</v>
      </c>
      <c r="AK191">
        <v>6760</v>
      </c>
      <c r="AL191" t="b">
        <v>0</v>
      </c>
      <c r="AM191" s="76">
        <v>40963.856851851851</v>
      </c>
      <c r="AN191" t="s">
        <v>3431</v>
      </c>
      <c r="AO191" t="s">
        <v>3757</v>
      </c>
      <c r="AP191" s="79" t="str">
        <f>HYPERLINK("https://t.co/JF3vhtEi7s")</f>
        <v>https://t.co/JF3vhtEi7s</v>
      </c>
      <c r="AQ191" s="79" t="str">
        <f>HYPERLINK("http://www.instagram.com/superrostar/")</f>
        <v>http://www.instagram.com/superrostar/</v>
      </c>
      <c r="AR191" t="s">
        <v>4107</v>
      </c>
      <c r="AV191">
        <v>1.9084411326708201E+18</v>
      </c>
      <c r="AW191" s="79" t="str">
        <f>HYPERLINK("https://t.co/JF3vhtEi7s")</f>
        <v>https://t.co/JF3vhtEi7s</v>
      </c>
      <c r="AX191" t="b">
        <v>0</v>
      </c>
      <c r="AZ191" t="b">
        <v>0</v>
      </c>
      <c r="BA191" t="b">
        <v>0</v>
      </c>
      <c r="BB191" t="b">
        <v>1</v>
      </c>
      <c r="BC191" t="b">
        <v>0</v>
      </c>
      <c r="BD191" t="b">
        <v>0</v>
      </c>
      <c r="BE191" t="b">
        <v>1</v>
      </c>
      <c r="BF191" t="b">
        <v>0</v>
      </c>
      <c r="BG191" t="b">
        <v>0</v>
      </c>
      <c r="BH191" s="79" t="str">
        <f>HYPERLINK("https://pbs.twimg.com/profile_banners/502111935/1704901241")</f>
        <v>https://pbs.twimg.com/profile_banners/502111935/1704901241</v>
      </c>
      <c r="BJ191" t="s">
        <v>4320</v>
      </c>
      <c r="BK191" t="b">
        <v>0</v>
      </c>
      <c r="BM191" t="s">
        <v>65</v>
      </c>
      <c r="BN191" t="s">
        <v>4322</v>
      </c>
      <c r="BO191" s="79" t="str">
        <f>HYPERLINK("https://twitter.com/rbsotomayor")</f>
        <v>https://twitter.com/rbsotomayor</v>
      </c>
      <c r="BP191" s="112" t="str">
        <f>REPLACE(INDEX(GroupVertices[Group], MATCH("~"&amp;Vertices[[#This Row],[Vertex]],GroupVertices[Vertex],0)),1,1,"")</f>
        <v>13</v>
      </c>
      <c r="BQ191" s="2"/>
    </row>
    <row r="192" spans="1:69" x14ac:dyDescent="0.25">
      <c r="A192" s="61" t="s">
        <v>573</v>
      </c>
      <c r="B192" s="62"/>
      <c r="C192" s="62"/>
      <c r="D192" s="63">
        <v>1.5</v>
      </c>
      <c r="E192" s="65"/>
      <c r="F192" s="97" t="str">
        <f>HYPERLINK("https://pbs.twimg.com/profile_images/1677759075088465920/fFRHtd36_normal.jpg")</f>
        <v>https://pbs.twimg.com/profile_images/1677759075088465920/fFRHtd36_normal.jpg</v>
      </c>
      <c r="G192" s="62"/>
      <c r="H192" s="66"/>
      <c r="I192" s="67"/>
      <c r="J192" s="67"/>
      <c r="K192" s="66" t="s">
        <v>4467</v>
      </c>
      <c r="L192" s="70"/>
      <c r="M192" s="71">
        <v>6659.3291015625</v>
      </c>
      <c r="N192" s="71">
        <v>8989.1357421875</v>
      </c>
      <c r="O192" s="72"/>
      <c r="P192" s="73"/>
      <c r="Q192" s="73"/>
      <c r="R192" s="81"/>
      <c r="S192" s="45">
        <v>1</v>
      </c>
      <c r="T192" s="45">
        <v>0</v>
      </c>
      <c r="U192" s="46">
        <v>0</v>
      </c>
      <c r="V192" s="46">
        <v>4.7920000000000003E-3</v>
      </c>
      <c r="W192" s="47"/>
      <c r="X192" s="47"/>
      <c r="Y192" s="47"/>
      <c r="Z192" s="46"/>
      <c r="AA192" s="68">
        <v>192</v>
      </c>
      <c r="AB192"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92" s="69"/>
      <c r="AD192" t="s">
        <v>2828</v>
      </c>
      <c r="AE192" s="77" t="s">
        <v>2415</v>
      </c>
      <c r="AF192">
        <v>16255</v>
      </c>
      <c r="AG192">
        <v>16316</v>
      </c>
      <c r="AH192">
        <v>44221</v>
      </c>
      <c r="AI192">
        <v>10</v>
      </c>
      <c r="AJ192">
        <v>63127</v>
      </c>
      <c r="AK192">
        <v>1725</v>
      </c>
      <c r="AL192" t="b">
        <v>0</v>
      </c>
      <c r="AM192" s="76">
        <v>45077.928460648145</v>
      </c>
      <c r="AO192" t="s">
        <v>3758</v>
      </c>
      <c r="AV192">
        <v>1.9291657911082299E+18</v>
      </c>
      <c r="AX192" t="b">
        <v>1</v>
      </c>
      <c r="AZ192" t="b">
        <v>0</v>
      </c>
      <c r="BA192" t="b">
        <v>0</v>
      </c>
      <c r="BB192" t="b">
        <v>1</v>
      </c>
      <c r="BC192" t="b">
        <v>1</v>
      </c>
      <c r="BD192" t="b">
        <v>0</v>
      </c>
      <c r="BE192" t="b">
        <v>0</v>
      </c>
      <c r="BF192" t="b">
        <v>0</v>
      </c>
      <c r="BG192" t="b">
        <v>0</v>
      </c>
      <c r="BH192" s="79" t="str">
        <f>HYPERLINK("https://pbs.twimg.com/profile_banners/1664033130410303495/1701461389")</f>
        <v>https://pbs.twimg.com/profile_banners/1664033130410303495/1701461389</v>
      </c>
      <c r="BJ192" t="s">
        <v>4320</v>
      </c>
      <c r="BK192" t="b">
        <v>0</v>
      </c>
      <c r="BM192" t="s">
        <v>65</v>
      </c>
      <c r="BN192" t="s">
        <v>4322</v>
      </c>
      <c r="BO192" s="79" t="str">
        <f>HYPERLINK("https://twitter.com/malules7532791")</f>
        <v>https://twitter.com/malules7532791</v>
      </c>
      <c r="BP192" s="112" t="str">
        <f>REPLACE(INDEX(GroupVertices[Group], MATCH("~"&amp;Vertices[[#This Row],[Vertex]],GroupVertices[Vertex],0)),1,1,"")</f>
        <v>13</v>
      </c>
      <c r="BQ192" s="2"/>
    </row>
    <row r="193" spans="1:69" x14ac:dyDescent="0.25">
      <c r="A193" s="61" t="s">
        <v>501</v>
      </c>
      <c r="B193" s="62"/>
      <c r="C193" s="62"/>
      <c r="D193" s="63">
        <v>1.5</v>
      </c>
      <c r="E193" s="65"/>
      <c r="F193" s="97" t="str">
        <f>HYPERLINK("https://pbs.twimg.com/profile_images/1917524672440066048/CafUNyWs_normal.jpg")</f>
        <v>https://pbs.twimg.com/profile_images/1917524672440066048/CafUNyWs_normal.jpg</v>
      </c>
      <c r="G193" s="62"/>
      <c r="H193" s="66"/>
      <c r="I193" s="67"/>
      <c r="J193" s="67"/>
      <c r="K193" s="66" t="s">
        <v>4468</v>
      </c>
      <c r="L193" s="70"/>
      <c r="M193" s="71">
        <v>5613.39794921875</v>
      </c>
      <c r="N193" s="71">
        <v>5463.501953125</v>
      </c>
      <c r="O193" s="72"/>
      <c r="P193" s="73"/>
      <c r="Q193" s="73"/>
      <c r="R193" s="81"/>
      <c r="S193" s="45">
        <v>2</v>
      </c>
      <c r="T193" s="45">
        <v>1</v>
      </c>
      <c r="U193" s="46">
        <v>0</v>
      </c>
      <c r="V193" s="46">
        <v>4.7920000000000003E-3</v>
      </c>
      <c r="W193" s="47"/>
      <c r="X193" s="47"/>
      <c r="Y193" s="47"/>
      <c r="Z193" s="46"/>
      <c r="AA193" s="68">
        <v>193</v>
      </c>
      <c r="AB193"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93" s="69"/>
      <c r="AD193" t="s">
        <v>2829</v>
      </c>
      <c r="AE193" s="77" t="s">
        <v>3216</v>
      </c>
      <c r="AF193">
        <v>509616</v>
      </c>
      <c r="AG193">
        <v>3766</v>
      </c>
      <c r="AH193">
        <v>185734</v>
      </c>
      <c r="AI193">
        <v>2957</v>
      </c>
      <c r="AJ193">
        <v>23682</v>
      </c>
      <c r="AK193">
        <v>12329</v>
      </c>
      <c r="AL193" t="b">
        <v>0</v>
      </c>
      <c r="AM193" s="76">
        <v>40149.999513888892</v>
      </c>
      <c r="AN193" t="s">
        <v>3474</v>
      </c>
      <c r="AO193" t="s">
        <v>3759</v>
      </c>
      <c r="AP193" s="79" t="str">
        <f>HYPERLINK("https://t.co/E6ZjelZMQq")</f>
        <v>https://t.co/E6ZjelZMQq</v>
      </c>
      <c r="AQ193" s="79" t="str">
        <f>HYPERLINK("https://www.instagram.com/_antoniomaestre_?igsh=YzZnMWx3dnd4YXcz&amp;utm_source=qr")</f>
        <v>https://www.instagram.com/_antoniomaestre_?igsh=YzZnMWx3dnd4YXcz&amp;utm_source=qr</v>
      </c>
      <c r="AR193" t="s">
        <v>4108</v>
      </c>
      <c r="AV193">
        <v>1.9092866651657201E+18</v>
      </c>
      <c r="AW193" s="79" t="str">
        <f>HYPERLINK("https://t.co/E6ZjelZMQq")</f>
        <v>https://t.co/E6ZjelZMQq</v>
      </c>
      <c r="AX193" t="b">
        <v>1</v>
      </c>
      <c r="BA193" t="b">
        <v>0</v>
      </c>
      <c r="BB193" t="b">
        <v>0</v>
      </c>
      <c r="BC193" t="b">
        <v>0</v>
      </c>
      <c r="BD193" t="b">
        <v>0</v>
      </c>
      <c r="BE193" t="b">
        <v>1</v>
      </c>
      <c r="BF193" t="b">
        <v>0</v>
      </c>
      <c r="BG193" t="b">
        <v>0</v>
      </c>
      <c r="BH193" s="79" t="str">
        <f>HYPERLINK("https://pbs.twimg.com/profile_banners/94208950/1703509019")</f>
        <v>https://pbs.twimg.com/profile_banners/94208950/1703509019</v>
      </c>
      <c r="BJ193" t="s">
        <v>4320</v>
      </c>
      <c r="BK193" t="b">
        <v>0</v>
      </c>
      <c r="BM193" t="s">
        <v>66</v>
      </c>
      <c r="BN193" t="s">
        <v>4322</v>
      </c>
      <c r="BO193" s="79" t="str">
        <f>HYPERLINK("https://twitter.com/antoniomaestre")</f>
        <v>https://twitter.com/antoniomaestre</v>
      </c>
      <c r="BP193" s="112" t="str">
        <f>REPLACE(INDEX(GroupVertices[Group], MATCH("~"&amp;Vertices[[#This Row],[Vertex]],GroupVertices[Vertex],0)),1,1,"")</f>
        <v>13</v>
      </c>
      <c r="BQ193" s="2"/>
    </row>
    <row r="194" spans="1:69" x14ac:dyDescent="0.25">
      <c r="A194" s="61" t="s">
        <v>293</v>
      </c>
      <c r="B194" s="62"/>
      <c r="C194" s="62"/>
      <c r="D194" s="63">
        <v>1.5</v>
      </c>
      <c r="E194" s="65"/>
      <c r="F194" s="97" t="str">
        <f>HYPERLINK("https://pbs.twimg.com/profile_images/1389908032709091329/R2SPQ-cL_normal.jpg")</f>
        <v>https://pbs.twimg.com/profile_images/1389908032709091329/R2SPQ-cL_normal.jpg</v>
      </c>
      <c r="G194" s="62"/>
      <c r="H194" s="66"/>
      <c r="I194" s="67"/>
      <c r="J194" s="67"/>
      <c r="K194" s="66" t="s">
        <v>4469</v>
      </c>
      <c r="L194" s="70"/>
      <c r="M194" s="71">
        <v>5012.57421875</v>
      </c>
      <c r="N194" s="71">
        <v>8645.337890625</v>
      </c>
      <c r="O194" s="72"/>
      <c r="P194" s="73"/>
      <c r="Q194" s="73"/>
      <c r="R194" s="81"/>
      <c r="S194" s="45">
        <v>0</v>
      </c>
      <c r="T194" s="45">
        <v>1</v>
      </c>
      <c r="U194" s="46">
        <v>0</v>
      </c>
      <c r="V194" s="46">
        <v>2.0960000000000002E-3</v>
      </c>
      <c r="W194" s="47"/>
      <c r="X194" s="47"/>
      <c r="Y194" s="47"/>
      <c r="Z194" s="46"/>
      <c r="AA194" s="68">
        <v>194</v>
      </c>
      <c r="AB194"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94" s="69"/>
      <c r="AD194" t="s">
        <v>2830</v>
      </c>
      <c r="AE194" s="77" t="s">
        <v>3217</v>
      </c>
      <c r="AF194">
        <v>366</v>
      </c>
      <c r="AG194">
        <v>809</v>
      </c>
      <c r="AH194">
        <v>11047</v>
      </c>
      <c r="AI194">
        <v>3</v>
      </c>
      <c r="AJ194">
        <v>1170</v>
      </c>
      <c r="AK194">
        <v>215</v>
      </c>
      <c r="AL194" t="b">
        <v>0</v>
      </c>
      <c r="AM194" s="76">
        <v>40695.474189814813</v>
      </c>
      <c r="AN194" t="s">
        <v>3475</v>
      </c>
      <c r="AO194" t="s">
        <v>3760</v>
      </c>
      <c r="AX194" t="b">
        <v>0</v>
      </c>
      <c r="BA194" t="b">
        <v>0</v>
      </c>
      <c r="BB194" t="b">
        <v>1</v>
      </c>
      <c r="BC194" t="b">
        <v>1</v>
      </c>
      <c r="BD194" t="b">
        <v>0</v>
      </c>
      <c r="BE194" t="b">
        <v>0</v>
      </c>
      <c r="BF194" t="b">
        <v>0</v>
      </c>
      <c r="BG194" t="b">
        <v>0</v>
      </c>
      <c r="BH194" s="79" t="str">
        <f>HYPERLINK("https://pbs.twimg.com/profile_banners/309009116/1723719874")</f>
        <v>https://pbs.twimg.com/profile_banners/309009116/1723719874</v>
      </c>
      <c r="BJ194" t="s">
        <v>4320</v>
      </c>
      <c r="BK194" t="b">
        <v>0</v>
      </c>
      <c r="BM194" t="s">
        <v>66</v>
      </c>
      <c r="BN194" t="s">
        <v>4322</v>
      </c>
      <c r="BO194" s="79" t="str">
        <f>HYPERLINK("https://twitter.com/manolitocino")</f>
        <v>https://twitter.com/manolitocino</v>
      </c>
      <c r="BP194" s="112" t="str">
        <f>REPLACE(INDEX(GroupVertices[Group], MATCH("~"&amp;Vertices[[#This Row],[Vertex]],GroupVertices[Vertex],0)),1,1,"")</f>
        <v>88</v>
      </c>
      <c r="BQ194" s="2"/>
    </row>
    <row r="195" spans="1:69" x14ac:dyDescent="0.25">
      <c r="A195" s="61" t="s">
        <v>574</v>
      </c>
      <c r="B195" s="62"/>
      <c r="C195" s="62"/>
      <c r="D195" s="63">
        <v>1.5</v>
      </c>
      <c r="E195" s="65"/>
      <c r="F195" s="97" t="str">
        <f>HYPERLINK("https://pbs.twimg.com/profile_images/1442563733063028738/7vpfKp_m_normal.jpg")</f>
        <v>https://pbs.twimg.com/profile_images/1442563733063028738/7vpfKp_m_normal.jpg</v>
      </c>
      <c r="G195" s="62"/>
      <c r="H195" s="66"/>
      <c r="I195" s="67"/>
      <c r="J195" s="67"/>
      <c r="K195" s="66" t="s">
        <v>4470</v>
      </c>
      <c r="L195" s="70"/>
      <c r="M195" s="71">
        <v>5650.6337890625</v>
      </c>
      <c r="N195" s="71">
        <v>9756.0791015625</v>
      </c>
      <c r="O195" s="72"/>
      <c r="P195" s="73"/>
      <c r="Q195" s="73"/>
      <c r="R195" s="81"/>
      <c r="S195" s="45">
        <v>1</v>
      </c>
      <c r="T195" s="45">
        <v>0</v>
      </c>
      <c r="U195" s="46">
        <v>0</v>
      </c>
      <c r="V195" s="46">
        <v>2.0960000000000002E-3</v>
      </c>
      <c r="W195" s="47"/>
      <c r="X195" s="47"/>
      <c r="Y195" s="47"/>
      <c r="Z195" s="46"/>
      <c r="AA195" s="68">
        <v>195</v>
      </c>
      <c r="AB195"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95" s="69"/>
      <c r="AD195" t="s">
        <v>2831</v>
      </c>
      <c r="AE195" s="77" t="s">
        <v>2416</v>
      </c>
      <c r="AF195">
        <v>1033377</v>
      </c>
      <c r="AG195">
        <v>5040</v>
      </c>
      <c r="AH195">
        <v>35527</v>
      </c>
      <c r="AI195">
        <v>4188</v>
      </c>
      <c r="AJ195">
        <v>51941</v>
      </c>
      <c r="AK195">
        <v>6994</v>
      </c>
      <c r="AL195" t="b">
        <v>0</v>
      </c>
      <c r="AM195" s="76">
        <v>40942.884675925925</v>
      </c>
      <c r="AO195" t="s">
        <v>3761</v>
      </c>
      <c r="AP195" s="79" t="str">
        <f>HYPERLINK("https://t.co/9LomAb4rG9")</f>
        <v>https://t.co/9LomAb4rG9</v>
      </c>
      <c r="AQ195" s="79" t="str">
        <f>HYPERLINK("http://twitch.tv/ierrejon/")</f>
        <v>http://twitch.tv/ierrejon/</v>
      </c>
      <c r="AR195" t="s">
        <v>4109</v>
      </c>
      <c r="AV195">
        <v>1.81620551811487E+18</v>
      </c>
      <c r="AW195" s="79" t="str">
        <f>HYPERLINK("https://t.co/9LomAb4rG9")</f>
        <v>https://t.co/9LomAb4rG9</v>
      </c>
      <c r="AX195" t="b">
        <v>1</v>
      </c>
      <c r="AZ195" t="b">
        <v>0</v>
      </c>
      <c r="BA195" t="b">
        <v>0</v>
      </c>
      <c r="BB195" t="b">
        <v>0</v>
      </c>
      <c r="BC195" t="b">
        <v>0</v>
      </c>
      <c r="BD195" t="b">
        <v>0</v>
      </c>
      <c r="BE195" t="b">
        <v>1</v>
      </c>
      <c r="BF195" t="b">
        <v>0</v>
      </c>
      <c r="BG195" t="b">
        <v>0</v>
      </c>
      <c r="BH195" s="79" t="str">
        <f>HYPERLINK("https://pbs.twimg.com/profile_banners/482389606/1572780087")</f>
        <v>https://pbs.twimg.com/profile_banners/482389606/1572780087</v>
      </c>
      <c r="BJ195" t="s">
        <v>4320</v>
      </c>
      <c r="BK195" t="b">
        <v>0</v>
      </c>
      <c r="BM195" t="s">
        <v>65</v>
      </c>
      <c r="BN195" t="s">
        <v>4322</v>
      </c>
      <c r="BO195" s="79" t="str">
        <f>HYPERLINK("https://twitter.com/ierrejon")</f>
        <v>https://twitter.com/ierrejon</v>
      </c>
      <c r="BP195" s="112" t="str">
        <f>REPLACE(INDEX(GroupVertices[Group], MATCH("~"&amp;Vertices[[#This Row],[Vertex]],GroupVertices[Vertex],0)),1,1,"")</f>
        <v>88</v>
      </c>
      <c r="BQ195" s="2"/>
    </row>
    <row r="196" spans="1:69" x14ac:dyDescent="0.25">
      <c r="A196" s="61" t="s">
        <v>294</v>
      </c>
      <c r="B196" s="62"/>
      <c r="C196" s="62"/>
      <c r="D196" s="63">
        <v>1.5</v>
      </c>
      <c r="E196" s="65"/>
      <c r="F196" s="97" t="str">
        <f>HYPERLINK("https://pbs.twimg.com/profile_images/1925251964880773121/TO0bRyYY_normal.jpg")</f>
        <v>https://pbs.twimg.com/profile_images/1925251964880773121/TO0bRyYY_normal.jpg</v>
      </c>
      <c r="G196" s="62"/>
      <c r="H196" s="66"/>
      <c r="I196" s="67"/>
      <c r="J196" s="67"/>
      <c r="K196" s="66" t="s">
        <v>4471</v>
      </c>
      <c r="L196" s="70"/>
      <c r="M196" s="71">
        <v>9385.4794921875</v>
      </c>
      <c r="N196" s="71">
        <v>2151.025390625</v>
      </c>
      <c r="O196" s="72"/>
      <c r="P196" s="73"/>
      <c r="Q196" s="73"/>
      <c r="R196" s="81"/>
      <c r="S196" s="45">
        <v>1</v>
      </c>
      <c r="T196" s="45">
        <v>1</v>
      </c>
      <c r="U196" s="46">
        <v>0</v>
      </c>
      <c r="V196" s="46">
        <v>0</v>
      </c>
      <c r="W196" s="47"/>
      <c r="X196" s="47"/>
      <c r="Y196" s="47"/>
      <c r="Z196" s="46"/>
      <c r="AA196" s="68">
        <v>196</v>
      </c>
      <c r="AB196"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96" s="69"/>
      <c r="AD196" t="s">
        <v>2832</v>
      </c>
      <c r="AE196" s="77" t="s">
        <v>2417</v>
      </c>
      <c r="AF196">
        <v>30</v>
      </c>
      <c r="AG196">
        <v>105</v>
      </c>
      <c r="AH196">
        <v>2053</v>
      </c>
      <c r="AI196">
        <v>0</v>
      </c>
      <c r="AJ196">
        <v>24576</v>
      </c>
      <c r="AK196">
        <v>221</v>
      </c>
      <c r="AL196" t="b">
        <v>0</v>
      </c>
      <c r="AM196" s="76">
        <v>44664.942858796298</v>
      </c>
      <c r="AO196" t="s">
        <v>3762</v>
      </c>
      <c r="AV196">
        <v>1.8795303547234501E+18</v>
      </c>
      <c r="AX196" t="b">
        <v>0</v>
      </c>
      <c r="BA196" t="b">
        <v>0</v>
      </c>
      <c r="BB196" t="b">
        <v>1</v>
      </c>
      <c r="BC196" t="b">
        <v>1</v>
      </c>
      <c r="BD196" t="b">
        <v>0</v>
      </c>
      <c r="BE196" t="b">
        <v>0</v>
      </c>
      <c r="BF196" t="b">
        <v>0</v>
      </c>
      <c r="BG196" t="b">
        <v>0</v>
      </c>
      <c r="BH196" s="79" t="str">
        <f>HYPERLINK("https://pbs.twimg.com/profile_banners/1514372213323055123/1743998901")</f>
        <v>https://pbs.twimg.com/profile_banners/1514372213323055123/1743998901</v>
      </c>
      <c r="BJ196" t="s">
        <v>4320</v>
      </c>
      <c r="BK196" t="b">
        <v>0</v>
      </c>
      <c r="BM196" t="s">
        <v>66</v>
      </c>
      <c r="BN196" t="s">
        <v>4322</v>
      </c>
      <c r="BO196" s="79" t="str">
        <f>HYPERLINK("https://twitter.com/hagov_wav")</f>
        <v>https://twitter.com/hagov_wav</v>
      </c>
      <c r="BP196" s="112" t="str">
        <f>REPLACE(INDEX(GroupVertices[Group], MATCH("~"&amp;Vertices[[#This Row],[Vertex]],GroupVertices[Vertex],0)),1,1,"")</f>
        <v>188</v>
      </c>
      <c r="BQ196" s="2"/>
    </row>
    <row r="197" spans="1:69" x14ac:dyDescent="0.25">
      <c r="A197" s="61" t="s">
        <v>296</v>
      </c>
      <c r="B197" s="62"/>
      <c r="C197" s="62"/>
      <c r="D197" s="63">
        <v>1.5</v>
      </c>
      <c r="E197" s="65"/>
      <c r="F197" s="97" t="str">
        <f>HYPERLINK("https://pbs.twimg.com/profile_images/1820173549572603904/kJxADlRp_normal.jpg")</f>
        <v>https://pbs.twimg.com/profile_images/1820173549572603904/kJxADlRp_normal.jpg</v>
      </c>
      <c r="G197" s="62"/>
      <c r="H197" s="66"/>
      <c r="I197" s="67"/>
      <c r="J197" s="67"/>
      <c r="K197" s="66" t="s">
        <v>4473</v>
      </c>
      <c r="L197" s="70"/>
      <c r="M197" s="71">
        <v>6718.71337890625</v>
      </c>
      <c r="N197" s="71">
        <v>6572.39208984375</v>
      </c>
      <c r="O197" s="72"/>
      <c r="P197" s="73"/>
      <c r="Q197" s="73"/>
      <c r="R197" s="81"/>
      <c r="S197" s="45">
        <v>0</v>
      </c>
      <c r="T197" s="45">
        <v>1</v>
      </c>
      <c r="U197" s="46">
        <v>0</v>
      </c>
      <c r="V197" s="46">
        <v>2.1939E-2</v>
      </c>
      <c r="W197" s="47"/>
      <c r="X197" s="47"/>
      <c r="Y197" s="47"/>
      <c r="Z197" s="46"/>
      <c r="AA197" s="68">
        <v>197</v>
      </c>
      <c r="AB197"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97" s="69"/>
      <c r="AD197" t="s">
        <v>2834</v>
      </c>
      <c r="AE197" s="77" t="s">
        <v>3219</v>
      </c>
      <c r="AF197">
        <v>525</v>
      </c>
      <c r="AG197">
        <v>1192</v>
      </c>
      <c r="AH197">
        <v>4074</v>
      </c>
      <c r="AI197">
        <v>4</v>
      </c>
      <c r="AJ197">
        <v>3416</v>
      </c>
      <c r="AK197">
        <v>117</v>
      </c>
      <c r="AL197" t="b">
        <v>0</v>
      </c>
      <c r="AM197" s="76">
        <v>40590.035300925927</v>
      </c>
      <c r="AN197" t="s">
        <v>3477</v>
      </c>
      <c r="AO197" t="s">
        <v>3764</v>
      </c>
      <c r="AP197" s="79" t="str">
        <f>HYPERLINK("https://t.co/UazgqE9KVq")</f>
        <v>https://t.co/UazgqE9KVq</v>
      </c>
      <c r="AQ197" s="79" t="str">
        <f>HYPERLINK("https://minervaysalud.wixsite.com/minervaysalud")</f>
        <v>https://minervaysalud.wixsite.com/minervaysalud</v>
      </c>
      <c r="AR197" t="s">
        <v>4110</v>
      </c>
      <c r="AW197" s="79" t="str">
        <f>HYPERLINK("https://t.co/UazgqE9KVq")</f>
        <v>https://t.co/UazgqE9KVq</v>
      </c>
      <c r="AX197" t="b">
        <v>0</v>
      </c>
      <c r="BA197" t="b">
        <v>0</v>
      </c>
      <c r="BB197" t="b">
        <v>1</v>
      </c>
      <c r="BC197" t="b">
        <v>0</v>
      </c>
      <c r="BD197" t="b">
        <v>0</v>
      </c>
      <c r="BE197" t="b">
        <v>1</v>
      </c>
      <c r="BF197" t="b">
        <v>0</v>
      </c>
      <c r="BG197" t="b">
        <v>0</v>
      </c>
      <c r="BH197" s="79" t="str">
        <f>HYPERLINK("https://pbs.twimg.com/profile_banners/252834303/1579306865")</f>
        <v>https://pbs.twimg.com/profile_banners/252834303/1579306865</v>
      </c>
      <c r="BJ197" t="s">
        <v>4320</v>
      </c>
      <c r="BK197" t="b">
        <v>0</v>
      </c>
      <c r="BM197" t="s">
        <v>66</v>
      </c>
      <c r="BN197" t="s">
        <v>4322</v>
      </c>
      <c r="BO197" s="79" t="str">
        <f>HYPERLINK("https://twitter.com/minervafdz")</f>
        <v>https://twitter.com/minervafdz</v>
      </c>
      <c r="BP197" s="112" t="str">
        <f>REPLACE(INDEX(GroupVertices[Group], MATCH("~"&amp;Vertices[[#This Row],[Vertex]],GroupVertices[Vertex],0)),1,1,"")</f>
        <v>5</v>
      </c>
      <c r="BQ197" s="2"/>
    </row>
    <row r="198" spans="1:69" x14ac:dyDescent="0.25">
      <c r="A198" s="61" t="s">
        <v>297</v>
      </c>
      <c r="B198" s="62"/>
      <c r="C198" s="62"/>
      <c r="D198" s="63">
        <v>1.5</v>
      </c>
      <c r="E198" s="65"/>
      <c r="F198" s="97" t="str">
        <f>HYPERLINK("https://pbs.twimg.com/profile_images/1658003213516144641/xgNotxEZ_normal.jpg")</f>
        <v>https://pbs.twimg.com/profile_images/1658003213516144641/xgNotxEZ_normal.jpg</v>
      </c>
      <c r="G198" s="62"/>
      <c r="H198" s="66"/>
      <c r="I198" s="67"/>
      <c r="J198" s="67"/>
      <c r="K198" s="66" t="s">
        <v>4474</v>
      </c>
      <c r="L198" s="70"/>
      <c r="M198" s="71">
        <v>7847.81201171875</v>
      </c>
      <c r="N198" s="71">
        <v>1951.315673828125</v>
      </c>
      <c r="O198" s="72"/>
      <c r="P198" s="73"/>
      <c r="Q198" s="73"/>
      <c r="R198" s="81"/>
      <c r="S198" s="45">
        <v>0</v>
      </c>
      <c r="T198" s="45">
        <v>1</v>
      </c>
      <c r="U198" s="46">
        <v>0</v>
      </c>
      <c r="V198" s="46">
        <v>2.0960000000000002E-3</v>
      </c>
      <c r="W198" s="47"/>
      <c r="X198" s="47"/>
      <c r="Y198" s="47"/>
      <c r="Z198" s="46"/>
      <c r="AA198" s="68">
        <v>198</v>
      </c>
      <c r="AB198"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98" s="69"/>
      <c r="AD198" t="s">
        <v>2835</v>
      </c>
      <c r="AE198" s="77" t="s">
        <v>2566</v>
      </c>
      <c r="AF198">
        <v>173</v>
      </c>
      <c r="AG198">
        <v>221</v>
      </c>
      <c r="AH198">
        <v>35195</v>
      </c>
      <c r="AI198">
        <v>3</v>
      </c>
      <c r="AJ198">
        <v>66865</v>
      </c>
      <c r="AK198">
        <v>2624</v>
      </c>
      <c r="AL198" t="b">
        <v>0</v>
      </c>
      <c r="AM198" s="76">
        <v>42755.401562500003</v>
      </c>
      <c r="AN198" t="s">
        <v>3478</v>
      </c>
      <c r="AO198" t="s">
        <v>3765</v>
      </c>
      <c r="AX198" t="b">
        <v>0</v>
      </c>
      <c r="BA198" t="b">
        <v>0</v>
      </c>
      <c r="BB198" t="b">
        <v>0</v>
      </c>
      <c r="BC198" t="b">
        <v>1</v>
      </c>
      <c r="BD198" t="b">
        <v>0</v>
      </c>
      <c r="BE198" t="b">
        <v>1</v>
      </c>
      <c r="BF198" t="b">
        <v>0</v>
      </c>
      <c r="BG198" t="b">
        <v>0</v>
      </c>
      <c r="BJ198" t="s">
        <v>4320</v>
      </c>
      <c r="BK198" t="b">
        <v>0</v>
      </c>
      <c r="BM198" t="s">
        <v>66</v>
      </c>
      <c r="BN198" t="s">
        <v>4322</v>
      </c>
      <c r="BO198" s="79" t="str">
        <f>HYPERLINK("https://twitter.com/moniato1")</f>
        <v>https://twitter.com/moniato1</v>
      </c>
      <c r="BP198" s="112" t="str">
        <f>REPLACE(INDEX(GroupVertices[Group], MATCH("~"&amp;Vertices[[#This Row],[Vertex]],GroupVertices[Vertex],0)),1,1,"")</f>
        <v>61</v>
      </c>
      <c r="BQ198" s="2"/>
    </row>
    <row r="199" spans="1:69" x14ac:dyDescent="0.25">
      <c r="A199" s="61" t="s">
        <v>575</v>
      </c>
      <c r="B199" s="62"/>
      <c r="C199" s="62"/>
      <c r="D199" s="63">
        <v>1.5</v>
      </c>
      <c r="E199" s="65"/>
      <c r="F199" s="97" t="str">
        <f>HYPERLINK("https://pbs.twimg.com/profile_images/1312066166752530433/ju6wvoWt_normal.jpg")</f>
        <v>https://pbs.twimg.com/profile_images/1312066166752530433/ju6wvoWt_normal.jpg</v>
      </c>
      <c r="G199" s="62"/>
      <c r="H199" s="66"/>
      <c r="I199" s="67"/>
      <c r="J199" s="67"/>
      <c r="K199" s="66" t="s">
        <v>4475</v>
      </c>
      <c r="L199" s="70"/>
      <c r="M199" s="71">
        <v>7020.69775390625</v>
      </c>
      <c r="N199" s="71">
        <v>1843.9405517578125</v>
      </c>
      <c r="O199" s="72"/>
      <c r="P199" s="73"/>
      <c r="Q199" s="73"/>
      <c r="R199" s="81"/>
      <c r="S199" s="45">
        <v>1</v>
      </c>
      <c r="T199" s="45">
        <v>0</v>
      </c>
      <c r="U199" s="46">
        <v>0</v>
      </c>
      <c r="V199" s="46">
        <v>2.0960000000000002E-3</v>
      </c>
      <c r="W199" s="47"/>
      <c r="X199" s="47"/>
      <c r="Y199" s="47"/>
      <c r="Z199" s="46"/>
      <c r="AA199" s="68">
        <v>199</v>
      </c>
      <c r="AB199"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199" s="69"/>
      <c r="AD199" t="s">
        <v>2836</v>
      </c>
      <c r="AE199" s="77" t="s">
        <v>2418</v>
      </c>
      <c r="AF199">
        <v>122571</v>
      </c>
      <c r="AG199">
        <v>990</v>
      </c>
      <c r="AH199">
        <v>17391</v>
      </c>
      <c r="AI199">
        <v>154</v>
      </c>
      <c r="AJ199">
        <v>1854</v>
      </c>
      <c r="AK199">
        <v>6150</v>
      </c>
      <c r="AL199" t="b">
        <v>0</v>
      </c>
      <c r="AM199" s="76">
        <v>44106.684062499997</v>
      </c>
      <c r="AN199" t="s">
        <v>3479</v>
      </c>
      <c r="AO199" t="s">
        <v>3766</v>
      </c>
      <c r="AX199" t="b">
        <v>1</v>
      </c>
      <c r="AZ199" t="b">
        <v>0</v>
      </c>
      <c r="BA199" t="b">
        <v>1</v>
      </c>
      <c r="BB199" t="b">
        <v>0</v>
      </c>
      <c r="BC199" t="b">
        <v>1</v>
      </c>
      <c r="BD199" t="b">
        <v>0</v>
      </c>
      <c r="BE199" t="b">
        <v>0</v>
      </c>
      <c r="BF199" t="b">
        <v>0</v>
      </c>
      <c r="BG199" t="b">
        <v>0</v>
      </c>
      <c r="BH199" s="79" t="str">
        <f>HYPERLINK("https://pbs.twimg.com/profile_banners/1312066005372416001/1601659473")</f>
        <v>https://pbs.twimg.com/profile_banners/1312066005372416001/1601659473</v>
      </c>
      <c r="BJ199" t="s">
        <v>4320</v>
      </c>
      <c r="BK199" t="b">
        <v>0</v>
      </c>
      <c r="BM199" t="s">
        <v>65</v>
      </c>
      <c r="BN199" t="s">
        <v>4322</v>
      </c>
      <c r="BO199" s="79" t="str">
        <f>HYPERLINK("https://twitter.com/bjs_alejo2")</f>
        <v>https://twitter.com/bjs_alejo2</v>
      </c>
      <c r="BP199" s="112" t="str">
        <f>REPLACE(INDEX(GroupVertices[Group], MATCH("~"&amp;Vertices[[#This Row],[Vertex]],GroupVertices[Vertex],0)),1,1,"")</f>
        <v>61</v>
      </c>
      <c r="BQ199" s="2"/>
    </row>
    <row r="200" spans="1:69" x14ac:dyDescent="0.25">
      <c r="A200" s="61" t="s">
        <v>298</v>
      </c>
      <c r="B200" s="62"/>
      <c r="C200" s="62"/>
      <c r="D200" s="63">
        <v>1.5</v>
      </c>
      <c r="E200" s="65"/>
      <c r="F200" s="97" t="str">
        <f>HYPERLINK("https://pbs.twimg.com/profile_images/1347172441664139265/9A-lLsXY_normal.jpg")</f>
        <v>https://pbs.twimg.com/profile_images/1347172441664139265/9A-lLsXY_normal.jpg</v>
      </c>
      <c r="G200" s="62"/>
      <c r="H200" s="66"/>
      <c r="I200" s="67"/>
      <c r="J200" s="67"/>
      <c r="K200" s="66" t="s">
        <v>4476</v>
      </c>
      <c r="L200" s="70"/>
      <c r="M200" s="71">
        <v>4986.42578125</v>
      </c>
      <c r="N200" s="71">
        <v>508.66323852539063</v>
      </c>
      <c r="O200" s="72"/>
      <c r="P200" s="73"/>
      <c r="Q200" s="73"/>
      <c r="R200" s="81"/>
      <c r="S200" s="45">
        <v>1</v>
      </c>
      <c r="T200" s="45">
        <v>1</v>
      </c>
      <c r="U200" s="46">
        <v>0</v>
      </c>
      <c r="V200" s="46">
        <v>0</v>
      </c>
      <c r="W200" s="47"/>
      <c r="X200" s="47"/>
      <c r="Y200" s="47"/>
      <c r="Z200" s="46"/>
      <c r="AA200" s="68">
        <v>200</v>
      </c>
      <c r="AB200"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00" s="69"/>
      <c r="AD200" t="s">
        <v>2837</v>
      </c>
      <c r="AE200" s="77" t="s">
        <v>3220</v>
      </c>
      <c r="AF200">
        <v>8600</v>
      </c>
      <c r="AG200">
        <v>332</v>
      </c>
      <c r="AH200">
        <v>27010</v>
      </c>
      <c r="AI200">
        <v>63</v>
      </c>
      <c r="AJ200">
        <v>2208</v>
      </c>
      <c r="AK200">
        <v>8470</v>
      </c>
      <c r="AL200" t="b">
        <v>0</v>
      </c>
      <c r="AM200" s="76">
        <v>40205.537789351853</v>
      </c>
      <c r="AN200" t="s">
        <v>3453</v>
      </c>
      <c r="AO200" t="s">
        <v>3767</v>
      </c>
      <c r="AP200" s="79" t="str">
        <f>HYPERLINK("https://t.co/qnjf1OepMn")</f>
        <v>https://t.co/qnjf1OepMn</v>
      </c>
      <c r="AQ200" s="79" t="str">
        <f>HYPERLINK("https://radiosol.cl")</f>
        <v>https://radiosol.cl</v>
      </c>
      <c r="AR200" t="s">
        <v>4111</v>
      </c>
      <c r="AS200" s="79" t="str">
        <f>HYPERLINK("https://t.co/C6z3MK7QC8")</f>
        <v>https://t.co/C6z3MK7QC8</v>
      </c>
      <c r="AT200" s="79" t="str">
        <f>HYPERLINK("http://envivo.radiosol.cl")</f>
        <v>http://envivo.radiosol.cl</v>
      </c>
      <c r="AU200" t="s">
        <v>4286</v>
      </c>
      <c r="AW200" s="79" t="str">
        <f>HYPERLINK("https://t.co/qnjf1OepMn")</f>
        <v>https://t.co/qnjf1OepMn</v>
      </c>
      <c r="AX200" t="b">
        <v>0</v>
      </c>
      <c r="BA200" t="b">
        <v>0</v>
      </c>
      <c r="BB200" t="b">
        <v>1</v>
      </c>
      <c r="BC200" t="b">
        <v>0</v>
      </c>
      <c r="BD200" t="b">
        <v>0</v>
      </c>
      <c r="BE200" t="b">
        <v>1</v>
      </c>
      <c r="BF200" t="b">
        <v>0</v>
      </c>
      <c r="BG200" t="b">
        <v>0</v>
      </c>
      <c r="BH200" s="79" t="str">
        <f>HYPERLINK("https://pbs.twimg.com/profile_banners/108928107/1609432007")</f>
        <v>https://pbs.twimg.com/profile_banners/108928107/1609432007</v>
      </c>
      <c r="BJ200" t="s">
        <v>4320</v>
      </c>
      <c r="BK200" t="b">
        <v>0</v>
      </c>
      <c r="BM200" t="s">
        <v>66</v>
      </c>
      <c r="BN200" t="s">
        <v>4322</v>
      </c>
      <c r="BO200" s="79" t="str">
        <f>HYPERLINK("https://twitter.com/radiosolchile")</f>
        <v>https://twitter.com/radiosolchile</v>
      </c>
      <c r="BP200" s="112" t="str">
        <f>REPLACE(INDEX(GroupVertices[Group], MATCH("~"&amp;Vertices[[#This Row],[Vertex]],GroupVertices[Vertex],0)),1,1,"")</f>
        <v>176</v>
      </c>
      <c r="BQ200" s="2"/>
    </row>
    <row r="201" spans="1:69" x14ac:dyDescent="0.25">
      <c r="A201" s="61" t="s">
        <v>576</v>
      </c>
      <c r="B201" s="62"/>
      <c r="C201" s="62"/>
      <c r="D201" s="63">
        <v>1.5</v>
      </c>
      <c r="E201" s="65"/>
      <c r="F201" s="97" t="str">
        <f>HYPERLINK("https://pbs.twimg.com/profile_images/1832752292501602307/Eynlusdm_normal.jpg")</f>
        <v>https://pbs.twimg.com/profile_images/1832752292501602307/Eynlusdm_normal.jpg</v>
      </c>
      <c r="G201" s="62"/>
      <c r="H201" s="66"/>
      <c r="I201" s="67"/>
      <c r="J201" s="67"/>
      <c r="K201" s="66" t="s">
        <v>4478</v>
      </c>
      <c r="L201" s="70"/>
      <c r="M201" s="71">
        <v>4344.52685546875</v>
      </c>
      <c r="N201" s="71">
        <v>9155.3369140625</v>
      </c>
      <c r="O201" s="72"/>
      <c r="P201" s="73"/>
      <c r="Q201" s="73"/>
      <c r="R201" s="81"/>
      <c r="S201" s="45">
        <v>1</v>
      </c>
      <c r="T201" s="45">
        <v>0</v>
      </c>
      <c r="U201" s="46">
        <v>0</v>
      </c>
      <c r="V201" s="46">
        <v>2.7950000000000002E-3</v>
      </c>
      <c r="W201" s="47"/>
      <c r="X201" s="47"/>
      <c r="Y201" s="47"/>
      <c r="Z201" s="46"/>
      <c r="AA201" s="68">
        <v>201</v>
      </c>
      <c r="AB201"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01" s="69"/>
      <c r="AD201" t="s">
        <v>2839</v>
      </c>
      <c r="AE201" s="77" t="s">
        <v>3221</v>
      </c>
      <c r="AF201">
        <v>9580</v>
      </c>
      <c r="AG201">
        <v>464</v>
      </c>
      <c r="AH201">
        <v>3143</v>
      </c>
      <c r="AI201">
        <v>94</v>
      </c>
      <c r="AJ201">
        <v>3962</v>
      </c>
      <c r="AK201">
        <v>554</v>
      </c>
      <c r="AL201" t="b">
        <v>0</v>
      </c>
      <c r="AM201" s="76">
        <v>40696.627187500002</v>
      </c>
      <c r="AN201" t="s">
        <v>3480</v>
      </c>
      <c r="AO201" t="s">
        <v>3769</v>
      </c>
      <c r="AP201" s="79" t="str">
        <f>HYPERLINK("https://t.co/pJuz3EmqdA")</f>
        <v>https://t.co/pJuz3EmqdA</v>
      </c>
      <c r="AQ201" s="79" t="str">
        <f>HYPERLINK("http://www.facebook.com/MariaPerezGarcia")</f>
        <v>http://www.facebook.com/MariaPerezGarcia</v>
      </c>
      <c r="AR201" t="s">
        <v>4112</v>
      </c>
      <c r="AV201">
        <v>1.66036649265793E+18</v>
      </c>
      <c r="AW201" s="79" t="str">
        <f>HYPERLINK("https://t.co/pJuz3EmqdA")</f>
        <v>https://t.co/pJuz3EmqdA</v>
      </c>
      <c r="AX201" t="b">
        <v>1</v>
      </c>
      <c r="AZ201" t="b">
        <v>0</v>
      </c>
      <c r="BA201" t="b">
        <v>0</v>
      </c>
      <c r="BB201" t="b">
        <v>1</v>
      </c>
      <c r="BC201" t="b">
        <v>0</v>
      </c>
      <c r="BD201" t="b">
        <v>0</v>
      </c>
      <c r="BE201" t="b">
        <v>1</v>
      </c>
      <c r="BF201" t="b">
        <v>0</v>
      </c>
      <c r="BG201" t="b">
        <v>0</v>
      </c>
      <c r="BH201" s="79" t="str">
        <f>HYPERLINK("https://pbs.twimg.com/profile_banners/309713753/1697442629")</f>
        <v>https://pbs.twimg.com/profile_banners/309713753/1697442629</v>
      </c>
      <c r="BJ201" t="s">
        <v>4320</v>
      </c>
      <c r="BK201" t="b">
        <v>0</v>
      </c>
      <c r="BM201" t="s">
        <v>65</v>
      </c>
      <c r="BN201" t="s">
        <v>4322</v>
      </c>
      <c r="BO201" s="79" t="str">
        <f>HYPERLINK("https://twitter.com/garciaperezmari")</f>
        <v>https://twitter.com/garciaperezmari</v>
      </c>
      <c r="BP201" s="112" t="str">
        <f>REPLACE(INDEX(GroupVertices[Group], MATCH("~"&amp;Vertices[[#This Row],[Vertex]],GroupVertices[Vertex],0)),1,1,"")</f>
        <v>38</v>
      </c>
      <c r="BQ201" s="2"/>
    </row>
    <row r="202" spans="1:69" x14ac:dyDescent="0.25">
      <c r="A202" s="61" t="s">
        <v>577</v>
      </c>
      <c r="B202" s="62"/>
      <c r="C202" s="62"/>
      <c r="D202" s="63">
        <v>1.5</v>
      </c>
      <c r="E202" s="65"/>
      <c r="F202" s="97" t="str">
        <f>HYPERLINK("https://pbs.twimg.com/profile_images/1861109023115751424/1tii-epa_normal.jpg")</f>
        <v>https://pbs.twimg.com/profile_images/1861109023115751424/1tii-epa_normal.jpg</v>
      </c>
      <c r="G202" s="62"/>
      <c r="H202" s="66"/>
      <c r="I202" s="67"/>
      <c r="J202" s="67"/>
      <c r="K202" s="66" t="s">
        <v>4479</v>
      </c>
      <c r="L202" s="70"/>
      <c r="M202" s="71">
        <v>5614.92724609375</v>
      </c>
      <c r="N202" s="71">
        <v>8829.220703125</v>
      </c>
      <c r="O202" s="72"/>
      <c r="P202" s="73"/>
      <c r="Q202" s="73"/>
      <c r="R202" s="81"/>
      <c r="S202" s="45">
        <v>1</v>
      </c>
      <c r="T202" s="45">
        <v>0</v>
      </c>
      <c r="U202" s="46">
        <v>0</v>
      </c>
      <c r="V202" s="46">
        <v>2.7950000000000002E-3</v>
      </c>
      <c r="W202" s="47"/>
      <c r="X202" s="47"/>
      <c r="Y202" s="47"/>
      <c r="Z202" s="46"/>
      <c r="AA202" s="68">
        <v>202</v>
      </c>
      <c r="AB202"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02" s="69"/>
      <c r="AD202" t="s">
        <v>2840</v>
      </c>
      <c r="AE202" s="77" t="s">
        <v>2419</v>
      </c>
      <c r="AF202">
        <v>627065</v>
      </c>
      <c r="AG202">
        <v>13025</v>
      </c>
      <c r="AH202">
        <v>67344</v>
      </c>
      <c r="AI202">
        <v>2208</v>
      </c>
      <c r="AJ202">
        <v>37280</v>
      </c>
      <c r="AK202">
        <v>6779</v>
      </c>
      <c r="AL202" t="b">
        <v>0</v>
      </c>
      <c r="AM202" s="76">
        <v>41137.68644675926</v>
      </c>
      <c r="AN202" t="s">
        <v>3481</v>
      </c>
      <c r="AO202" t="s">
        <v>3770</v>
      </c>
      <c r="AP202" s="79" t="str">
        <f>HYPERLINK("https://t.co/sOgH93c4kc")</f>
        <v>https://t.co/sOgH93c4kc</v>
      </c>
      <c r="AQ202" s="79" t="str">
        <f>HYPERLINK("https://movimientosumar.es/")</f>
        <v>https://movimientosumar.es/</v>
      </c>
      <c r="AR202" t="s">
        <v>4113</v>
      </c>
      <c r="AW202" s="79" t="str">
        <f>HYPERLINK("https://t.co/sOgH93c4kc")</f>
        <v>https://t.co/sOgH93c4kc</v>
      </c>
      <c r="AX202" t="b">
        <v>1</v>
      </c>
      <c r="AZ202" t="b">
        <v>0</v>
      </c>
      <c r="BA202" t="b">
        <v>0</v>
      </c>
      <c r="BB202" t="b">
        <v>1</v>
      </c>
      <c r="BC202" t="b">
        <v>0</v>
      </c>
      <c r="BD202" t="b">
        <v>0</v>
      </c>
      <c r="BE202" t="b">
        <v>1</v>
      </c>
      <c r="BF202" t="b">
        <v>0</v>
      </c>
      <c r="BG202" t="b">
        <v>0</v>
      </c>
      <c r="BH202" s="79" t="str">
        <f>HYPERLINK("https://pbs.twimg.com/profile_banners/761862806/1718261622")</f>
        <v>https://pbs.twimg.com/profile_banners/761862806/1718261622</v>
      </c>
      <c r="BJ202" t="s">
        <v>4320</v>
      </c>
      <c r="BK202" t="b">
        <v>0</v>
      </c>
      <c r="BM202" t="s">
        <v>65</v>
      </c>
      <c r="BN202" t="s">
        <v>4322</v>
      </c>
      <c r="BO202" s="79" t="str">
        <f>HYPERLINK("https://twitter.com/yolanda_diaz_")</f>
        <v>https://twitter.com/yolanda_diaz_</v>
      </c>
      <c r="BP202" s="112" t="str">
        <f>REPLACE(INDEX(GroupVertices[Group], MATCH("~"&amp;Vertices[[#This Row],[Vertex]],GroupVertices[Vertex],0)),1,1,"")</f>
        <v>38</v>
      </c>
      <c r="BQ202" s="2"/>
    </row>
    <row r="203" spans="1:69" x14ac:dyDescent="0.25">
      <c r="A203" s="61" t="s">
        <v>300</v>
      </c>
      <c r="B203" s="62"/>
      <c r="C203" s="62"/>
      <c r="D203" s="63">
        <v>1.5</v>
      </c>
      <c r="E203" s="65"/>
      <c r="F203" s="97" t="str">
        <f>HYPERLINK("https://pbs.twimg.com/profile_images/702212395582824449/M9fVrL_R_normal.png")</f>
        <v>https://pbs.twimg.com/profile_images/702212395582824449/M9fVrL_R_normal.png</v>
      </c>
      <c r="G203" s="62"/>
      <c r="H203" s="66"/>
      <c r="I203" s="67"/>
      <c r="J203" s="67"/>
      <c r="K203" s="66" t="s">
        <v>4480</v>
      </c>
      <c r="L203" s="70"/>
      <c r="M203" s="71">
        <v>2634.187744140625</v>
      </c>
      <c r="N203" s="71">
        <v>1853.5382080078125</v>
      </c>
      <c r="O203" s="72"/>
      <c r="P203" s="73"/>
      <c r="Q203" s="73"/>
      <c r="R203" s="81"/>
      <c r="S203" s="45">
        <v>1</v>
      </c>
      <c r="T203" s="45">
        <v>1</v>
      </c>
      <c r="U203" s="46">
        <v>0</v>
      </c>
      <c r="V203" s="46">
        <v>0</v>
      </c>
      <c r="W203" s="47"/>
      <c r="X203" s="47"/>
      <c r="Y203" s="47"/>
      <c r="Z203" s="46"/>
      <c r="AA203" s="68">
        <v>203</v>
      </c>
      <c r="AB203"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03" s="69"/>
      <c r="AD203" t="s">
        <v>2841</v>
      </c>
      <c r="AE203" s="77" t="s">
        <v>3222</v>
      </c>
      <c r="AF203">
        <v>5233</v>
      </c>
      <c r="AG203">
        <v>327</v>
      </c>
      <c r="AH203">
        <v>49289</v>
      </c>
      <c r="AI203">
        <v>75</v>
      </c>
      <c r="AJ203">
        <v>152</v>
      </c>
      <c r="AK203">
        <v>9782</v>
      </c>
      <c r="AL203" t="b">
        <v>0</v>
      </c>
      <c r="AM203" s="76">
        <v>40694.654953703706</v>
      </c>
      <c r="AN203" t="s">
        <v>3482</v>
      </c>
      <c r="AO203" t="s">
        <v>3771</v>
      </c>
      <c r="AP203" s="79" t="str">
        <f>HYPERLINK("https://t.co/kqOhlutxtF")</f>
        <v>https://t.co/kqOhlutxtF</v>
      </c>
      <c r="AQ203" s="79" t="str">
        <f>HYPERLINK("http://www.elpueblodeceuta.es/")</f>
        <v>http://www.elpueblodeceuta.es/</v>
      </c>
      <c r="AR203" t="s">
        <v>1154</v>
      </c>
      <c r="AS203" s="79" t="str">
        <f>HYPERLINK("https://t.co/xsSS4oy0aG")</f>
        <v>https://t.co/xsSS4oy0aG</v>
      </c>
      <c r="AT203" s="79" t="str">
        <f>HYPERLINK("https://www.facebook.com/elpueblo")</f>
        <v>https://www.facebook.com/elpueblo</v>
      </c>
      <c r="AU203" t="s">
        <v>4287</v>
      </c>
      <c r="AW203" s="79" t="str">
        <f>HYPERLINK("https://t.co/kqOhlutxtF")</f>
        <v>https://t.co/kqOhlutxtF</v>
      </c>
      <c r="AX203" t="b">
        <v>0</v>
      </c>
      <c r="BA203" t="b">
        <v>0</v>
      </c>
      <c r="BB203" t="b">
        <v>1</v>
      </c>
      <c r="BC203" t="b">
        <v>0</v>
      </c>
      <c r="BD203" t="b">
        <v>0</v>
      </c>
      <c r="BE203" t="b">
        <v>0</v>
      </c>
      <c r="BF203" t="b">
        <v>0</v>
      </c>
      <c r="BG203" t="b">
        <v>0</v>
      </c>
      <c r="BH203" s="79" t="str">
        <f>HYPERLINK("https://pbs.twimg.com/profile_banners/308537634/1456255789")</f>
        <v>https://pbs.twimg.com/profile_banners/308537634/1456255789</v>
      </c>
      <c r="BJ203" t="s">
        <v>4320</v>
      </c>
      <c r="BK203" t="b">
        <v>0</v>
      </c>
      <c r="BM203" t="s">
        <v>66</v>
      </c>
      <c r="BN203" t="s">
        <v>4322</v>
      </c>
      <c r="BO203" s="79" t="str">
        <f>HYPERLINK("https://twitter.com/elpueblodeceuta")</f>
        <v>https://twitter.com/elpueblodeceuta</v>
      </c>
      <c r="BP203" s="112" t="str">
        <f>REPLACE(INDEX(GroupVertices[Group], MATCH("~"&amp;Vertices[[#This Row],[Vertex]],GroupVertices[Vertex],0)),1,1,"")</f>
        <v>205</v>
      </c>
      <c r="BQ203" s="2"/>
    </row>
    <row r="204" spans="1:69" x14ac:dyDescent="0.25">
      <c r="A204" s="61" t="s">
        <v>578</v>
      </c>
      <c r="B204" s="62"/>
      <c r="C204" s="62"/>
      <c r="D204" s="63">
        <v>1.5</v>
      </c>
      <c r="E204" s="65"/>
      <c r="F204" s="97" t="str">
        <f>HYPERLINK("https://pbs.twimg.com/profile_images/1044698595369390082/RTCKBD_K_normal.jpg")</f>
        <v>https://pbs.twimg.com/profile_images/1044698595369390082/RTCKBD_K_normal.jpg</v>
      </c>
      <c r="G204" s="62"/>
      <c r="H204" s="66"/>
      <c r="I204" s="67"/>
      <c r="J204" s="67"/>
      <c r="K204" s="66" t="s">
        <v>4483</v>
      </c>
      <c r="L204" s="70"/>
      <c r="M204" s="71">
        <v>2540.989990234375</v>
      </c>
      <c r="N204" s="71">
        <v>2737.86572265625</v>
      </c>
      <c r="O204" s="72"/>
      <c r="P204" s="73"/>
      <c r="Q204" s="73"/>
      <c r="R204" s="81"/>
      <c r="S204" s="45">
        <v>1</v>
      </c>
      <c r="T204" s="45">
        <v>0</v>
      </c>
      <c r="U204" s="46">
        <v>0</v>
      </c>
      <c r="V204" s="46">
        <v>4.7920000000000003E-3</v>
      </c>
      <c r="W204" s="47"/>
      <c r="X204" s="47"/>
      <c r="Y204" s="47"/>
      <c r="Z204" s="46"/>
      <c r="AA204" s="68">
        <v>204</v>
      </c>
      <c r="AB204"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04" s="69"/>
      <c r="AD204" t="s">
        <v>2844</v>
      </c>
      <c r="AE204" s="77" t="s">
        <v>3223</v>
      </c>
      <c r="AF204">
        <v>839523</v>
      </c>
      <c r="AG204">
        <v>163</v>
      </c>
      <c r="AH204">
        <v>1562</v>
      </c>
      <c r="AI204">
        <v>1384</v>
      </c>
      <c r="AJ204">
        <v>27</v>
      </c>
      <c r="AK204">
        <v>318</v>
      </c>
      <c r="AL204" t="b">
        <v>0</v>
      </c>
      <c r="AM204" s="76">
        <v>42313.597407407404</v>
      </c>
      <c r="AN204" t="s">
        <v>3410</v>
      </c>
      <c r="AO204" t="s">
        <v>3773</v>
      </c>
      <c r="AX204" t="b">
        <v>1</v>
      </c>
      <c r="AZ204" t="b">
        <v>1</v>
      </c>
      <c r="BA204" t="b">
        <v>0</v>
      </c>
      <c r="BB204" t="b">
        <v>0</v>
      </c>
      <c r="BC204" t="b">
        <v>1</v>
      </c>
      <c r="BD204" t="b">
        <v>0</v>
      </c>
      <c r="BE204" t="b">
        <v>0</v>
      </c>
      <c r="BF204" t="b">
        <v>0</v>
      </c>
      <c r="BG204" t="b">
        <v>0</v>
      </c>
      <c r="BH204" s="79" t="str">
        <f>HYPERLINK("https://pbs.twimg.com/profile_banners/4119914644/1638358802")</f>
        <v>https://pbs.twimg.com/profile_banners/4119914644/1638358802</v>
      </c>
      <c r="BJ204" t="s">
        <v>4320</v>
      </c>
      <c r="BK204" t="b">
        <v>1</v>
      </c>
      <c r="BM204" t="s">
        <v>65</v>
      </c>
      <c r="BN204" t="s">
        <v>4322</v>
      </c>
      <c r="BO204" s="79" t="str">
        <f>HYPERLINK("https://twitter.com/mbachelet")</f>
        <v>https://twitter.com/mbachelet</v>
      </c>
      <c r="BP204" s="112" t="str">
        <f>REPLACE(INDEX(GroupVertices[Group], MATCH("~"&amp;Vertices[[#This Row],[Vertex]],GroupVertices[Vertex],0)),1,1,"")</f>
        <v>12</v>
      </c>
      <c r="BQ204" s="2"/>
    </row>
    <row r="205" spans="1:69" x14ac:dyDescent="0.25">
      <c r="A205" s="61" t="s">
        <v>579</v>
      </c>
      <c r="B205" s="62"/>
      <c r="C205" s="62"/>
      <c r="D205" s="63">
        <v>1.5</v>
      </c>
      <c r="E205" s="65"/>
      <c r="F205" s="97" t="str">
        <f>HYPERLINK("https://pbs.twimg.com/profile_images/1752051322667307009/4ypgdrSS_normal.jpg")</f>
        <v>https://pbs.twimg.com/profile_images/1752051322667307009/4ypgdrSS_normal.jpg</v>
      </c>
      <c r="G205" s="62"/>
      <c r="H205" s="66"/>
      <c r="I205" s="67"/>
      <c r="J205" s="67"/>
      <c r="K205" s="66" t="s">
        <v>4484</v>
      </c>
      <c r="L205" s="70"/>
      <c r="M205" s="71">
        <v>1217.8248291015625</v>
      </c>
      <c r="N205" s="71">
        <v>1418.6807861328125</v>
      </c>
      <c r="O205" s="72"/>
      <c r="P205" s="73"/>
      <c r="Q205" s="73"/>
      <c r="R205" s="81"/>
      <c r="S205" s="45">
        <v>1</v>
      </c>
      <c r="T205" s="45">
        <v>0</v>
      </c>
      <c r="U205" s="46">
        <v>0</v>
      </c>
      <c r="V205" s="46">
        <v>4.7920000000000003E-3</v>
      </c>
      <c r="W205" s="47"/>
      <c r="X205" s="47"/>
      <c r="Y205" s="47"/>
      <c r="Z205" s="46"/>
      <c r="AA205" s="68">
        <v>205</v>
      </c>
      <c r="AB205"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05" s="69"/>
      <c r="AD205" t="s">
        <v>2845</v>
      </c>
      <c r="AE205" s="77" t="s">
        <v>3224</v>
      </c>
      <c r="AF205">
        <v>198876</v>
      </c>
      <c r="AG205">
        <v>2781</v>
      </c>
      <c r="AH205">
        <v>14562</v>
      </c>
      <c r="AI205">
        <v>391</v>
      </c>
      <c r="AJ205">
        <v>10631</v>
      </c>
      <c r="AK205">
        <v>1298</v>
      </c>
      <c r="AL205" t="b">
        <v>0</v>
      </c>
      <c r="AM205" s="76">
        <v>43158.767314814817</v>
      </c>
      <c r="AO205" t="s">
        <v>3774</v>
      </c>
      <c r="AX205" t="b">
        <v>1</v>
      </c>
      <c r="AZ205" t="b">
        <v>0</v>
      </c>
      <c r="BA205" t="b">
        <v>0</v>
      </c>
      <c r="BB205" t="b">
        <v>1</v>
      </c>
      <c r="BC205" t="b">
        <v>1</v>
      </c>
      <c r="BD205" t="b">
        <v>0</v>
      </c>
      <c r="BE205" t="b">
        <v>1</v>
      </c>
      <c r="BF205" t="b">
        <v>0</v>
      </c>
      <c r="BG205" t="b">
        <v>0</v>
      </c>
      <c r="BH205" s="79" t="str">
        <f>HYPERLINK("https://pbs.twimg.com/profile_banners/968552547144404994/1681663568")</f>
        <v>https://pbs.twimg.com/profile_banners/968552547144404994/1681663568</v>
      </c>
      <c r="BJ205" t="s">
        <v>4320</v>
      </c>
      <c r="BK205" t="b">
        <v>0</v>
      </c>
      <c r="BM205" t="s">
        <v>65</v>
      </c>
      <c r="BN205" t="s">
        <v>4322</v>
      </c>
      <c r="BO205" s="79" t="str">
        <f>HYPERLINK("https://twitter.com/mcubillossigall")</f>
        <v>https://twitter.com/mcubillossigall</v>
      </c>
      <c r="BP205" s="112" t="str">
        <f>REPLACE(INDEX(GroupVertices[Group], MATCH("~"&amp;Vertices[[#This Row],[Vertex]],GroupVertices[Vertex],0)),1,1,"")</f>
        <v>12</v>
      </c>
      <c r="BQ205" s="2"/>
    </row>
    <row r="206" spans="1:69" x14ac:dyDescent="0.25">
      <c r="A206" s="61" t="s">
        <v>580</v>
      </c>
      <c r="B206" s="62"/>
      <c r="C206" s="62"/>
      <c r="D206" s="63">
        <v>1.5</v>
      </c>
      <c r="E206" s="65"/>
      <c r="F206" s="97" t="str">
        <f>HYPERLINK("https://pbs.twimg.com/profile_images/1860486944456613888/7Q_HYIMF_normal.jpg")</f>
        <v>https://pbs.twimg.com/profile_images/1860486944456613888/7Q_HYIMF_normal.jpg</v>
      </c>
      <c r="G206" s="62"/>
      <c r="H206" s="66"/>
      <c r="I206" s="67"/>
      <c r="J206" s="67"/>
      <c r="K206" s="66" t="s">
        <v>4485</v>
      </c>
      <c r="L206" s="70"/>
      <c r="M206" s="71">
        <v>4823.93017578125</v>
      </c>
      <c r="N206" s="71">
        <v>7081.17822265625</v>
      </c>
      <c r="O206" s="72"/>
      <c r="P206" s="73"/>
      <c r="Q206" s="73"/>
      <c r="R206" s="81"/>
      <c r="S206" s="45">
        <v>1</v>
      </c>
      <c r="T206" s="45">
        <v>0</v>
      </c>
      <c r="U206" s="46">
        <v>0</v>
      </c>
      <c r="V206" s="46">
        <v>4.7920000000000003E-3</v>
      </c>
      <c r="W206" s="47"/>
      <c r="X206" s="47"/>
      <c r="Y206" s="47"/>
      <c r="Z206" s="46"/>
      <c r="AA206" s="68">
        <v>206</v>
      </c>
      <c r="AB206"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06" s="69"/>
      <c r="AD206" t="s">
        <v>2846</v>
      </c>
      <c r="AE206" s="77" t="s">
        <v>3225</v>
      </c>
      <c r="AF206">
        <v>35750</v>
      </c>
      <c r="AG206">
        <v>7235</v>
      </c>
      <c r="AH206">
        <v>192537</v>
      </c>
      <c r="AI206">
        <v>53</v>
      </c>
      <c r="AJ206">
        <v>25219</v>
      </c>
      <c r="AK206">
        <v>21449</v>
      </c>
      <c r="AL206" t="b">
        <v>0</v>
      </c>
      <c r="AM206" s="76">
        <v>39926.048935185187</v>
      </c>
      <c r="AN206" t="s">
        <v>3483</v>
      </c>
      <c r="AO206" t="s">
        <v>3775</v>
      </c>
      <c r="AV206">
        <v>1.9288475157989801E+18</v>
      </c>
      <c r="AX206" t="b">
        <v>0</v>
      </c>
      <c r="AZ206" t="b">
        <v>0</v>
      </c>
      <c r="BA206" t="b">
        <v>1</v>
      </c>
      <c r="BB206" t="b">
        <v>0</v>
      </c>
      <c r="BC206" t="b">
        <v>1</v>
      </c>
      <c r="BD206" t="b">
        <v>0</v>
      </c>
      <c r="BE206" t="b">
        <v>1</v>
      </c>
      <c r="BF206" t="b">
        <v>0</v>
      </c>
      <c r="BG206" t="b">
        <v>0</v>
      </c>
      <c r="BH206" s="79" t="str">
        <f>HYPERLINK("https://pbs.twimg.com/profile_banners/34474416/1731986285")</f>
        <v>https://pbs.twimg.com/profile_banners/34474416/1731986285</v>
      </c>
      <c r="BJ206" t="s">
        <v>4320</v>
      </c>
      <c r="BK206" t="b">
        <v>0</v>
      </c>
      <c r="BM206" t="s">
        <v>65</v>
      </c>
      <c r="BN206" t="s">
        <v>4322</v>
      </c>
      <c r="BO206" s="79" t="str">
        <f>HYPERLINK("https://twitter.com/mrhitchcok")</f>
        <v>https://twitter.com/mrhitchcok</v>
      </c>
      <c r="BP206" s="112" t="str">
        <f>REPLACE(INDEX(GroupVertices[Group], MATCH("~"&amp;Vertices[[#This Row],[Vertex]],GroupVertices[Vertex],0)),1,1,"")</f>
        <v>12</v>
      </c>
      <c r="BQ206" s="2"/>
    </row>
    <row r="207" spans="1:69" x14ac:dyDescent="0.25">
      <c r="A207" s="61" t="s">
        <v>581</v>
      </c>
      <c r="B207" s="62"/>
      <c r="C207" s="62"/>
      <c r="D207" s="63">
        <v>1.5</v>
      </c>
      <c r="E207" s="65"/>
      <c r="F207" s="97" t="str">
        <f>HYPERLINK("https://pbs.twimg.com/profile_images/1900312284074778625/FjecQjuo_normal.jpg")</f>
        <v>https://pbs.twimg.com/profile_images/1900312284074778625/FjecQjuo_normal.jpg</v>
      </c>
      <c r="G207" s="62"/>
      <c r="H207" s="66"/>
      <c r="I207" s="67"/>
      <c r="J207" s="67"/>
      <c r="K207" s="66" t="s">
        <v>4486</v>
      </c>
      <c r="L207" s="70"/>
      <c r="M207" s="71">
        <v>1447.531005859375</v>
      </c>
      <c r="N207" s="71">
        <v>1009.5955810546875</v>
      </c>
      <c r="O207" s="72"/>
      <c r="P207" s="73"/>
      <c r="Q207" s="73"/>
      <c r="R207" s="81"/>
      <c r="S207" s="45">
        <v>1</v>
      </c>
      <c r="T207" s="45">
        <v>0</v>
      </c>
      <c r="U207" s="46">
        <v>0</v>
      </c>
      <c r="V207" s="46">
        <v>4.7920000000000003E-3</v>
      </c>
      <c r="W207" s="47"/>
      <c r="X207" s="47"/>
      <c r="Y207" s="47"/>
      <c r="Z207" s="46"/>
      <c r="AA207" s="68">
        <v>207</v>
      </c>
      <c r="AB207"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07" s="69"/>
      <c r="AD207" t="s">
        <v>2847</v>
      </c>
      <c r="AE207" s="77" t="s">
        <v>2420</v>
      </c>
      <c r="AF207">
        <v>582</v>
      </c>
      <c r="AG207">
        <v>869</v>
      </c>
      <c r="AH207">
        <v>39491</v>
      </c>
      <c r="AI207">
        <v>1</v>
      </c>
      <c r="AJ207">
        <v>89116</v>
      </c>
      <c r="AK207">
        <v>3327</v>
      </c>
      <c r="AL207" t="b">
        <v>0</v>
      </c>
      <c r="AM207" s="76">
        <v>44826.00209490741</v>
      </c>
      <c r="AO207" t="s">
        <v>3776</v>
      </c>
      <c r="AV207">
        <v>1.9210579905068401E+18</v>
      </c>
      <c r="AX207" t="b">
        <v>0</v>
      </c>
      <c r="AZ207" t="b">
        <v>0</v>
      </c>
      <c r="BA207" t="b">
        <v>0</v>
      </c>
      <c r="BB207" t="b">
        <v>1</v>
      </c>
      <c r="BC207" t="b">
        <v>1</v>
      </c>
      <c r="BD207" t="b">
        <v>0</v>
      </c>
      <c r="BE207" t="b">
        <v>1</v>
      </c>
      <c r="BF207" t="b">
        <v>0</v>
      </c>
      <c r="BG207" t="b">
        <v>0</v>
      </c>
      <c r="BH207" s="79" t="str">
        <f>HYPERLINK("https://pbs.twimg.com/profile_banners/1572737682140270592/1732243758")</f>
        <v>https://pbs.twimg.com/profile_banners/1572737682140270592/1732243758</v>
      </c>
      <c r="BJ207" t="s">
        <v>4320</v>
      </c>
      <c r="BK207" t="b">
        <v>0</v>
      </c>
      <c r="BM207" t="s">
        <v>65</v>
      </c>
      <c r="BN207" t="s">
        <v>4322</v>
      </c>
      <c r="BO207" s="79" t="str">
        <f>HYPERLINK("https://twitter.com/alexmar03804657")</f>
        <v>https://twitter.com/alexmar03804657</v>
      </c>
      <c r="BP207" s="112" t="str">
        <f>REPLACE(INDEX(GroupVertices[Group], MATCH("~"&amp;Vertices[[#This Row],[Vertex]],GroupVertices[Vertex],0)),1,1,"")</f>
        <v>12</v>
      </c>
      <c r="BQ207" s="2"/>
    </row>
    <row r="208" spans="1:69" x14ac:dyDescent="0.25">
      <c r="A208" s="61" t="s">
        <v>303</v>
      </c>
      <c r="B208" s="62"/>
      <c r="C208" s="62"/>
      <c r="D208" s="63">
        <v>1.5</v>
      </c>
      <c r="E208" s="65"/>
      <c r="F208" s="97" t="str">
        <f>HYPERLINK("https://pbs.twimg.com/profile_images/1785818970974486528/8OIPddjy_normal.jpg")</f>
        <v>https://pbs.twimg.com/profile_images/1785818970974486528/8OIPddjy_normal.jpg</v>
      </c>
      <c r="G208" s="62"/>
      <c r="H208" s="66"/>
      <c r="I208" s="67"/>
      <c r="J208" s="67"/>
      <c r="K208" s="66" t="s">
        <v>4487</v>
      </c>
      <c r="L208" s="70"/>
      <c r="M208" s="71">
        <v>1423.6817626953125</v>
      </c>
      <c r="N208" s="71">
        <v>6903.5947265625</v>
      </c>
      <c r="O208" s="72"/>
      <c r="P208" s="73"/>
      <c r="Q208" s="73"/>
      <c r="R208" s="81"/>
      <c r="S208" s="45">
        <v>1</v>
      </c>
      <c r="T208" s="45">
        <v>1</v>
      </c>
      <c r="U208" s="46">
        <v>0</v>
      </c>
      <c r="V208" s="46">
        <v>0</v>
      </c>
      <c r="W208" s="47"/>
      <c r="X208" s="47"/>
      <c r="Y208" s="47"/>
      <c r="Z208" s="46"/>
      <c r="AA208" s="68">
        <v>208</v>
      </c>
      <c r="AB208"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08" s="69"/>
      <c r="AD208" t="s">
        <v>2848</v>
      </c>
      <c r="AE208" s="77" t="s">
        <v>3226</v>
      </c>
      <c r="AF208">
        <v>4435873</v>
      </c>
      <c r="AG208">
        <v>657</v>
      </c>
      <c r="AH208">
        <v>1022418</v>
      </c>
      <c r="AI208">
        <v>7894</v>
      </c>
      <c r="AJ208">
        <v>3880</v>
      </c>
      <c r="AK208">
        <v>494790</v>
      </c>
      <c r="AL208" t="b">
        <v>0</v>
      </c>
      <c r="AM208" s="76">
        <v>40132.807835648149</v>
      </c>
      <c r="AN208" t="s">
        <v>3410</v>
      </c>
      <c r="AO208" t="s">
        <v>3777</v>
      </c>
      <c r="AP208" s="79" t="str">
        <f>HYPERLINK("https://t.co/q4gUsgKckv")</f>
        <v>https://t.co/q4gUsgKckv</v>
      </c>
      <c r="AQ208" s="79" t="str">
        <f>HYPERLINK("http://www.24horas.cl")</f>
        <v>http://www.24horas.cl</v>
      </c>
      <c r="AR208" t="s">
        <v>1155</v>
      </c>
      <c r="AS208" s="79" t="str">
        <f>HYPERLINK("https://t.co/2GlX3ZBSIJ")</f>
        <v>https://t.co/2GlX3ZBSIJ</v>
      </c>
      <c r="AT208" s="79" t="str">
        <f>HYPERLINK("http://bit.ly/3FI8NiS")</f>
        <v>http://bit.ly/3FI8NiS</v>
      </c>
      <c r="AU208" t="s">
        <v>4288</v>
      </c>
      <c r="AV208">
        <v>1.9201763327779E+18</v>
      </c>
      <c r="AW208" s="79" t="str">
        <f>HYPERLINK("https://t.co/q4gUsgKckv")</f>
        <v>https://t.co/q4gUsgKckv</v>
      </c>
      <c r="AX208" t="b">
        <v>1</v>
      </c>
      <c r="AZ208" t="b">
        <v>1</v>
      </c>
      <c r="BA208" t="b">
        <v>0</v>
      </c>
      <c r="BB208" t="b">
        <v>1</v>
      </c>
      <c r="BC208" t="b">
        <v>0</v>
      </c>
      <c r="BD208" t="b">
        <v>0</v>
      </c>
      <c r="BE208" t="b">
        <v>1</v>
      </c>
      <c r="BF208" t="b">
        <v>0</v>
      </c>
      <c r="BG208" t="b">
        <v>0</v>
      </c>
      <c r="BH208" s="79" t="str">
        <f>HYPERLINK("https://pbs.twimg.com/profile_banners/90227660/1694348885")</f>
        <v>https://pbs.twimg.com/profile_banners/90227660/1694348885</v>
      </c>
      <c r="BJ208" t="s">
        <v>4320</v>
      </c>
      <c r="BK208" t="b">
        <v>1</v>
      </c>
      <c r="BM208" t="s">
        <v>66</v>
      </c>
      <c r="BN208" t="s">
        <v>4322</v>
      </c>
      <c r="BO208" s="79" t="str">
        <f>HYPERLINK("https://twitter.com/24horastvn")</f>
        <v>https://twitter.com/24horastvn</v>
      </c>
      <c r="BP208" s="112" t="str">
        <f>REPLACE(INDEX(GroupVertices[Group], MATCH("~"&amp;Vertices[[#This Row],[Vertex]],GroupVertices[Vertex],0)),1,1,"")</f>
        <v>207</v>
      </c>
      <c r="BQ208" s="2"/>
    </row>
    <row r="209" spans="1:69" x14ac:dyDescent="0.25">
      <c r="A209" s="61" t="s">
        <v>304</v>
      </c>
      <c r="B209" s="62"/>
      <c r="C209" s="62"/>
      <c r="D209" s="63">
        <v>1.5</v>
      </c>
      <c r="E209" s="65"/>
      <c r="F209" s="97" t="str">
        <f>HYPERLINK("https://pbs.twimg.com/profile_images/1798231213427011584/tXbO17U4_normal.jpg")</f>
        <v>https://pbs.twimg.com/profile_images/1798231213427011584/tXbO17U4_normal.jpg</v>
      </c>
      <c r="G209" s="62"/>
      <c r="H209" s="66"/>
      <c r="I209" s="67"/>
      <c r="J209" s="67"/>
      <c r="K209" s="66" t="s">
        <v>4488</v>
      </c>
      <c r="L209" s="70"/>
      <c r="M209" s="71">
        <v>3991.853271484375</v>
      </c>
      <c r="N209" s="71">
        <v>893.39007568359375</v>
      </c>
      <c r="O209" s="72"/>
      <c r="P209" s="73"/>
      <c r="Q209" s="73"/>
      <c r="R209" s="81"/>
      <c r="S209" s="45">
        <v>0</v>
      </c>
      <c r="T209" s="45">
        <v>1</v>
      </c>
      <c r="U209" s="46">
        <v>0</v>
      </c>
      <c r="V209" s="46">
        <v>2.0960000000000002E-3</v>
      </c>
      <c r="W209" s="47"/>
      <c r="X209" s="47"/>
      <c r="Y209" s="47"/>
      <c r="Z209" s="46"/>
      <c r="AA209" s="68">
        <v>209</v>
      </c>
      <c r="AB209"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09" s="69"/>
      <c r="AD209" t="s">
        <v>2849</v>
      </c>
      <c r="AE209" s="77" t="s">
        <v>3227</v>
      </c>
      <c r="AF209">
        <v>343</v>
      </c>
      <c r="AG209">
        <v>120</v>
      </c>
      <c r="AH209">
        <v>9212</v>
      </c>
      <c r="AI209">
        <v>27</v>
      </c>
      <c r="AJ209">
        <v>321</v>
      </c>
      <c r="AK209">
        <v>147</v>
      </c>
      <c r="AL209" t="b">
        <v>0</v>
      </c>
      <c r="AM209" s="76">
        <v>40649.923032407409</v>
      </c>
      <c r="AN209" t="s">
        <v>1769</v>
      </c>
      <c r="AO209" t="s">
        <v>3778</v>
      </c>
      <c r="AP209" s="79" t="str">
        <f>HYPERLINK("https://t.co/yfBiUeBQOP")</f>
        <v>https://t.co/yfBiUeBQOP</v>
      </c>
      <c r="AQ209" s="79" t="str">
        <f>HYPERLINK("https://pedropadillaruiz.es/")</f>
        <v>https://pedropadillaruiz.es/</v>
      </c>
      <c r="AR209" t="s">
        <v>4114</v>
      </c>
      <c r="AS209" s="79" t="str">
        <f>HYPERLINK("https://t.co/N4htOFBLAx")</f>
        <v>https://t.co/N4htOFBLAx</v>
      </c>
      <c r="AT209" s="79" t="str">
        <f>HYPERLINK("http://t.me/iadministracion")</f>
        <v>http://t.me/iadministracion</v>
      </c>
      <c r="AU209" t="s">
        <v>4289</v>
      </c>
      <c r="AV209">
        <v>1.8635665365914099E+18</v>
      </c>
      <c r="AW209" s="79" t="str">
        <f>HYPERLINK("https://t.co/yfBiUeBQOP")</f>
        <v>https://t.co/yfBiUeBQOP</v>
      </c>
      <c r="AX209" t="b">
        <v>0</v>
      </c>
      <c r="BA209" t="b">
        <v>0</v>
      </c>
      <c r="BB209" t="b">
        <v>0</v>
      </c>
      <c r="BC209" t="b">
        <v>0</v>
      </c>
      <c r="BD209" t="b">
        <v>0</v>
      </c>
      <c r="BE209" t="b">
        <v>0</v>
      </c>
      <c r="BF209" t="b">
        <v>0</v>
      </c>
      <c r="BG209" t="b">
        <v>0</v>
      </c>
      <c r="BJ209" t="s">
        <v>4320</v>
      </c>
      <c r="BK209" t="b">
        <v>0</v>
      </c>
      <c r="BM209" t="s">
        <v>66</v>
      </c>
      <c r="BN209" t="s">
        <v>4322</v>
      </c>
      <c r="BO209" s="79" t="str">
        <f>HYPERLINK("https://twitter.com/pedropadillar")</f>
        <v>https://twitter.com/pedropadillar</v>
      </c>
      <c r="BP209" s="112" t="str">
        <f>REPLACE(INDEX(GroupVertices[Group], MATCH("~"&amp;Vertices[[#This Row],[Vertex]],GroupVertices[Vertex],0)),1,1,"")</f>
        <v>82</v>
      </c>
      <c r="BQ209" s="2"/>
    </row>
    <row r="210" spans="1:69" x14ac:dyDescent="0.25">
      <c r="A210" s="61" t="s">
        <v>582</v>
      </c>
      <c r="B210" s="62"/>
      <c r="C210" s="62"/>
      <c r="D210" s="63">
        <v>1.5</v>
      </c>
      <c r="E210" s="65"/>
      <c r="F210" s="97" t="str">
        <f>HYPERLINK("https://pbs.twimg.com/profile_images/1924472255507046400/Cu6k6H43_normal.jpg")</f>
        <v>https://pbs.twimg.com/profile_images/1924472255507046400/Cu6k6H43_normal.jpg</v>
      </c>
      <c r="G210" s="62"/>
      <c r="H210" s="66"/>
      <c r="I210" s="67"/>
      <c r="J210" s="67"/>
      <c r="K210" s="66" t="s">
        <v>4489</v>
      </c>
      <c r="L210" s="70"/>
      <c r="M210" s="71">
        <v>2205.468505859375</v>
      </c>
      <c r="N210" s="71">
        <v>2842.579345703125</v>
      </c>
      <c r="O210" s="72"/>
      <c r="P210" s="73"/>
      <c r="Q210" s="73"/>
      <c r="R210" s="81"/>
      <c r="S210" s="45">
        <v>1</v>
      </c>
      <c r="T210" s="45">
        <v>0</v>
      </c>
      <c r="U210" s="46">
        <v>0</v>
      </c>
      <c r="V210" s="46">
        <v>2.0960000000000002E-3</v>
      </c>
      <c r="W210" s="47"/>
      <c r="X210" s="47"/>
      <c r="Y210" s="47"/>
      <c r="Z210" s="46"/>
      <c r="AA210" s="68">
        <v>210</v>
      </c>
      <c r="AB210"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10" s="69"/>
      <c r="AD210" t="s">
        <v>2850</v>
      </c>
      <c r="AE210" s="77" t="s">
        <v>3228</v>
      </c>
      <c r="AF210">
        <v>19561</v>
      </c>
      <c r="AG210">
        <v>3916</v>
      </c>
      <c r="AH210">
        <v>62196</v>
      </c>
      <c r="AI210">
        <v>664</v>
      </c>
      <c r="AJ210">
        <v>25687</v>
      </c>
      <c r="AK210">
        <v>8830</v>
      </c>
      <c r="AL210" t="b">
        <v>0</v>
      </c>
      <c r="AM210" s="76">
        <v>41335.804594907408</v>
      </c>
      <c r="AN210" t="s">
        <v>1769</v>
      </c>
      <c r="AO210" t="s">
        <v>3779</v>
      </c>
      <c r="AP210" s="79" t="str">
        <f>HYPERLINK("https://t.co/jR3DeGH7jb")</f>
        <v>https://t.co/jR3DeGH7jb</v>
      </c>
      <c r="AQ210" s="79" t="str">
        <f>HYPERLINK("https://novagob.org/")</f>
        <v>https://novagob.org/</v>
      </c>
      <c r="AR210" t="s">
        <v>4115</v>
      </c>
      <c r="AW210" s="79" t="str">
        <f>HYPERLINK("https://t.co/jR3DeGH7jb")</f>
        <v>https://t.co/jR3DeGH7jb</v>
      </c>
      <c r="AX210" t="b">
        <v>0</v>
      </c>
      <c r="AZ210" t="b">
        <v>0</v>
      </c>
      <c r="BA210" t="b">
        <v>0</v>
      </c>
      <c r="BB210" t="b">
        <v>1</v>
      </c>
      <c r="BC210" t="b">
        <v>0</v>
      </c>
      <c r="BD210" t="b">
        <v>0</v>
      </c>
      <c r="BE210" t="b">
        <v>1</v>
      </c>
      <c r="BF210" t="b">
        <v>0</v>
      </c>
      <c r="BG210" t="b">
        <v>0</v>
      </c>
      <c r="BH210" s="79" t="str">
        <f>HYPERLINK("https://pbs.twimg.com/profile_banners/1236001195/1747660490")</f>
        <v>https://pbs.twimg.com/profile_banners/1236001195/1747660490</v>
      </c>
      <c r="BJ210" t="s">
        <v>4320</v>
      </c>
      <c r="BK210" t="b">
        <v>0</v>
      </c>
      <c r="BM210" t="s">
        <v>65</v>
      </c>
      <c r="BN210" t="s">
        <v>4322</v>
      </c>
      <c r="BO210" s="79" t="str">
        <f>HYPERLINK("https://twitter.com/novagob")</f>
        <v>https://twitter.com/novagob</v>
      </c>
      <c r="BP210" s="112" t="str">
        <f>REPLACE(INDEX(GroupVertices[Group], MATCH("~"&amp;Vertices[[#This Row],[Vertex]],GroupVertices[Vertex],0)),1,1,"")</f>
        <v>82</v>
      </c>
      <c r="BQ210" s="2"/>
    </row>
    <row r="211" spans="1:69" x14ac:dyDescent="0.25">
      <c r="A211" s="61" t="s">
        <v>583</v>
      </c>
      <c r="B211" s="62"/>
      <c r="C211" s="62"/>
      <c r="D211" s="63">
        <v>1.5</v>
      </c>
      <c r="E211" s="65"/>
      <c r="F211" s="97" t="str">
        <f>HYPERLINK("https://pbs.twimg.com/profile_images/874276197357596672/kUuht00m_normal.jpg")</f>
        <v>https://pbs.twimg.com/profile_images/874276197357596672/kUuht00m_normal.jpg</v>
      </c>
      <c r="G211" s="62"/>
      <c r="H211" s="66"/>
      <c r="I211" s="67"/>
      <c r="J211" s="67"/>
      <c r="K211" s="66" t="s">
        <v>4491</v>
      </c>
      <c r="L211" s="70"/>
      <c r="M211" s="71">
        <v>8637.298828125</v>
      </c>
      <c r="N211" s="71">
        <v>3374.436279296875</v>
      </c>
      <c r="O211" s="72"/>
      <c r="P211" s="73"/>
      <c r="Q211" s="73"/>
      <c r="R211" s="81"/>
      <c r="S211" s="45">
        <v>1</v>
      </c>
      <c r="T211" s="45">
        <v>0</v>
      </c>
      <c r="U211" s="46">
        <v>0</v>
      </c>
      <c r="V211" s="46">
        <v>4.7920000000000003E-3</v>
      </c>
      <c r="W211" s="47"/>
      <c r="X211" s="47"/>
      <c r="Y211" s="47"/>
      <c r="Z211" s="46"/>
      <c r="AA211" s="68">
        <v>211</v>
      </c>
      <c r="AB211"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11" s="69"/>
      <c r="AD211" t="s">
        <v>2852</v>
      </c>
      <c r="AE211" s="77" t="s">
        <v>3229</v>
      </c>
      <c r="AF211">
        <v>105492980</v>
      </c>
      <c r="AG211">
        <v>53</v>
      </c>
      <c r="AH211">
        <v>59773</v>
      </c>
      <c r="AI211">
        <v>127052</v>
      </c>
      <c r="AJ211">
        <v>0</v>
      </c>
      <c r="AK211">
        <v>5351</v>
      </c>
      <c r="AL211" t="b">
        <v>0</v>
      </c>
      <c r="AM211" s="76">
        <v>39890.574050925927</v>
      </c>
      <c r="AO211" t="s">
        <v>3781</v>
      </c>
      <c r="AP211" s="79" t="str">
        <f>HYPERLINK("https://t.co/mjKdTvQzae")</f>
        <v>https://t.co/mjKdTvQzae</v>
      </c>
      <c r="AQ211" s="79" t="str">
        <f>HYPERLINK("http://DonaldJTrump.com")</f>
        <v>http://DonaldJTrump.com</v>
      </c>
      <c r="AR211" t="s">
        <v>4116</v>
      </c>
      <c r="AW211" s="79" t="str">
        <f>HYPERLINK("https://t.co/mjKdTvQzae")</f>
        <v>https://t.co/mjKdTvQzae</v>
      </c>
      <c r="AX211" t="b">
        <v>1</v>
      </c>
      <c r="AZ211" t="b">
        <v>0</v>
      </c>
      <c r="BA211" t="b">
        <v>0</v>
      </c>
      <c r="BB211" t="b">
        <v>0</v>
      </c>
      <c r="BC211" t="b">
        <v>0</v>
      </c>
      <c r="BD211" t="b">
        <v>0</v>
      </c>
      <c r="BE211" t="b">
        <v>1</v>
      </c>
      <c r="BF211" t="b">
        <v>0</v>
      </c>
      <c r="BG211" t="b">
        <v>0</v>
      </c>
      <c r="BH211" s="79" t="str">
        <f>HYPERLINK("https://pbs.twimg.com/profile_banners/25073877/1604214583")</f>
        <v>https://pbs.twimg.com/profile_banners/25073877/1604214583</v>
      </c>
      <c r="BJ211" t="s">
        <v>4321</v>
      </c>
      <c r="BK211" t="b">
        <v>0</v>
      </c>
      <c r="BM211" t="s">
        <v>65</v>
      </c>
      <c r="BN211" t="s">
        <v>4322</v>
      </c>
      <c r="BO211" s="79" t="str">
        <f>HYPERLINK("https://twitter.com/realdonaldtrump")</f>
        <v>https://twitter.com/realdonaldtrump</v>
      </c>
      <c r="BP211" s="112" t="str">
        <f>REPLACE(INDEX(GroupVertices[Group], MATCH("~"&amp;Vertices[[#This Row],[Vertex]],GroupVertices[Vertex],0)),1,1,"")</f>
        <v>15</v>
      </c>
      <c r="BQ211" s="2"/>
    </row>
    <row r="212" spans="1:69" x14ac:dyDescent="0.25">
      <c r="A212" s="61" t="s">
        <v>584</v>
      </c>
      <c r="B212" s="62"/>
      <c r="C212" s="62"/>
      <c r="D212" s="63">
        <v>1.5</v>
      </c>
      <c r="E212" s="65"/>
      <c r="F212" s="97" t="str">
        <f>HYPERLINK("https://pbs.twimg.com/profile_images/1166560186468896768/0gSado0h_normal.jpg")</f>
        <v>https://pbs.twimg.com/profile_images/1166560186468896768/0gSado0h_normal.jpg</v>
      </c>
      <c r="G212" s="62"/>
      <c r="H212" s="66"/>
      <c r="I212" s="67"/>
      <c r="J212" s="67"/>
      <c r="K212" s="66" t="s">
        <v>4492</v>
      </c>
      <c r="L212" s="70"/>
      <c r="M212" s="71">
        <v>9431.2138671875</v>
      </c>
      <c r="N212" s="71">
        <v>7667.77392578125</v>
      </c>
      <c r="O212" s="72"/>
      <c r="P212" s="73"/>
      <c r="Q212" s="73"/>
      <c r="R212" s="81"/>
      <c r="S212" s="45">
        <v>1</v>
      </c>
      <c r="T212" s="45">
        <v>0</v>
      </c>
      <c r="U212" s="46">
        <v>0</v>
      </c>
      <c r="V212" s="46">
        <v>4.7920000000000003E-3</v>
      </c>
      <c r="W212" s="47"/>
      <c r="X212" s="47"/>
      <c r="Y212" s="47"/>
      <c r="Z212" s="46"/>
      <c r="AA212" s="68">
        <v>212</v>
      </c>
      <c r="AB212"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12" s="69"/>
      <c r="AD212" t="s">
        <v>2853</v>
      </c>
      <c r="AE212" s="77" t="s">
        <v>3230</v>
      </c>
      <c r="AF212">
        <v>4829121</v>
      </c>
      <c r="AG212">
        <v>118</v>
      </c>
      <c r="AH212">
        <v>128882</v>
      </c>
      <c r="AI212">
        <v>17393</v>
      </c>
      <c r="AJ212">
        <v>157</v>
      </c>
      <c r="AK212">
        <v>18382</v>
      </c>
      <c r="AL212" t="b">
        <v>0</v>
      </c>
      <c r="AM212" s="76">
        <v>41341.888310185182</v>
      </c>
      <c r="AN212" t="s">
        <v>3485</v>
      </c>
      <c r="AO212" t="s">
        <v>3782</v>
      </c>
      <c r="AP212" s="79" t="str">
        <f>HYPERLINK("https://t.co/ofTuHDj5uJ")</f>
        <v>https://t.co/ofTuHDj5uJ</v>
      </c>
      <c r="AQ212" s="79" t="str">
        <f>HYPERLINK("http://presidencia.gob.ve/Site/Web/Principal/paginas/classIndex.php")</f>
        <v>http://presidencia.gob.ve/Site/Web/Principal/paginas/classIndex.php</v>
      </c>
      <c r="AR212" t="s">
        <v>4117</v>
      </c>
      <c r="AW212" s="79" t="str">
        <f>HYPERLINK("https://t.co/ofTuHDj5uJ")</f>
        <v>https://t.co/ofTuHDj5uJ</v>
      </c>
      <c r="AX212" t="b">
        <v>1</v>
      </c>
      <c r="AZ212" t="b">
        <v>0</v>
      </c>
      <c r="BA212" t="b">
        <v>0</v>
      </c>
      <c r="BB212" t="b">
        <v>0</v>
      </c>
      <c r="BC212" t="b">
        <v>0</v>
      </c>
      <c r="BD212" t="b">
        <v>0</v>
      </c>
      <c r="BE212" t="b">
        <v>0</v>
      </c>
      <c r="BF212" t="b">
        <v>0</v>
      </c>
      <c r="BG212" t="b">
        <v>0</v>
      </c>
      <c r="BH212" s="79" t="str">
        <f>HYPERLINK("https://pbs.twimg.com/profile_banners/1252764865/1522250418")</f>
        <v>https://pbs.twimg.com/profile_banners/1252764865/1522250418</v>
      </c>
      <c r="BJ212" t="s">
        <v>4320</v>
      </c>
      <c r="BK212" t="b">
        <v>0</v>
      </c>
      <c r="BM212" t="s">
        <v>65</v>
      </c>
      <c r="BN212" t="s">
        <v>4322</v>
      </c>
      <c r="BO212" s="79" t="str">
        <f>HYPERLINK("https://twitter.com/nicolasmaduro")</f>
        <v>https://twitter.com/nicolasmaduro</v>
      </c>
      <c r="BP212" s="112" t="str">
        <f>REPLACE(INDEX(GroupVertices[Group], MATCH("~"&amp;Vertices[[#This Row],[Vertex]],GroupVertices[Vertex],0)),1,1,"")</f>
        <v>15</v>
      </c>
      <c r="BQ212" s="2"/>
    </row>
    <row r="213" spans="1:69" x14ac:dyDescent="0.25">
      <c r="A213" s="61" t="s">
        <v>585</v>
      </c>
      <c r="B213" s="62"/>
      <c r="C213" s="62"/>
      <c r="D213" s="63">
        <v>1.5</v>
      </c>
      <c r="E213" s="65"/>
      <c r="F213" s="97" t="str">
        <f>HYPERLINK("https://pbs.twimg.com/profile_images/1926284313365979137/o2cF3MeJ_normal.jpg")</f>
        <v>https://pbs.twimg.com/profile_images/1926284313365979137/o2cF3MeJ_normal.jpg</v>
      </c>
      <c r="G213" s="62"/>
      <c r="H213" s="66"/>
      <c r="I213" s="67"/>
      <c r="J213" s="67"/>
      <c r="K213" s="66" t="s">
        <v>4493</v>
      </c>
      <c r="L213" s="70"/>
      <c r="M213" s="71">
        <v>6019.41455078125</v>
      </c>
      <c r="N213" s="71">
        <v>9178.041015625</v>
      </c>
      <c r="O213" s="72"/>
      <c r="P213" s="73"/>
      <c r="Q213" s="73"/>
      <c r="R213" s="81"/>
      <c r="S213" s="45">
        <v>1</v>
      </c>
      <c r="T213" s="45">
        <v>0</v>
      </c>
      <c r="U213" s="46">
        <v>0</v>
      </c>
      <c r="V213" s="46">
        <v>4.7920000000000003E-3</v>
      </c>
      <c r="W213" s="47"/>
      <c r="X213" s="47"/>
      <c r="Y213" s="47"/>
      <c r="Z213" s="46"/>
      <c r="AA213" s="68">
        <v>213</v>
      </c>
      <c r="AB213"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13" s="69"/>
      <c r="AD213" t="s">
        <v>2854</v>
      </c>
      <c r="AE213" s="77" t="s">
        <v>3231</v>
      </c>
      <c r="AF213">
        <v>220174727</v>
      </c>
      <c r="AG213">
        <v>1140</v>
      </c>
      <c r="AH213">
        <v>79419</v>
      </c>
      <c r="AI213">
        <v>162304</v>
      </c>
      <c r="AJ213">
        <v>149000</v>
      </c>
      <c r="AK213">
        <v>3897</v>
      </c>
      <c r="AL213" t="b">
        <v>0</v>
      </c>
      <c r="AM213" s="76">
        <v>39966.842002314814</v>
      </c>
      <c r="AV213">
        <v>1.92823480213584E+18</v>
      </c>
      <c r="AX213" t="b">
        <v>1</v>
      </c>
      <c r="AZ213" t="b">
        <v>0</v>
      </c>
      <c r="BA213" t="b">
        <v>0</v>
      </c>
      <c r="BB213" t="b">
        <v>0</v>
      </c>
      <c r="BC213" t="b">
        <v>0</v>
      </c>
      <c r="BD213" t="b">
        <v>0</v>
      </c>
      <c r="BE213" t="b">
        <v>1</v>
      </c>
      <c r="BF213" t="b">
        <v>0</v>
      </c>
      <c r="BG213" t="b">
        <v>0</v>
      </c>
      <c r="BH213" s="79" t="str">
        <f>HYPERLINK("https://pbs.twimg.com/profile_banners/44196397/1739948056")</f>
        <v>https://pbs.twimg.com/profile_banners/44196397/1739948056</v>
      </c>
      <c r="BJ213" t="s">
        <v>4320</v>
      </c>
      <c r="BK213" t="b">
        <v>0</v>
      </c>
      <c r="BM213" t="s">
        <v>65</v>
      </c>
      <c r="BN213" t="s">
        <v>4322</v>
      </c>
      <c r="BO213" s="79" t="str">
        <f>HYPERLINK("https://twitter.com/elonmusk")</f>
        <v>https://twitter.com/elonmusk</v>
      </c>
      <c r="BP213" s="112" t="str">
        <f>REPLACE(INDEX(GroupVertices[Group], MATCH("~"&amp;Vertices[[#This Row],[Vertex]],GroupVertices[Vertex],0)),1,1,"")</f>
        <v>15</v>
      </c>
      <c r="BQ213" s="2"/>
    </row>
    <row r="214" spans="1:69" x14ac:dyDescent="0.25">
      <c r="A214" s="61" t="s">
        <v>586</v>
      </c>
      <c r="B214" s="62"/>
      <c r="C214" s="62"/>
      <c r="D214" s="63">
        <v>1.5</v>
      </c>
      <c r="E214" s="65"/>
      <c r="F214" s="97" t="str">
        <f>HYPERLINK("https://pbs.twimg.com/profile_images/1660993865967362052/UAvDTQ2E_normal.jpg")</f>
        <v>https://pbs.twimg.com/profile_images/1660993865967362052/UAvDTQ2E_normal.jpg</v>
      </c>
      <c r="G214" s="62"/>
      <c r="H214" s="66"/>
      <c r="I214" s="67"/>
      <c r="J214" s="67"/>
      <c r="K214" s="66" t="s">
        <v>4494</v>
      </c>
      <c r="L214" s="70"/>
      <c r="M214" s="71">
        <v>7554.86376953125</v>
      </c>
      <c r="N214" s="71">
        <v>2384.09912109375</v>
      </c>
      <c r="O214" s="72"/>
      <c r="P214" s="73"/>
      <c r="Q214" s="73"/>
      <c r="R214" s="81"/>
      <c r="S214" s="45">
        <v>1</v>
      </c>
      <c r="T214" s="45">
        <v>0</v>
      </c>
      <c r="U214" s="46">
        <v>0</v>
      </c>
      <c r="V214" s="46">
        <v>4.7920000000000003E-3</v>
      </c>
      <c r="W214" s="47"/>
      <c r="X214" s="47"/>
      <c r="Y214" s="47"/>
      <c r="Z214" s="46"/>
      <c r="AA214" s="68">
        <v>214</v>
      </c>
      <c r="AB214"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14" s="69"/>
      <c r="AD214" t="s">
        <v>2855</v>
      </c>
      <c r="AE214" s="77" t="s">
        <v>2421</v>
      </c>
      <c r="AF214">
        <v>3846610</v>
      </c>
      <c r="AG214">
        <v>432</v>
      </c>
      <c r="AH214">
        <v>8490</v>
      </c>
      <c r="AI214">
        <v>978</v>
      </c>
      <c r="AJ214">
        <v>5864</v>
      </c>
      <c r="AK214">
        <v>2048</v>
      </c>
      <c r="AL214" t="b">
        <v>0</v>
      </c>
      <c r="AM214" s="76">
        <v>40692.925219907411</v>
      </c>
      <c r="AN214" t="s">
        <v>1769</v>
      </c>
      <c r="AO214" t="s">
        <v>3783</v>
      </c>
      <c r="AP214" s="79" t="str">
        <f>HYPERLINK("https://t.co/MwyZ5FHIiZ")</f>
        <v>https://t.co/MwyZ5FHIiZ</v>
      </c>
      <c r="AQ214" s="79" t="str">
        <f>HYPERLINK("http://www.youtube.com/ElRinconDeGiorgio")</f>
        <v>http://www.youtube.com/ElRinconDeGiorgio</v>
      </c>
      <c r="AR214" t="s">
        <v>4118</v>
      </c>
      <c r="AS214" s="79" t="str">
        <f>HYPERLINK("https://t.co/rQBUxMODNt")</f>
        <v>https://t.co/rQBUxMODNt</v>
      </c>
      <c r="AT214" s="79" t="str">
        <f>HYPERLINK("http://instagram.com/jordiwild8/")</f>
        <v>http://instagram.com/jordiwild8/</v>
      </c>
      <c r="AU214" t="s">
        <v>4290</v>
      </c>
      <c r="AW214" s="79" t="str">
        <f>HYPERLINK("https://t.co/MwyZ5FHIiZ")</f>
        <v>https://t.co/MwyZ5FHIiZ</v>
      </c>
      <c r="AX214" t="b">
        <v>1</v>
      </c>
      <c r="AZ214" t="b">
        <v>0</v>
      </c>
      <c r="BA214" t="b">
        <v>0</v>
      </c>
      <c r="BB214" t="b">
        <v>1</v>
      </c>
      <c r="BC214" t="b">
        <v>0</v>
      </c>
      <c r="BD214" t="b">
        <v>0</v>
      </c>
      <c r="BE214" t="b">
        <v>1</v>
      </c>
      <c r="BF214" t="b">
        <v>0</v>
      </c>
      <c r="BG214" t="b">
        <v>0</v>
      </c>
      <c r="BH214" s="79" t="str">
        <f>HYPERLINK("https://pbs.twimg.com/profile_banners/307577818/1508259539")</f>
        <v>https://pbs.twimg.com/profile_banners/307577818/1508259539</v>
      </c>
      <c r="BJ214" t="s">
        <v>4321</v>
      </c>
      <c r="BK214" t="b">
        <v>0</v>
      </c>
      <c r="BM214" t="s">
        <v>65</v>
      </c>
      <c r="BN214" t="s">
        <v>4322</v>
      </c>
      <c r="BO214" s="79" t="str">
        <f>HYPERLINK("https://twitter.com/jordiwild")</f>
        <v>https://twitter.com/jordiwild</v>
      </c>
      <c r="BP214" s="112" t="str">
        <f>REPLACE(INDEX(GroupVertices[Group], MATCH("~"&amp;Vertices[[#This Row],[Vertex]],GroupVertices[Vertex],0)),1,1,"")</f>
        <v>15</v>
      </c>
      <c r="BQ214" s="2"/>
    </row>
    <row r="215" spans="1:69" x14ac:dyDescent="0.25">
      <c r="A215" s="61" t="s">
        <v>306</v>
      </c>
      <c r="B215" s="62"/>
      <c r="C215" s="62"/>
      <c r="D215" s="63">
        <v>1.5</v>
      </c>
      <c r="E215" s="65"/>
      <c r="F215" s="97" t="str">
        <f>HYPERLINK("https://pbs.twimg.com/profile_images/703264933035667456/JP0b742t_normal.jpg")</f>
        <v>https://pbs.twimg.com/profile_images/703264933035667456/JP0b742t_normal.jpg</v>
      </c>
      <c r="G215" s="62"/>
      <c r="H215" s="66"/>
      <c r="I215" s="67"/>
      <c r="J215" s="67"/>
      <c r="K215" s="66" t="s">
        <v>4495</v>
      </c>
      <c r="L215" s="70"/>
      <c r="M215" s="71">
        <v>6966.8291015625</v>
      </c>
      <c r="N215" s="71">
        <v>5981.77734375</v>
      </c>
      <c r="O215" s="72"/>
      <c r="P215" s="73"/>
      <c r="Q215" s="73"/>
      <c r="R215" s="81"/>
      <c r="S215" s="45">
        <v>0</v>
      </c>
      <c r="T215" s="45">
        <v>2</v>
      </c>
      <c r="U215" s="46">
        <v>0</v>
      </c>
      <c r="V215" s="46">
        <v>1.3722E-2</v>
      </c>
      <c r="W215" s="47"/>
      <c r="X215" s="47"/>
      <c r="Y215" s="47"/>
      <c r="Z215" s="46"/>
      <c r="AA215" s="68">
        <v>215</v>
      </c>
      <c r="AB215"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15" s="69"/>
      <c r="AD215" t="s">
        <v>2856</v>
      </c>
      <c r="AE215" s="77" t="s">
        <v>3232</v>
      </c>
      <c r="AF215">
        <v>3064</v>
      </c>
      <c r="AG215">
        <v>1564</v>
      </c>
      <c r="AH215">
        <v>285426</v>
      </c>
      <c r="AI215">
        <v>37</v>
      </c>
      <c r="AJ215">
        <v>11360</v>
      </c>
      <c r="AK215">
        <v>3025</v>
      </c>
      <c r="AL215" t="b">
        <v>0</v>
      </c>
      <c r="AM215" s="76">
        <v>41178.894502314812</v>
      </c>
      <c r="AN215" t="s">
        <v>3486</v>
      </c>
      <c r="AO215" t="s">
        <v>3784</v>
      </c>
      <c r="AP215" s="79" t="str">
        <f>HYPERLINK("https://t.co/Bc7Sq7esLp")</f>
        <v>https://t.co/Bc7Sq7esLp</v>
      </c>
      <c r="AQ215" s="79" t="str">
        <f>HYPERLINK("https://castrogallegos.wordpress.com")</f>
        <v>https://castrogallegos.wordpress.com</v>
      </c>
      <c r="AR215" t="s">
        <v>4119</v>
      </c>
      <c r="AV215">
        <v>8.1591041748664704E+17</v>
      </c>
      <c r="AW215" s="79" t="str">
        <f>HYPERLINK("https://t.co/Bc7Sq7esLp")</f>
        <v>https://t.co/Bc7Sq7esLp</v>
      </c>
      <c r="AX215" t="b">
        <v>0</v>
      </c>
      <c r="BA215" t="b">
        <v>0</v>
      </c>
      <c r="BB215" t="b">
        <v>1</v>
      </c>
      <c r="BC215" t="b">
        <v>1</v>
      </c>
      <c r="BD215" t="b">
        <v>0</v>
      </c>
      <c r="BE215" t="b">
        <v>0</v>
      </c>
      <c r="BF215" t="b">
        <v>0</v>
      </c>
      <c r="BG215" t="b">
        <v>0</v>
      </c>
      <c r="BJ215" t="s">
        <v>4320</v>
      </c>
      <c r="BK215" t="b">
        <v>0</v>
      </c>
      <c r="BM215" t="s">
        <v>66</v>
      </c>
      <c r="BN215" t="s">
        <v>4322</v>
      </c>
      <c r="BO215" s="79" t="str">
        <f>HYPERLINK("https://twitter.com/hectorcasto53")</f>
        <v>https://twitter.com/hectorcasto53</v>
      </c>
      <c r="BP215" s="112" t="str">
        <f>REPLACE(INDEX(GroupVertices[Group], MATCH("~"&amp;Vertices[[#This Row],[Vertex]],GroupVertices[Vertex],0)),1,1,"")</f>
        <v>4</v>
      </c>
      <c r="BQ215" s="2"/>
    </row>
    <row r="216" spans="1:69" x14ac:dyDescent="0.25">
      <c r="A216" s="61" t="s">
        <v>307</v>
      </c>
      <c r="B216" s="62"/>
      <c r="C216" s="62"/>
      <c r="D216" s="63">
        <v>1.5</v>
      </c>
      <c r="E216" s="65"/>
      <c r="F216" s="97" t="str">
        <f>HYPERLINK("https://pbs.twimg.com/profile_images/1772773056311697408/gDvOh6fJ_normal.jpg")</f>
        <v>https://pbs.twimg.com/profile_images/1772773056311697408/gDvOh6fJ_normal.jpg</v>
      </c>
      <c r="G216" s="62"/>
      <c r="H216" s="66"/>
      <c r="I216" s="67"/>
      <c r="J216" s="67"/>
      <c r="K216" s="66" t="s">
        <v>4497</v>
      </c>
      <c r="L216" s="70"/>
      <c r="M216" s="71">
        <v>3546.456787109375</v>
      </c>
      <c r="N216" s="71">
        <v>3724.3203125</v>
      </c>
      <c r="O216" s="72"/>
      <c r="P216" s="73"/>
      <c r="Q216" s="73"/>
      <c r="R216" s="81"/>
      <c r="S216" s="45">
        <v>0</v>
      </c>
      <c r="T216" s="45">
        <v>1</v>
      </c>
      <c r="U216" s="46">
        <v>0</v>
      </c>
      <c r="V216" s="46">
        <v>2.0960000000000002E-3</v>
      </c>
      <c r="W216" s="47"/>
      <c r="X216" s="47"/>
      <c r="Y216" s="47"/>
      <c r="Z216" s="46"/>
      <c r="AA216" s="68">
        <v>216</v>
      </c>
      <c r="AB216"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16" s="69"/>
      <c r="AD216" t="s">
        <v>2858</v>
      </c>
      <c r="AE216" s="77" t="s">
        <v>3234</v>
      </c>
      <c r="AF216">
        <v>92</v>
      </c>
      <c r="AG216">
        <v>42</v>
      </c>
      <c r="AH216">
        <v>893</v>
      </c>
      <c r="AI216">
        <v>1</v>
      </c>
      <c r="AJ216">
        <v>283</v>
      </c>
      <c r="AK216">
        <v>153</v>
      </c>
      <c r="AL216" t="b">
        <v>0</v>
      </c>
      <c r="AM216" s="76">
        <v>40233.185740740744</v>
      </c>
      <c r="AN216" t="s">
        <v>3488</v>
      </c>
      <c r="AO216" t="s">
        <v>3786</v>
      </c>
      <c r="AX216" t="b">
        <v>0</v>
      </c>
      <c r="BA216" t="b">
        <v>0</v>
      </c>
      <c r="BB216" t="b">
        <v>1</v>
      </c>
      <c r="BC216" t="b">
        <v>0</v>
      </c>
      <c r="BD216" t="b">
        <v>0</v>
      </c>
      <c r="BE216" t="b">
        <v>1</v>
      </c>
      <c r="BF216" t="b">
        <v>0</v>
      </c>
      <c r="BG216" t="b">
        <v>0</v>
      </c>
      <c r="BJ216" t="s">
        <v>4320</v>
      </c>
      <c r="BK216" t="b">
        <v>0</v>
      </c>
      <c r="BM216" t="s">
        <v>66</v>
      </c>
      <c r="BN216" t="s">
        <v>4322</v>
      </c>
      <c r="BO216" s="79" t="str">
        <f>HYPERLINK("https://twitter.com/vjelias")</f>
        <v>https://twitter.com/vjelias</v>
      </c>
      <c r="BP216" s="112" t="str">
        <f>REPLACE(INDEX(GroupVertices[Group], MATCH("~"&amp;Vertices[[#This Row],[Vertex]],GroupVertices[Vertex],0)),1,1,"")</f>
        <v>48</v>
      </c>
      <c r="BQ216" s="2"/>
    </row>
    <row r="217" spans="1:69" x14ac:dyDescent="0.25">
      <c r="A217" s="61" t="s">
        <v>588</v>
      </c>
      <c r="B217" s="62"/>
      <c r="C217" s="62"/>
      <c r="D217" s="63">
        <v>1.5</v>
      </c>
      <c r="E217" s="65"/>
      <c r="F217" s="97" t="str">
        <f>HYPERLINK("https://pbs.twimg.com/profile_images/1421178602415169536/Ucabi0MX_normal.jpg")</f>
        <v>https://pbs.twimg.com/profile_images/1421178602415169536/Ucabi0MX_normal.jpg</v>
      </c>
      <c r="G217" s="62"/>
      <c r="H217" s="66"/>
      <c r="I217" s="67"/>
      <c r="J217" s="67"/>
      <c r="K217" s="66" t="s">
        <v>4498</v>
      </c>
      <c r="L217" s="70"/>
      <c r="M217" s="71">
        <v>2020.628173828125</v>
      </c>
      <c r="N217" s="71">
        <v>5887.35107421875</v>
      </c>
      <c r="O217" s="72"/>
      <c r="P217" s="73"/>
      <c r="Q217" s="73"/>
      <c r="R217" s="81"/>
      <c r="S217" s="45">
        <v>1</v>
      </c>
      <c r="T217" s="45">
        <v>0</v>
      </c>
      <c r="U217" s="46">
        <v>0</v>
      </c>
      <c r="V217" s="46">
        <v>2.0960000000000002E-3</v>
      </c>
      <c r="W217" s="47"/>
      <c r="X217" s="47"/>
      <c r="Y217" s="47"/>
      <c r="Z217" s="46"/>
      <c r="AA217" s="68">
        <v>217</v>
      </c>
      <c r="AB217"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17" s="69"/>
      <c r="AD217" t="s">
        <v>2859</v>
      </c>
      <c r="AE217" s="77" t="s">
        <v>2422</v>
      </c>
      <c r="AF217">
        <v>124798</v>
      </c>
      <c r="AG217">
        <v>46583</v>
      </c>
      <c r="AH217">
        <v>134211</v>
      </c>
      <c r="AI217">
        <v>215</v>
      </c>
      <c r="AJ217">
        <v>1943</v>
      </c>
      <c r="AK217">
        <v>17909</v>
      </c>
      <c r="AL217" t="b">
        <v>0</v>
      </c>
      <c r="AM217" s="76">
        <v>40507.507094907407</v>
      </c>
      <c r="AN217" t="s">
        <v>3489</v>
      </c>
      <c r="AO217" t="s">
        <v>3787</v>
      </c>
      <c r="AP217" s="79" t="str">
        <f>HYPERLINK("https://t.co/bCJPG1JIF4")</f>
        <v>https://t.co/bCJPG1JIF4</v>
      </c>
      <c r="AQ217" s="79" t="str">
        <f>HYPERLINK("http://www.chilquinta.cl")</f>
        <v>http://www.chilquinta.cl</v>
      </c>
      <c r="AR217" t="s">
        <v>4121</v>
      </c>
      <c r="AS217" s="79" t="str">
        <f>HYPERLINK("https://t.co/xKZRg4Nm0b")</f>
        <v>https://t.co/xKZRg4Nm0b</v>
      </c>
      <c r="AT217" s="79" t="str">
        <f>HYPERLINK("https://www.chilquinta.cl/interrupciones")</f>
        <v>https://www.chilquinta.cl/interrupciones</v>
      </c>
      <c r="AU217" t="s">
        <v>4291</v>
      </c>
      <c r="AW217" s="79" t="str">
        <f>HYPERLINK("https://t.co/bCJPG1JIF4")</f>
        <v>https://t.co/bCJPG1JIF4</v>
      </c>
      <c r="AX217" t="b">
        <v>0</v>
      </c>
      <c r="AZ217" t="b">
        <v>0</v>
      </c>
      <c r="BA217" t="b">
        <v>1</v>
      </c>
      <c r="BB217" t="b">
        <v>0</v>
      </c>
      <c r="BC217" t="b">
        <v>0</v>
      </c>
      <c r="BD217" t="b">
        <v>0</v>
      </c>
      <c r="BE217" t="b">
        <v>1</v>
      </c>
      <c r="BF217" t="b">
        <v>0</v>
      </c>
      <c r="BG217" t="b">
        <v>0</v>
      </c>
      <c r="BH217" s="79" t="str">
        <f>HYPERLINK("https://pbs.twimg.com/profile_banners/219630975/1744639083")</f>
        <v>https://pbs.twimg.com/profile_banners/219630975/1744639083</v>
      </c>
      <c r="BJ217" t="s">
        <v>4320</v>
      </c>
      <c r="BK217" t="b">
        <v>0</v>
      </c>
      <c r="BM217" t="s">
        <v>65</v>
      </c>
      <c r="BN217" t="s">
        <v>4322</v>
      </c>
      <c r="BO217" s="79" t="str">
        <f>HYPERLINK("https://twitter.com/chilquinta600")</f>
        <v>https://twitter.com/chilquinta600</v>
      </c>
      <c r="BP217" s="112" t="str">
        <f>REPLACE(INDEX(GroupVertices[Group], MATCH("~"&amp;Vertices[[#This Row],[Vertex]],GroupVertices[Vertex],0)),1,1,"")</f>
        <v>48</v>
      </c>
      <c r="BQ217" s="2"/>
    </row>
    <row r="218" spans="1:69" x14ac:dyDescent="0.25">
      <c r="A218" s="61" t="s">
        <v>308</v>
      </c>
      <c r="B218" s="62"/>
      <c r="C218" s="62"/>
      <c r="D218" s="63">
        <v>1.5</v>
      </c>
      <c r="E218" s="65"/>
      <c r="F218" s="97" t="str">
        <f>HYPERLINK("https://pbs.twimg.com/profile_images/1807811476662468608/HAGzWaSJ_normal.jpg")</f>
        <v>https://pbs.twimg.com/profile_images/1807811476662468608/HAGzWaSJ_normal.jpg</v>
      </c>
      <c r="G218" s="62"/>
      <c r="H218" s="66"/>
      <c r="I218" s="67"/>
      <c r="J218" s="67"/>
      <c r="K218" s="66" t="s">
        <v>4499</v>
      </c>
      <c r="L218" s="70"/>
      <c r="M218" s="71">
        <v>8376.1357421875</v>
      </c>
      <c r="N218" s="71">
        <v>8110.22509765625</v>
      </c>
      <c r="O218" s="72"/>
      <c r="P218" s="73"/>
      <c r="Q218" s="73"/>
      <c r="R218" s="81"/>
      <c r="S218" s="45">
        <v>1</v>
      </c>
      <c r="T218" s="45">
        <v>1</v>
      </c>
      <c r="U218" s="46">
        <v>0</v>
      </c>
      <c r="V218" s="46">
        <v>0</v>
      </c>
      <c r="W218" s="47"/>
      <c r="X218" s="47"/>
      <c r="Y218" s="47"/>
      <c r="Z218" s="46"/>
      <c r="AA218" s="68">
        <v>218</v>
      </c>
      <c r="AB218"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18" s="69"/>
      <c r="AD218" t="s">
        <v>308</v>
      </c>
      <c r="AE218" s="77" t="s">
        <v>3235</v>
      </c>
      <c r="AF218">
        <v>56710</v>
      </c>
      <c r="AG218">
        <v>45849</v>
      </c>
      <c r="AH218">
        <v>946984</v>
      </c>
      <c r="AI218">
        <v>283</v>
      </c>
      <c r="AJ218">
        <v>88</v>
      </c>
      <c r="AK218">
        <v>235546</v>
      </c>
      <c r="AL218" t="b">
        <v>0</v>
      </c>
      <c r="AM218" s="76">
        <v>40417.650821759256</v>
      </c>
      <c r="AN218" t="s">
        <v>3400</v>
      </c>
      <c r="AO218" t="s">
        <v>3788</v>
      </c>
      <c r="AP218" s="79" t="str">
        <f>HYPERLINK("https://t.co/RBSUPT9Q0W")</f>
        <v>https://t.co/RBSUPT9Q0W</v>
      </c>
      <c r="AQ218" s="79" t="str">
        <f>HYPERLINK("http://www.puranoticia.cl")</f>
        <v>http://www.puranoticia.cl</v>
      </c>
      <c r="AR218" t="s">
        <v>4122</v>
      </c>
      <c r="AS218" s="79" t="str">
        <f>HYPERLINK("https://t.co/e6tzllur69")</f>
        <v>https://t.co/e6tzllur69</v>
      </c>
      <c r="AT218" s="79" t="str">
        <f>HYPERLINK("http://Puranoticia.cl")</f>
        <v>http://Puranoticia.cl</v>
      </c>
      <c r="AU218" t="s">
        <v>4292</v>
      </c>
      <c r="AW218" s="79" t="str">
        <f>HYPERLINK("https://t.co/RBSUPT9Q0W")</f>
        <v>https://t.co/RBSUPT9Q0W</v>
      </c>
      <c r="AX218" t="b">
        <v>0</v>
      </c>
      <c r="BA218" t="b">
        <v>0</v>
      </c>
      <c r="BB218" t="b">
        <v>1</v>
      </c>
      <c r="BC218" t="b">
        <v>0</v>
      </c>
      <c r="BD218" t="b">
        <v>0</v>
      </c>
      <c r="BE218" t="b">
        <v>0</v>
      </c>
      <c r="BF218" t="b">
        <v>0</v>
      </c>
      <c r="BG218" t="b">
        <v>0</v>
      </c>
      <c r="BH218" s="79" t="str">
        <f>HYPERLINK("https://pbs.twimg.com/profile_banners/183664445/1719850819")</f>
        <v>https://pbs.twimg.com/profile_banners/183664445/1719850819</v>
      </c>
      <c r="BJ218" t="s">
        <v>4320</v>
      </c>
      <c r="BK218" t="b">
        <v>0</v>
      </c>
      <c r="BM218" t="s">
        <v>66</v>
      </c>
      <c r="BN218" t="s">
        <v>4322</v>
      </c>
      <c r="BO218" s="79" t="str">
        <f>HYPERLINK("https://twitter.com/puranoticia")</f>
        <v>https://twitter.com/puranoticia</v>
      </c>
      <c r="BP218" s="112" t="str">
        <f>REPLACE(INDEX(GroupVertices[Group], MATCH("~"&amp;Vertices[[#This Row],[Vertex]],GroupVertices[Vertex],0)),1,1,"")</f>
        <v>183</v>
      </c>
      <c r="BQ218" s="2"/>
    </row>
    <row r="219" spans="1:69" x14ac:dyDescent="0.25">
      <c r="A219" s="61" t="s">
        <v>309</v>
      </c>
      <c r="B219" s="62"/>
      <c r="C219" s="62"/>
      <c r="D219" s="63">
        <v>1.5</v>
      </c>
      <c r="E219" s="65"/>
      <c r="F219" s="97" t="str">
        <f>HYPERLINK("https://pbs.twimg.com/profile_images/1767633328130187264/CG97omhQ_normal.jpg")</f>
        <v>https://pbs.twimg.com/profile_images/1767633328130187264/CG97omhQ_normal.jpg</v>
      </c>
      <c r="G219" s="62"/>
      <c r="H219" s="66"/>
      <c r="I219" s="67"/>
      <c r="J219" s="67"/>
      <c r="K219" s="66" t="s">
        <v>4500</v>
      </c>
      <c r="L219" s="70"/>
      <c r="M219" s="71">
        <v>4535.21875</v>
      </c>
      <c r="N219" s="71">
        <v>758.30804443359375</v>
      </c>
      <c r="O219" s="72"/>
      <c r="P219" s="73"/>
      <c r="Q219" s="73"/>
      <c r="R219" s="81"/>
      <c r="S219" s="45">
        <v>1</v>
      </c>
      <c r="T219" s="45">
        <v>1</v>
      </c>
      <c r="U219" s="46">
        <v>0</v>
      </c>
      <c r="V219" s="46">
        <v>0</v>
      </c>
      <c r="W219" s="47"/>
      <c r="X219" s="47"/>
      <c r="Y219" s="47"/>
      <c r="Z219" s="46"/>
      <c r="AA219" s="68">
        <v>219</v>
      </c>
      <c r="AB219"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19" s="69"/>
      <c r="AD219" t="s">
        <v>2860</v>
      </c>
      <c r="AE219" s="77" t="s">
        <v>3236</v>
      </c>
      <c r="AF219">
        <v>95930</v>
      </c>
      <c r="AG219">
        <v>465</v>
      </c>
      <c r="AH219">
        <v>285835</v>
      </c>
      <c r="AI219">
        <v>268</v>
      </c>
      <c r="AJ219">
        <v>15772</v>
      </c>
      <c r="AK219">
        <v>160923</v>
      </c>
      <c r="AL219" t="b">
        <v>0</v>
      </c>
      <c r="AM219" s="76">
        <v>40240.592129629629</v>
      </c>
      <c r="AN219" t="s">
        <v>3490</v>
      </c>
      <c r="AO219" t="s">
        <v>3789</v>
      </c>
      <c r="AP219" s="79" t="str">
        <f>HYPERLINK("https://t.co/iNfeW1Awuz")</f>
        <v>https://t.co/iNfeW1Awuz</v>
      </c>
      <c r="AQ219" s="79" t="str">
        <f>HYPERLINK("http://www.fmdos.cl")</f>
        <v>http://www.fmdos.cl</v>
      </c>
      <c r="AR219" t="s">
        <v>1158</v>
      </c>
      <c r="AW219" s="79" t="str">
        <f>HYPERLINK("https://t.co/iNfeW1Awuz")</f>
        <v>https://t.co/iNfeW1Awuz</v>
      </c>
      <c r="AX219" t="b">
        <v>0</v>
      </c>
      <c r="BA219" t="b">
        <v>0</v>
      </c>
      <c r="BB219" t="b">
        <v>1</v>
      </c>
      <c r="BC219" t="b">
        <v>0</v>
      </c>
      <c r="BD219" t="b">
        <v>0</v>
      </c>
      <c r="BE219" t="b">
        <v>1</v>
      </c>
      <c r="BF219" t="b">
        <v>0</v>
      </c>
      <c r="BG219" t="b">
        <v>0</v>
      </c>
      <c r="BH219" s="79" t="str">
        <f>HYPERLINK("https://pbs.twimg.com/profile_banners/119391598/1746475246")</f>
        <v>https://pbs.twimg.com/profile_banners/119391598/1746475246</v>
      </c>
      <c r="BJ219" t="s">
        <v>4320</v>
      </c>
      <c r="BK219" t="b">
        <v>0</v>
      </c>
      <c r="BM219" t="s">
        <v>66</v>
      </c>
      <c r="BN219" t="s">
        <v>4322</v>
      </c>
      <c r="BO219" s="79" t="str">
        <f>HYPERLINK("https://twitter.com/fmdos")</f>
        <v>https://twitter.com/fmdos</v>
      </c>
      <c r="BP219" s="112" t="str">
        <f>REPLACE(INDEX(GroupVertices[Group], MATCH("~"&amp;Vertices[[#This Row],[Vertex]],GroupVertices[Vertex],0)),1,1,"")</f>
        <v>184</v>
      </c>
      <c r="BQ219" s="2"/>
    </row>
    <row r="220" spans="1:69" x14ac:dyDescent="0.25">
      <c r="A220" s="61" t="s">
        <v>310</v>
      </c>
      <c r="B220" s="62"/>
      <c r="C220" s="62"/>
      <c r="D220" s="63">
        <v>1.5</v>
      </c>
      <c r="E220" s="65"/>
      <c r="F220" s="97" t="str">
        <f>HYPERLINK("https://pbs.twimg.com/profile_images/1611495102915936257/lyo2mqOU_normal.jpg")</f>
        <v>https://pbs.twimg.com/profile_images/1611495102915936257/lyo2mqOU_normal.jpg</v>
      </c>
      <c r="G220" s="62"/>
      <c r="H220" s="66"/>
      <c r="I220" s="67"/>
      <c r="J220" s="67"/>
      <c r="K220" s="66" t="s">
        <v>4501</v>
      </c>
      <c r="L220" s="70"/>
      <c r="M220" s="71">
        <v>8711.197265625</v>
      </c>
      <c r="N220" s="71">
        <v>3026.67919921875</v>
      </c>
      <c r="O220" s="72"/>
      <c r="P220" s="73"/>
      <c r="Q220" s="73"/>
      <c r="R220" s="81"/>
      <c r="S220" s="45">
        <v>0</v>
      </c>
      <c r="T220" s="45">
        <v>1</v>
      </c>
      <c r="U220" s="46">
        <v>0</v>
      </c>
      <c r="V220" s="46">
        <v>2.0960000000000002E-3</v>
      </c>
      <c r="W220" s="47"/>
      <c r="X220" s="47"/>
      <c r="Y220" s="47"/>
      <c r="Z220" s="46"/>
      <c r="AA220" s="68">
        <v>220</v>
      </c>
      <c r="AB220"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20" s="69"/>
      <c r="AD220" t="s">
        <v>2861</v>
      </c>
      <c r="AE220" s="77" t="s">
        <v>3237</v>
      </c>
      <c r="AF220">
        <v>605</v>
      </c>
      <c r="AG220">
        <v>572</v>
      </c>
      <c r="AH220">
        <v>59674</v>
      </c>
      <c r="AI220">
        <v>11</v>
      </c>
      <c r="AJ220">
        <v>87748</v>
      </c>
      <c r="AK220">
        <v>1773</v>
      </c>
      <c r="AL220" t="b">
        <v>0</v>
      </c>
      <c r="AM220" s="76">
        <v>40816.617106481484</v>
      </c>
      <c r="AN220" t="s">
        <v>3417</v>
      </c>
      <c r="AO220" t="s">
        <v>3790</v>
      </c>
      <c r="AP220" s="79" t="str">
        <f>HYPERLINK("https://t.co/hKV02c4S2r")</f>
        <v>https://t.co/hKV02c4S2r</v>
      </c>
      <c r="AQ220" s="79" t="str">
        <f>HYPERLINK("https://open.spotify.com/user/oscar10245?si=7781b4897c6347fd")</f>
        <v>https://open.spotify.com/user/oscar10245?si=7781b4897c6347fd</v>
      </c>
      <c r="AR220" t="s">
        <v>4123</v>
      </c>
      <c r="AW220" s="79" t="str">
        <f>HYPERLINK("https://t.co/hKV02c4S2r")</f>
        <v>https://t.co/hKV02c4S2r</v>
      </c>
      <c r="AX220" t="b">
        <v>0</v>
      </c>
      <c r="BA220" t="b">
        <v>1</v>
      </c>
      <c r="BB220" t="b">
        <v>0</v>
      </c>
      <c r="BC220" t="b">
        <v>0</v>
      </c>
      <c r="BD220" t="b">
        <v>0</v>
      </c>
      <c r="BE220" t="b">
        <v>1</v>
      </c>
      <c r="BF220" t="b">
        <v>0</v>
      </c>
      <c r="BG220" t="b">
        <v>0</v>
      </c>
      <c r="BH220" s="79" t="str">
        <f>HYPERLINK("https://pbs.twimg.com/profile_banners/382700029/1479164944")</f>
        <v>https://pbs.twimg.com/profile_banners/382700029/1479164944</v>
      </c>
      <c r="BJ220" t="s">
        <v>4320</v>
      </c>
      <c r="BK220" t="b">
        <v>0</v>
      </c>
      <c r="BM220" t="s">
        <v>66</v>
      </c>
      <c r="BN220" t="s">
        <v>4322</v>
      </c>
      <c r="BO220" s="79" t="str">
        <f>HYPERLINK("https://twitter.com/ninodecat")</f>
        <v>https://twitter.com/ninodecat</v>
      </c>
      <c r="BP220" s="112" t="str">
        <f>REPLACE(INDEX(GroupVertices[Group], MATCH("~"&amp;Vertices[[#This Row],[Vertex]],GroupVertices[Vertex],0)),1,1,"")</f>
        <v>68</v>
      </c>
      <c r="BQ220" s="2"/>
    </row>
    <row r="221" spans="1:69" x14ac:dyDescent="0.25">
      <c r="A221" s="61" t="s">
        <v>589</v>
      </c>
      <c r="B221" s="62"/>
      <c r="C221" s="62"/>
      <c r="D221" s="63">
        <v>1.5</v>
      </c>
      <c r="E221" s="65"/>
      <c r="F221" s="97" t="str">
        <f>HYPERLINK("https://pbs.twimg.com/profile_images/1388058838251749378/ajqPc7wP_normal.jpg")</f>
        <v>https://pbs.twimg.com/profile_images/1388058838251749378/ajqPc7wP_normal.jpg</v>
      </c>
      <c r="G221" s="62"/>
      <c r="H221" s="66"/>
      <c r="I221" s="67"/>
      <c r="J221" s="67"/>
      <c r="K221" s="66" t="s">
        <v>4502</v>
      </c>
      <c r="L221" s="70"/>
      <c r="M221" s="71">
        <v>8931.37109375</v>
      </c>
      <c r="N221" s="71">
        <v>2346.00927734375</v>
      </c>
      <c r="O221" s="72"/>
      <c r="P221" s="73"/>
      <c r="Q221" s="73"/>
      <c r="R221" s="81"/>
      <c r="S221" s="45">
        <v>1</v>
      </c>
      <c r="T221" s="45">
        <v>0</v>
      </c>
      <c r="U221" s="46">
        <v>0</v>
      </c>
      <c r="V221" s="46">
        <v>2.0960000000000002E-3</v>
      </c>
      <c r="W221" s="47"/>
      <c r="X221" s="47"/>
      <c r="Y221" s="47"/>
      <c r="Z221" s="46"/>
      <c r="AA221" s="68">
        <v>221</v>
      </c>
      <c r="AB221"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21" s="69"/>
      <c r="AD221" t="s">
        <v>2862</v>
      </c>
      <c r="AE221" s="77" t="s">
        <v>2423</v>
      </c>
      <c r="AF221">
        <v>33</v>
      </c>
      <c r="AG221">
        <v>87</v>
      </c>
      <c r="AH221">
        <v>28574</v>
      </c>
      <c r="AI221">
        <v>0</v>
      </c>
      <c r="AJ221">
        <v>11904</v>
      </c>
      <c r="AK221">
        <v>1680</v>
      </c>
      <c r="AL221" t="b">
        <v>0</v>
      </c>
      <c r="AM221" s="76">
        <v>41073.748749999999</v>
      </c>
      <c r="AV221">
        <v>1.8807770489748301E+18</v>
      </c>
      <c r="AX221" t="b">
        <v>0</v>
      </c>
      <c r="AZ221" t="b">
        <v>0</v>
      </c>
      <c r="BA221" t="b">
        <v>0</v>
      </c>
      <c r="BB221" t="b">
        <v>0</v>
      </c>
      <c r="BC221" t="b">
        <v>0</v>
      </c>
      <c r="BD221" t="b">
        <v>0</v>
      </c>
      <c r="BE221" t="b">
        <v>1</v>
      </c>
      <c r="BF221" t="b">
        <v>0</v>
      </c>
      <c r="BG221" t="b">
        <v>0</v>
      </c>
      <c r="BH221" s="79" t="str">
        <f>HYPERLINK("https://pbs.twimg.com/profile_banners/607496418/1581160873")</f>
        <v>https://pbs.twimg.com/profile_banners/607496418/1581160873</v>
      </c>
      <c r="BJ221" t="s">
        <v>4320</v>
      </c>
      <c r="BK221" t="b">
        <v>0</v>
      </c>
      <c r="BM221" t="s">
        <v>65</v>
      </c>
      <c r="BN221" t="s">
        <v>4322</v>
      </c>
      <c r="BO221" s="79" t="str">
        <f>HYPERLINK("https://twitter.com/alemesfer")</f>
        <v>https://twitter.com/alemesfer</v>
      </c>
      <c r="BP221" s="112" t="str">
        <f>REPLACE(INDEX(GroupVertices[Group], MATCH("~"&amp;Vertices[[#This Row],[Vertex]],GroupVertices[Vertex],0)),1,1,"")</f>
        <v>68</v>
      </c>
      <c r="BQ221" s="2"/>
    </row>
    <row r="222" spans="1:69" x14ac:dyDescent="0.25">
      <c r="A222" s="61" t="s">
        <v>311</v>
      </c>
      <c r="B222" s="62"/>
      <c r="C222" s="62"/>
      <c r="D222" s="63">
        <v>1.5</v>
      </c>
      <c r="E222" s="65"/>
      <c r="F222" s="97" t="str">
        <f>HYPERLINK("https://abs.twimg.com/sticky/default_profile_images/default_profile_normal.png")</f>
        <v>https://abs.twimg.com/sticky/default_profile_images/default_profile_normal.png</v>
      </c>
      <c r="G222" s="62"/>
      <c r="H222" s="66"/>
      <c r="I222" s="67"/>
      <c r="J222" s="67"/>
      <c r="K222" s="66" t="s">
        <v>4503</v>
      </c>
      <c r="L222" s="70"/>
      <c r="M222" s="71">
        <v>9207.8740234375</v>
      </c>
      <c r="N222" s="71">
        <v>3755.857177734375</v>
      </c>
      <c r="O222" s="72"/>
      <c r="P222" s="73"/>
      <c r="Q222" s="73"/>
      <c r="R222" s="81"/>
      <c r="S222" s="45">
        <v>0</v>
      </c>
      <c r="T222" s="45">
        <v>1</v>
      </c>
      <c r="U222" s="46">
        <v>0</v>
      </c>
      <c r="V222" s="46">
        <v>8.9449999999999998E-3</v>
      </c>
      <c r="W222" s="47"/>
      <c r="X222" s="47"/>
      <c r="Y222" s="47"/>
      <c r="Z222" s="46"/>
      <c r="AA222" s="68">
        <v>222</v>
      </c>
      <c r="AB222"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22" s="69"/>
      <c r="AD222" t="s">
        <v>2863</v>
      </c>
      <c r="AE222" s="77" t="s">
        <v>2571</v>
      </c>
      <c r="AF222">
        <v>14</v>
      </c>
      <c r="AG222">
        <v>234</v>
      </c>
      <c r="AH222">
        <v>1279</v>
      </c>
      <c r="AI222">
        <v>0</v>
      </c>
      <c r="AJ222">
        <v>2674</v>
      </c>
      <c r="AK222">
        <v>4</v>
      </c>
      <c r="AL222" t="b">
        <v>0</v>
      </c>
      <c r="AM222" s="76">
        <v>44982.56726851852</v>
      </c>
      <c r="AX222" t="b">
        <v>0</v>
      </c>
      <c r="BA222" t="b">
        <v>0</v>
      </c>
      <c r="BB222" t="b">
        <v>1</v>
      </c>
      <c r="BC222" t="b">
        <v>1</v>
      </c>
      <c r="BD222" t="b">
        <v>1</v>
      </c>
      <c r="BE222" t="b">
        <v>0</v>
      </c>
      <c r="BF222" t="b">
        <v>0</v>
      </c>
      <c r="BG222" t="b">
        <v>0</v>
      </c>
      <c r="BJ222" t="s">
        <v>4320</v>
      </c>
      <c r="BK222" t="b">
        <v>0</v>
      </c>
      <c r="BM222" t="s">
        <v>66</v>
      </c>
      <c r="BN222" t="s">
        <v>4322</v>
      </c>
      <c r="BO222" s="79" t="str">
        <f>HYPERLINK("https://twitter.com/bb_xtina")</f>
        <v>https://twitter.com/bb_xtina</v>
      </c>
      <c r="BP222" s="112" t="str">
        <f>REPLACE(INDEX(GroupVertices[Group], MATCH("~"&amp;Vertices[[#This Row],[Vertex]],GroupVertices[Vertex],0)),1,1,"")</f>
        <v>7</v>
      </c>
      <c r="BQ222" s="2"/>
    </row>
    <row r="223" spans="1:69" x14ac:dyDescent="0.25">
      <c r="A223" s="61" t="s">
        <v>312</v>
      </c>
      <c r="B223" s="62"/>
      <c r="C223" s="62"/>
      <c r="D223" s="63">
        <v>1.5</v>
      </c>
      <c r="E223" s="65"/>
      <c r="F223" s="97" t="str">
        <f>HYPERLINK("https://pbs.twimg.com/profile_images/880103951999401984/nS7bBVZz_normal.jpg")</f>
        <v>https://pbs.twimg.com/profile_images/880103951999401984/nS7bBVZz_normal.jpg</v>
      </c>
      <c r="G223" s="62"/>
      <c r="H223" s="66"/>
      <c r="I223" s="67"/>
      <c r="J223" s="67"/>
      <c r="K223" s="66" t="s">
        <v>4504</v>
      </c>
      <c r="L223" s="70"/>
      <c r="M223" s="71">
        <v>4427.498046875</v>
      </c>
      <c r="N223" s="71">
        <v>8481.9619140625</v>
      </c>
      <c r="O223" s="72"/>
      <c r="P223" s="73"/>
      <c r="Q223" s="73"/>
      <c r="R223" s="81"/>
      <c r="S223" s="45">
        <v>1</v>
      </c>
      <c r="T223" s="45">
        <v>1</v>
      </c>
      <c r="U223" s="46">
        <v>0</v>
      </c>
      <c r="V223" s="46">
        <v>0</v>
      </c>
      <c r="W223" s="47"/>
      <c r="X223" s="47"/>
      <c r="Y223" s="47"/>
      <c r="Z223" s="46"/>
      <c r="AA223" s="68">
        <v>223</v>
      </c>
      <c r="AB223"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23" s="69"/>
      <c r="AD223" t="s">
        <v>2864</v>
      </c>
      <c r="AE223" s="77" t="s">
        <v>3238</v>
      </c>
      <c r="AF223">
        <v>477421</v>
      </c>
      <c r="AG223">
        <v>11189</v>
      </c>
      <c r="AH223">
        <v>261451</v>
      </c>
      <c r="AI223">
        <v>1061</v>
      </c>
      <c r="AJ223">
        <v>11452</v>
      </c>
      <c r="AK223">
        <v>109151</v>
      </c>
      <c r="AL223" t="b">
        <v>0</v>
      </c>
      <c r="AM223" s="76">
        <v>41080.861493055556</v>
      </c>
      <c r="AN223" t="s">
        <v>3400</v>
      </c>
      <c r="AO223" t="s">
        <v>3791</v>
      </c>
      <c r="AP223" s="79" t="str">
        <f>HYPERLINK("https://t.co/TKAEx8rMQI")</f>
        <v>https://t.co/TKAEx8rMQI</v>
      </c>
      <c r="AQ223" s="79" t="str">
        <f>HYPERLINK("http://eldesconcierto.cl")</f>
        <v>http://eldesconcierto.cl</v>
      </c>
      <c r="AR223" t="s">
        <v>1159</v>
      </c>
      <c r="AS223" s="79" t="str">
        <f>HYPERLINK("https://t.co/TKAEx8rMQI")</f>
        <v>https://t.co/TKAEx8rMQI</v>
      </c>
      <c r="AT223" s="79" t="str">
        <f>HYPERLINK("http://eldesconcierto.cl")</f>
        <v>http://eldesconcierto.cl</v>
      </c>
      <c r="AU223" t="s">
        <v>1159</v>
      </c>
      <c r="AW223" s="79" t="str">
        <f>HYPERLINK("https://t.co/TKAEx8rMQI")</f>
        <v>https://t.co/TKAEx8rMQI</v>
      </c>
      <c r="AX223" t="b">
        <v>1</v>
      </c>
      <c r="AZ223" t="b">
        <v>1</v>
      </c>
      <c r="BA223" t="b">
        <v>1</v>
      </c>
      <c r="BB223" t="b">
        <v>0</v>
      </c>
      <c r="BC223" t="b">
        <v>0</v>
      </c>
      <c r="BD223" t="b">
        <v>0</v>
      </c>
      <c r="BE223" t="b">
        <v>1</v>
      </c>
      <c r="BF223" t="b">
        <v>0</v>
      </c>
      <c r="BG223" t="b">
        <v>0</v>
      </c>
      <c r="BH223" s="79" t="str">
        <f>HYPERLINK("https://pbs.twimg.com/profile_banners/613740623/1696516969")</f>
        <v>https://pbs.twimg.com/profile_banners/613740623/1696516969</v>
      </c>
      <c r="BJ223" t="s">
        <v>4320</v>
      </c>
      <c r="BK223" t="b">
        <v>1</v>
      </c>
      <c r="BM223" t="s">
        <v>66</v>
      </c>
      <c r="BN223" t="s">
        <v>4322</v>
      </c>
      <c r="BO223" s="79" t="str">
        <f>HYPERLINK("https://twitter.com/eldesconcierto")</f>
        <v>https://twitter.com/eldesconcierto</v>
      </c>
      <c r="BP223" s="112" t="str">
        <f>REPLACE(INDEX(GroupVertices[Group], MATCH("~"&amp;Vertices[[#This Row],[Vertex]],GroupVertices[Vertex],0)),1,1,"")</f>
        <v>204</v>
      </c>
      <c r="BQ223" s="2"/>
    </row>
    <row r="224" spans="1:69" x14ac:dyDescent="0.25">
      <c r="A224" s="61" t="s">
        <v>313</v>
      </c>
      <c r="B224" s="62"/>
      <c r="C224" s="62"/>
      <c r="D224" s="63">
        <v>1.5</v>
      </c>
      <c r="E224" s="65"/>
      <c r="F224" s="97" t="str">
        <f>HYPERLINK("https://pbs.twimg.com/profile_images/1486166338129301510/wCOTrhUR_normal.jpg")</f>
        <v>https://pbs.twimg.com/profile_images/1486166338129301510/wCOTrhUR_normal.jpg</v>
      </c>
      <c r="G224" s="62"/>
      <c r="H224" s="66"/>
      <c r="I224" s="67"/>
      <c r="J224" s="67"/>
      <c r="K224" s="66" t="s">
        <v>4505</v>
      </c>
      <c r="L224" s="70"/>
      <c r="M224" s="71">
        <v>3940.510986328125</v>
      </c>
      <c r="N224" s="71">
        <v>1864.8924560546875</v>
      </c>
      <c r="O224" s="72"/>
      <c r="P224" s="73"/>
      <c r="Q224" s="73"/>
      <c r="R224" s="81"/>
      <c r="S224" s="45">
        <v>1</v>
      </c>
      <c r="T224" s="45">
        <v>1</v>
      </c>
      <c r="U224" s="46">
        <v>0</v>
      </c>
      <c r="V224" s="46">
        <v>0</v>
      </c>
      <c r="W224" s="47"/>
      <c r="X224" s="47"/>
      <c r="Y224" s="47"/>
      <c r="Z224" s="46"/>
      <c r="AA224" s="68">
        <v>224</v>
      </c>
      <c r="AB224"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24" s="69"/>
      <c r="AD224" t="s">
        <v>2865</v>
      </c>
      <c r="AE224" s="77" t="s">
        <v>2572</v>
      </c>
      <c r="AF224">
        <v>518</v>
      </c>
      <c r="AG224">
        <v>190</v>
      </c>
      <c r="AH224">
        <v>4064</v>
      </c>
      <c r="AI224">
        <v>4</v>
      </c>
      <c r="AJ224">
        <v>9</v>
      </c>
      <c r="AK224">
        <v>3485</v>
      </c>
      <c r="AL224" t="b">
        <v>0</v>
      </c>
      <c r="AM224" s="76">
        <v>43543.023738425924</v>
      </c>
      <c r="AN224" t="s">
        <v>3491</v>
      </c>
      <c r="AO224" t="s">
        <v>3792</v>
      </c>
      <c r="AP224" s="79" t="str">
        <f>HYPERLINK("https://t.co/Rp5IpESFFx")</f>
        <v>https://t.co/Rp5IpESFFx</v>
      </c>
      <c r="AQ224" s="79" t="str">
        <f>HYPERLINK("http://lafontana.cl")</f>
        <v>http://lafontana.cl</v>
      </c>
      <c r="AR224" t="s">
        <v>1160</v>
      </c>
      <c r="AW224" s="79" t="str">
        <f>HYPERLINK("https://t.co/Rp5IpESFFx")</f>
        <v>https://t.co/Rp5IpESFFx</v>
      </c>
      <c r="AX224" t="b">
        <v>0</v>
      </c>
      <c r="BA224" t="b">
        <v>0</v>
      </c>
      <c r="BB224" t="b">
        <v>1</v>
      </c>
      <c r="BC224" t="b">
        <v>1</v>
      </c>
      <c r="BD224" t="b">
        <v>0</v>
      </c>
      <c r="BE224" t="b">
        <v>1</v>
      </c>
      <c r="BF224" t="b">
        <v>0</v>
      </c>
      <c r="BG224" t="b">
        <v>0</v>
      </c>
      <c r="BH224" s="79" t="str">
        <f>HYPERLINK("https://pbs.twimg.com/profile_banners/1107802411987619841/1702477607")</f>
        <v>https://pbs.twimg.com/profile_banners/1107802411987619841/1702477607</v>
      </c>
      <c r="BJ224" t="s">
        <v>4320</v>
      </c>
      <c r="BK224" t="b">
        <v>0</v>
      </c>
      <c r="BM224" t="s">
        <v>66</v>
      </c>
      <c r="BN224" t="s">
        <v>4322</v>
      </c>
      <c r="BO224" s="79" t="str">
        <f>HYPERLINK("https://twitter.com/lafontanacl")</f>
        <v>https://twitter.com/lafontanacl</v>
      </c>
      <c r="BP224" s="112" t="str">
        <f>REPLACE(INDEX(GroupVertices[Group], MATCH("~"&amp;Vertices[[#This Row],[Vertex]],GroupVertices[Vertex],0)),1,1,"")</f>
        <v>131</v>
      </c>
      <c r="BQ224" s="2"/>
    </row>
    <row r="225" spans="1:69" x14ac:dyDescent="0.25">
      <c r="A225" s="61" t="s">
        <v>314</v>
      </c>
      <c r="B225" s="62"/>
      <c r="C225" s="62"/>
      <c r="D225" s="63">
        <v>1.5</v>
      </c>
      <c r="E225" s="65"/>
      <c r="F225" s="97" t="str">
        <f>HYPERLINK("https://pbs.twimg.com/profile_images/1755359440650244097/dv5tsgCQ_normal.jpg")</f>
        <v>https://pbs.twimg.com/profile_images/1755359440650244097/dv5tsgCQ_normal.jpg</v>
      </c>
      <c r="G225" s="62"/>
      <c r="H225" s="66"/>
      <c r="I225" s="67"/>
      <c r="J225" s="67"/>
      <c r="K225" s="66" t="s">
        <v>4506</v>
      </c>
      <c r="L225" s="70"/>
      <c r="M225" s="71">
        <v>4261.748046875</v>
      </c>
      <c r="N225" s="71">
        <v>7590.75244140625</v>
      </c>
      <c r="O225" s="72"/>
      <c r="P225" s="73"/>
      <c r="Q225" s="73"/>
      <c r="R225" s="81"/>
      <c r="S225" s="45">
        <v>0</v>
      </c>
      <c r="T225" s="45">
        <v>1</v>
      </c>
      <c r="U225" s="46">
        <v>0</v>
      </c>
      <c r="V225" s="46">
        <v>2.0960000000000002E-3</v>
      </c>
      <c r="W225" s="47"/>
      <c r="X225" s="47"/>
      <c r="Y225" s="47"/>
      <c r="Z225" s="46"/>
      <c r="AA225" s="68">
        <v>225</v>
      </c>
      <c r="AB225"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25" s="69"/>
      <c r="AD225" t="s">
        <v>2866</v>
      </c>
      <c r="AE225" s="77" t="s">
        <v>2573</v>
      </c>
      <c r="AF225">
        <v>10</v>
      </c>
      <c r="AG225">
        <v>31</v>
      </c>
      <c r="AH225">
        <v>240</v>
      </c>
      <c r="AI225">
        <v>0</v>
      </c>
      <c r="AJ225">
        <v>103</v>
      </c>
      <c r="AK225">
        <v>9</v>
      </c>
      <c r="AL225" t="b">
        <v>0</v>
      </c>
      <c r="AM225" s="76">
        <v>44619.876747685186</v>
      </c>
      <c r="AO225" t="s">
        <v>3793</v>
      </c>
      <c r="AX225" t="b">
        <v>0</v>
      </c>
      <c r="BA225" t="b">
        <v>0</v>
      </c>
      <c r="BB225" t="b">
        <v>1</v>
      </c>
      <c r="BC225" t="b">
        <v>1</v>
      </c>
      <c r="BD225" t="b">
        <v>0</v>
      </c>
      <c r="BE225" t="b">
        <v>1</v>
      </c>
      <c r="BF225" t="b">
        <v>0</v>
      </c>
      <c r="BG225" t="b">
        <v>0</v>
      </c>
      <c r="BH225" s="79" t="str">
        <f>HYPERLINK("https://pbs.twimg.com/profile_banners/1498040788072214530/1707345279")</f>
        <v>https://pbs.twimg.com/profile_banners/1498040788072214530/1707345279</v>
      </c>
      <c r="BJ225" t="s">
        <v>4320</v>
      </c>
      <c r="BK225" t="b">
        <v>0</v>
      </c>
      <c r="BM225" t="s">
        <v>66</v>
      </c>
      <c r="BN225" t="s">
        <v>4322</v>
      </c>
      <c r="BO225" s="79" t="str">
        <f>HYPERLINK("https://twitter.com/elsasweet1324")</f>
        <v>https://twitter.com/elsasweet1324</v>
      </c>
      <c r="BP225" s="112" t="str">
        <f>REPLACE(INDEX(GroupVertices[Group], MATCH("~"&amp;Vertices[[#This Row],[Vertex]],GroupVertices[Vertex],0)),1,1,"")</f>
        <v>86</v>
      </c>
      <c r="BQ225" s="2"/>
    </row>
    <row r="226" spans="1:69" x14ac:dyDescent="0.25">
      <c r="A226" s="61" t="s">
        <v>590</v>
      </c>
      <c r="B226" s="62"/>
      <c r="C226" s="62"/>
      <c r="D226" s="63">
        <v>1.5</v>
      </c>
      <c r="E226" s="65"/>
      <c r="F226" s="97" t="str">
        <f>HYPERLINK("https://pbs.twimg.com/profile_images/1476937387003371527/X4KKY_Og_normal.jpg")</f>
        <v>https://pbs.twimg.com/profile_images/1476937387003371527/X4KKY_Og_normal.jpg</v>
      </c>
      <c r="G226" s="62"/>
      <c r="H226" s="66"/>
      <c r="I226" s="67"/>
      <c r="J226" s="67"/>
      <c r="K226" s="66" t="s">
        <v>4507</v>
      </c>
      <c r="L226" s="70"/>
      <c r="M226" s="71">
        <v>2105.447265625</v>
      </c>
      <c r="N226" s="71">
        <v>7770.17822265625</v>
      </c>
      <c r="O226" s="72"/>
      <c r="P226" s="73"/>
      <c r="Q226" s="73"/>
      <c r="R226" s="81"/>
      <c r="S226" s="45">
        <v>1</v>
      </c>
      <c r="T226" s="45">
        <v>0</v>
      </c>
      <c r="U226" s="46">
        <v>0</v>
      </c>
      <c r="V226" s="46">
        <v>2.0960000000000002E-3</v>
      </c>
      <c r="W226" s="47"/>
      <c r="X226" s="47"/>
      <c r="Y226" s="47"/>
      <c r="Z226" s="46"/>
      <c r="AA226" s="68">
        <v>226</v>
      </c>
      <c r="AB226"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26" s="69"/>
      <c r="AD226" t="s">
        <v>2867</v>
      </c>
      <c r="AE226" s="77" t="s">
        <v>2424</v>
      </c>
      <c r="AF226">
        <v>19028</v>
      </c>
      <c r="AG226">
        <v>19133</v>
      </c>
      <c r="AH226">
        <v>67715</v>
      </c>
      <c r="AI226">
        <v>231</v>
      </c>
      <c r="AJ226">
        <v>90638</v>
      </c>
      <c r="AK226">
        <v>1099</v>
      </c>
      <c r="AL226" t="b">
        <v>0</v>
      </c>
      <c r="AM226" s="76">
        <v>39682.934236111112</v>
      </c>
      <c r="AN226" t="s">
        <v>3410</v>
      </c>
      <c r="AO226" t="s">
        <v>3794</v>
      </c>
      <c r="AV226">
        <v>1.29482319458353E+18</v>
      </c>
      <c r="AX226" t="b">
        <v>0</v>
      </c>
      <c r="AZ226" t="b">
        <v>0</v>
      </c>
      <c r="BA226" t="b">
        <v>1</v>
      </c>
      <c r="BB226" t="b">
        <v>0</v>
      </c>
      <c r="BC226" t="b">
        <v>0</v>
      </c>
      <c r="BD226" t="b">
        <v>0</v>
      </c>
      <c r="BE226" t="b">
        <v>1</v>
      </c>
      <c r="BF226" t="b">
        <v>0</v>
      </c>
      <c r="BG226" t="b">
        <v>0</v>
      </c>
      <c r="BJ226" t="s">
        <v>4320</v>
      </c>
      <c r="BK226" t="b">
        <v>0</v>
      </c>
      <c r="BM226" t="s">
        <v>65</v>
      </c>
      <c r="BN226" t="s">
        <v>4322</v>
      </c>
      <c r="BO226" s="79" t="str">
        <f>HYPERLINK("https://twitter.com/rhollmann")</f>
        <v>https://twitter.com/rhollmann</v>
      </c>
      <c r="BP226" s="112" t="str">
        <f>REPLACE(INDEX(GroupVertices[Group], MATCH("~"&amp;Vertices[[#This Row],[Vertex]],GroupVertices[Vertex],0)),1,1,"")</f>
        <v>86</v>
      </c>
      <c r="BQ226" s="2"/>
    </row>
    <row r="227" spans="1:69" x14ac:dyDescent="0.25">
      <c r="A227" s="61" t="s">
        <v>315</v>
      </c>
      <c r="B227" s="62"/>
      <c r="C227" s="62"/>
      <c r="D227" s="63">
        <v>1.5</v>
      </c>
      <c r="E227" s="65"/>
      <c r="F227" s="97" t="str">
        <f>HYPERLINK("https://pbs.twimg.com/profile_images/1919546881060769792/gNpH9sF6_normal.jpg")</f>
        <v>https://pbs.twimg.com/profile_images/1919546881060769792/gNpH9sF6_normal.jpg</v>
      </c>
      <c r="G227" s="62"/>
      <c r="H227" s="66"/>
      <c r="I227" s="67"/>
      <c r="J227" s="67"/>
      <c r="K227" s="66" t="s">
        <v>4508</v>
      </c>
      <c r="L227" s="70"/>
      <c r="M227" s="71">
        <v>8631.501953125</v>
      </c>
      <c r="N227" s="71">
        <v>6648.755859375</v>
      </c>
      <c r="O227" s="72"/>
      <c r="P227" s="73"/>
      <c r="Q227" s="73"/>
      <c r="R227" s="81"/>
      <c r="S227" s="45">
        <v>1</v>
      </c>
      <c r="T227" s="45">
        <v>2</v>
      </c>
      <c r="U227" s="46">
        <v>0</v>
      </c>
      <c r="V227" s="46">
        <v>8.9449999999999998E-3</v>
      </c>
      <c r="W227" s="47"/>
      <c r="X227" s="47"/>
      <c r="Y227" s="47"/>
      <c r="Z227" s="46"/>
      <c r="AA227" s="68">
        <v>227</v>
      </c>
      <c r="AB227"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27" s="69"/>
      <c r="AD227" t="s">
        <v>2868</v>
      </c>
      <c r="AE227" s="77" t="s">
        <v>2574</v>
      </c>
      <c r="AF227">
        <v>3478</v>
      </c>
      <c r="AG227">
        <v>3188</v>
      </c>
      <c r="AH227">
        <v>47619</v>
      </c>
      <c r="AI227">
        <v>2</v>
      </c>
      <c r="AJ227">
        <v>61589</v>
      </c>
      <c r="AK227">
        <v>15863</v>
      </c>
      <c r="AL227" t="b">
        <v>0</v>
      </c>
      <c r="AM227" s="76">
        <v>42492.487361111111</v>
      </c>
      <c r="AN227" t="s">
        <v>3492</v>
      </c>
      <c r="AO227" t="s">
        <v>3795</v>
      </c>
      <c r="AV227">
        <v>1.57267963173968E+18</v>
      </c>
      <c r="AX227" t="b">
        <v>0</v>
      </c>
      <c r="BA227" t="b">
        <v>0</v>
      </c>
      <c r="BB227" t="b">
        <v>1</v>
      </c>
      <c r="BC227" t="b">
        <v>1</v>
      </c>
      <c r="BD227" t="b">
        <v>0</v>
      </c>
      <c r="BE227" t="b">
        <v>1</v>
      </c>
      <c r="BF227" t="b">
        <v>0</v>
      </c>
      <c r="BG227" t="b">
        <v>0</v>
      </c>
      <c r="BH227" s="79" t="str">
        <f>HYPERLINK("https://pbs.twimg.com/profile_banners/727100775017664512/1739310554")</f>
        <v>https://pbs.twimg.com/profile_banners/727100775017664512/1739310554</v>
      </c>
      <c r="BJ227" t="s">
        <v>4320</v>
      </c>
      <c r="BK227" t="b">
        <v>0</v>
      </c>
      <c r="BM227" t="s">
        <v>66</v>
      </c>
      <c r="BN227" t="s">
        <v>4322</v>
      </c>
      <c r="BO227" s="79" t="str">
        <f>HYPERLINK("https://twitter.com/carmeng734")</f>
        <v>https://twitter.com/carmeng734</v>
      </c>
      <c r="BP227" s="112" t="str">
        <f>REPLACE(INDEX(GroupVertices[Group], MATCH("~"&amp;Vertices[[#This Row],[Vertex]],GroupVertices[Vertex],0)),1,1,"")</f>
        <v>7</v>
      </c>
      <c r="BQ227" s="2"/>
    </row>
    <row r="228" spans="1:69" x14ac:dyDescent="0.25">
      <c r="A228" s="61" t="s">
        <v>316</v>
      </c>
      <c r="B228" s="62"/>
      <c r="C228" s="62"/>
      <c r="D228" s="63">
        <v>1.5</v>
      </c>
      <c r="E228" s="65"/>
      <c r="F228" s="97" t="str">
        <f>HYPERLINK("https://pbs.twimg.com/profile_images/1768660153853763584/CSMagLqK_normal.jpg")</f>
        <v>https://pbs.twimg.com/profile_images/1768660153853763584/CSMagLqK_normal.jpg</v>
      </c>
      <c r="G228" s="62"/>
      <c r="H228" s="66"/>
      <c r="I228" s="67"/>
      <c r="J228" s="67"/>
      <c r="K228" s="66" t="s">
        <v>4509</v>
      </c>
      <c r="L228" s="70"/>
      <c r="M228" s="71">
        <v>9687.9521484375</v>
      </c>
      <c r="N228" s="71">
        <v>5694.6884765625</v>
      </c>
      <c r="O228" s="72"/>
      <c r="P228" s="73"/>
      <c r="Q228" s="73"/>
      <c r="R228" s="81"/>
      <c r="S228" s="45">
        <v>0</v>
      </c>
      <c r="T228" s="45">
        <v>1</v>
      </c>
      <c r="U228" s="46">
        <v>0</v>
      </c>
      <c r="V228" s="46">
        <v>2.0960000000000002E-3</v>
      </c>
      <c r="W228" s="47"/>
      <c r="X228" s="47"/>
      <c r="Y228" s="47"/>
      <c r="Z228" s="46"/>
      <c r="AA228" s="68">
        <v>228</v>
      </c>
      <c r="AB228"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28" s="69"/>
      <c r="AD228" t="s">
        <v>2869</v>
      </c>
      <c r="AE228" s="77" t="s">
        <v>3239</v>
      </c>
      <c r="AF228">
        <v>3720</v>
      </c>
      <c r="AG228">
        <v>1343</v>
      </c>
      <c r="AH228">
        <v>106715</v>
      </c>
      <c r="AI228">
        <v>29</v>
      </c>
      <c r="AJ228">
        <v>260931</v>
      </c>
      <c r="AK228">
        <v>17768</v>
      </c>
      <c r="AL228" t="b">
        <v>0</v>
      </c>
      <c r="AM228" s="76">
        <v>40361.422500000001</v>
      </c>
      <c r="AN228" t="s">
        <v>3493</v>
      </c>
      <c r="AO228" t="s">
        <v>3796</v>
      </c>
      <c r="AP228" s="79" t="str">
        <f>HYPERLINK("https://t.co/BLKNN2chGe")</f>
        <v>https://t.co/BLKNN2chGe</v>
      </c>
      <c r="AQ228" s="79" t="str">
        <f>HYPERLINK("https://www.youtube.com/c/penteIelchillios")</f>
        <v>https://www.youtube.com/c/penteIelchillios</v>
      </c>
      <c r="AR228" t="s">
        <v>4124</v>
      </c>
      <c r="AV228">
        <v>1.8770593801656901E+18</v>
      </c>
      <c r="AW228" s="79" t="str">
        <f>HYPERLINK("https://t.co/BLKNN2chGe")</f>
        <v>https://t.co/BLKNN2chGe</v>
      </c>
      <c r="AX228" t="b">
        <v>0</v>
      </c>
      <c r="BA228" t="b">
        <v>1</v>
      </c>
      <c r="BB228" t="b">
        <v>0</v>
      </c>
      <c r="BC228" t="b">
        <v>1</v>
      </c>
      <c r="BD228" t="b">
        <v>0</v>
      </c>
      <c r="BE228" t="b">
        <v>1</v>
      </c>
      <c r="BF228" t="b">
        <v>0</v>
      </c>
      <c r="BG228" t="b">
        <v>0</v>
      </c>
      <c r="BH228" s="79" t="str">
        <f>HYPERLINK("https://pbs.twimg.com/profile_banners/161999953/1595426166")</f>
        <v>https://pbs.twimg.com/profile_banners/161999953/1595426166</v>
      </c>
      <c r="BJ228" t="s">
        <v>4320</v>
      </c>
      <c r="BK228" t="b">
        <v>0</v>
      </c>
      <c r="BM228" t="s">
        <v>66</v>
      </c>
      <c r="BN228" t="s">
        <v>4322</v>
      </c>
      <c r="BO228" s="79" t="str">
        <f>HYPERLINK("https://twitter.com/soypente")</f>
        <v>https://twitter.com/soypente</v>
      </c>
      <c r="BP228" s="112" t="str">
        <f>REPLACE(INDEX(GroupVertices[Group], MATCH("~"&amp;Vertices[[#This Row],[Vertex]],GroupVertices[Vertex],0)),1,1,"")</f>
        <v>78</v>
      </c>
      <c r="BQ228" s="2"/>
    </row>
    <row r="229" spans="1:69" x14ac:dyDescent="0.25">
      <c r="A229" s="61" t="s">
        <v>591</v>
      </c>
      <c r="B229" s="62"/>
      <c r="C229" s="62"/>
      <c r="D229" s="63">
        <v>1.5</v>
      </c>
      <c r="E229" s="65"/>
      <c r="F229" s="97" t="str">
        <f>HYPERLINK("https://pbs.twimg.com/profile_images/1905530564204953600/RB_OXjrv_normal.jpg")</f>
        <v>https://pbs.twimg.com/profile_images/1905530564204953600/RB_OXjrv_normal.jpg</v>
      </c>
      <c r="G229" s="62"/>
      <c r="H229" s="66"/>
      <c r="I229" s="67"/>
      <c r="J229" s="67"/>
      <c r="K229" s="66" t="s">
        <v>4510</v>
      </c>
      <c r="L229" s="70"/>
      <c r="M229" s="71">
        <v>8637.5390625</v>
      </c>
      <c r="N229" s="71">
        <v>6217.50341796875</v>
      </c>
      <c r="O229" s="72"/>
      <c r="P229" s="73"/>
      <c r="Q229" s="73"/>
      <c r="R229" s="81"/>
      <c r="S229" s="45">
        <v>1</v>
      </c>
      <c r="T229" s="45">
        <v>0</v>
      </c>
      <c r="U229" s="46">
        <v>0</v>
      </c>
      <c r="V229" s="46">
        <v>2.0960000000000002E-3</v>
      </c>
      <c r="W229" s="47"/>
      <c r="X229" s="47"/>
      <c r="Y229" s="47"/>
      <c r="Z229" s="46"/>
      <c r="AA229" s="68">
        <v>229</v>
      </c>
      <c r="AB229"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29" s="69"/>
      <c r="AD229" t="s">
        <v>2870</v>
      </c>
      <c r="AE229" s="77" t="s">
        <v>2425</v>
      </c>
      <c r="AF229">
        <v>2747</v>
      </c>
      <c r="AG229">
        <v>1539</v>
      </c>
      <c r="AH229">
        <v>26804</v>
      </c>
      <c r="AI229">
        <v>79</v>
      </c>
      <c r="AJ229">
        <v>33741</v>
      </c>
      <c r="AK229">
        <v>7315</v>
      </c>
      <c r="AL229" t="b">
        <v>0</v>
      </c>
      <c r="AM229" s="76">
        <v>40592.874872685185</v>
      </c>
      <c r="AN229" t="s">
        <v>3494</v>
      </c>
      <c r="AO229" t="s">
        <v>3797</v>
      </c>
      <c r="AP229" s="79" t="str">
        <f>HYPERLINK("https://t.co/VZb3AsEkxn")</f>
        <v>https://t.co/VZb3AsEkxn</v>
      </c>
      <c r="AQ229" s="79" t="str">
        <f>HYPERLINK("https://linktr.ee/franrico")</f>
        <v>https://linktr.ee/franrico</v>
      </c>
      <c r="AR229" t="s">
        <v>4125</v>
      </c>
      <c r="AW229" s="79" t="str">
        <f>HYPERLINK("https://t.co/VZb3AsEkxn")</f>
        <v>https://t.co/VZb3AsEkxn</v>
      </c>
      <c r="AX229" t="b">
        <v>0</v>
      </c>
      <c r="AZ229" t="b">
        <v>0</v>
      </c>
      <c r="BA229" t="b">
        <v>0</v>
      </c>
      <c r="BB229" t="b">
        <v>1</v>
      </c>
      <c r="BC229" t="b">
        <v>0</v>
      </c>
      <c r="BD229" t="b">
        <v>0</v>
      </c>
      <c r="BE229" t="b">
        <v>1</v>
      </c>
      <c r="BF229" t="b">
        <v>0</v>
      </c>
      <c r="BG229" t="b">
        <v>0</v>
      </c>
      <c r="BH229" s="79" t="str">
        <f>HYPERLINK("https://pbs.twimg.com/profile_banners/254210954/1739112156")</f>
        <v>https://pbs.twimg.com/profile_banners/254210954/1739112156</v>
      </c>
      <c r="BJ229" t="s">
        <v>4320</v>
      </c>
      <c r="BK229" t="b">
        <v>0</v>
      </c>
      <c r="BM229" t="s">
        <v>65</v>
      </c>
      <c r="BN229" t="s">
        <v>4322</v>
      </c>
      <c r="BO229" s="79" t="str">
        <f>HYPERLINK("https://twitter.com/franricomlg")</f>
        <v>https://twitter.com/franricomlg</v>
      </c>
      <c r="BP229" s="112" t="str">
        <f>REPLACE(INDEX(GroupVertices[Group], MATCH("~"&amp;Vertices[[#This Row],[Vertex]],GroupVertices[Vertex],0)),1,1,"")</f>
        <v>78</v>
      </c>
      <c r="BQ229" s="2"/>
    </row>
    <row r="230" spans="1:69" x14ac:dyDescent="0.25">
      <c r="A230" s="61" t="s">
        <v>317</v>
      </c>
      <c r="B230" s="62"/>
      <c r="C230" s="62"/>
      <c r="D230" s="63">
        <v>1.5</v>
      </c>
      <c r="E230" s="65"/>
      <c r="F230" s="97" t="str">
        <f>HYPERLINK("https://pbs.twimg.com/profile_images/1864414351777525760/0N5k_59e_normal.jpg")</f>
        <v>https://pbs.twimg.com/profile_images/1864414351777525760/0N5k_59e_normal.jpg</v>
      </c>
      <c r="G230" s="62"/>
      <c r="H230" s="66"/>
      <c r="I230" s="67"/>
      <c r="J230" s="67"/>
      <c r="K230" s="66" t="s">
        <v>4511</v>
      </c>
      <c r="L230" s="70"/>
      <c r="M230" s="71">
        <v>5838.83984375</v>
      </c>
      <c r="N230" s="71">
        <v>1916.7998046875</v>
      </c>
      <c r="O230" s="72"/>
      <c r="P230" s="73"/>
      <c r="Q230" s="73"/>
      <c r="R230" s="81"/>
      <c r="S230" s="45">
        <v>0</v>
      </c>
      <c r="T230" s="45">
        <v>1</v>
      </c>
      <c r="U230" s="46">
        <v>0</v>
      </c>
      <c r="V230" s="46">
        <v>2.0960000000000002E-3</v>
      </c>
      <c r="W230" s="47"/>
      <c r="X230" s="47"/>
      <c r="Y230" s="47"/>
      <c r="Z230" s="46"/>
      <c r="AA230" s="68">
        <v>230</v>
      </c>
      <c r="AB230"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30" s="69"/>
      <c r="AD230" t="s">
        <v>2871</v>
      </c>
      <c r="AE230" s="77" t="s">
        <v>2575</v>
      </c>
      <c r="AF230">
        <v>4537</v>
      </c>
      <c r="AG230">
        <v>4450</v>
      </c>
      <c r="AH230">
        <v>79026</v>
      </c>
      <c r="AI230">
        <v>8</v>
      </c>
      <c r="AJ230">
        <v>7</v>
      </c>
      <c r="AK230">
        <v>64471</v>
      </c>
      <c r="AL230" t="b">
        <v>0</v>
      </c>
      <c r="AM230" s="76">
        <v>43995.026435185187</v>
      </c>
      <c r="AN230" t="s">
        <v>3400</v>
      </c>
      <c r="AO230" t="s">
        <v>3798</v>
      </c>
      <c r="AP230" s="79" t="str">
        <f>HYPERLINK("https://t.co/q9Vn3U28zs")</f>
        <v>https://t.co/q9Vn3U28zs</v>
      </c>
      <c r="AQ230" s="79" t="str">
        <f>HYPERLINK("https://www.inoticias.cl")</f>
        <v>https://www.inoticias.cl</v>
      </c>
      <c r="AR230" t="s">
        <v>4126</v>
      </c>
      <c r="AS230" t="s">
        <v>4243</v>
      </c>
      <c r="AT230" t="s">
        <v>4256</v>
      </c>
      <c r="AU230" t="s">
        <v>4293</v>
      </c>
      <c r="AW230" s="79" t="str">
        <f>HYPERLINK("https://t.co/q9Vn3U28zs")</f>
        <v>https://t.co/q9Vn3U28zs</v>
      </c>
      <c r="AX230" t="b">
        <v>0</v>
      </c>
      <c r="BA230" t="b">
        <v>0</v>
      </c>
      <c r="BB230" t="b">
        <v>1</v>
      </c>
      <c r="BC230" t="b">
        <v>1</v>
      </c>
      <c r="BD230" t="b">
        <v>0</v>
      </c>
      <c r="BE230" t="b">
        <v>0</v>
      </c>
      <c r="BF230" t="b">
        <v>0</v>
      </c>
      <c r="BG230" t="b">
        <v>0</v>
      </c>
      <c r="BH230" s="79" t="str">
        <f>HYPERLINK("https://pbs.twimg.com/profile_banners/1271602673737965571/1593458351")</f>
        <v>https://pbs.twimg.com/profile_banners/1271602673737965571/1593458351</v>
      </c>
      <c r="BJ230" t="s">
        <v>4320</v>
      </c>
      <c r="BK230" t="b">
        <v>0</v>
      </c>
      <c r="BM230" t="s">
        <v>66</v>
      </c>
      <c r="BN230" t="s">
        <v>4322</v>
      </c>
      <c r="BO230" s="79" t="str">
        <f>HYPERLINK("https://twitter.com/inoticias_cl")</f>
        <v>https://twitter.com/inoticias_cl</v>
      </c>
      <c r="BP230" s="112" t="str">
        <f>REPLACE(INDEX(GroupVertices[Group], MATCH("~"&amp;Vertices[[#This Row],[Vertex]],GroupVertices[Vertex],0)),1,1,"")</f>
        <v>65</v>
      </c>
      <c r="BQ230" s="2"/>
    </row>
    <row r="231" spans="1:69" x14ac:dyDescent="0.25">
      <c r="A231" s="61" t="s">
        <v>592</v>
      </c>
      <c r="B231" s="62"/>
      <c r="C231" s="62"/>
      <c r="D231" s="63">
        <v>1.5</v>
      </c>
      <c r="E231" s="65"/>
      <c r="F231" s="97" t="str">
        <f>HYPERLINK("https://pbs.twimg.com/profile_images/1378393065640112128/dWQjkKO1_normal.jpg")</f>
        <v>https://pbs.twimg.com/profile_images/1378393065640112128/dWQjkKO1_normal.jpg</v>
      </c>
      <c r="G231" s="62"/>
      <c r="H231" s="66"/>
      <c r="I231" s="67"/>
      <c r="J231" s="67"/>
      <c r="K231" s="66" t="s">
        <v>4512</v>
      </c>
      <c r="L231" s="70"/>
      <c r="M231" s="71">
        <v>7980.26708984375</v>
      </c>
      <c r="N231" s="71">
        <v>429.23876953125</v>
      </c>
      <c r="O231" s="72"/>
      <c r="P231" s="73"/>
      <c r="Q231" s="73"/>
      <c r="R231" s="81"/>
      <c r="S231" s="45">
        <v>1</v>
      </c>
      <c r="T231" s="45">
        <v>0</v>
      </c>
      <c r="U231" s="46">
        <v>0</v>
      </c>
      <c r="V231" s="46">
        <v>2.0960000000000002E-3</v>
      </c>
      <c r="W231" s="47"/>
      <c r="X231" s="47"/>
      <c r="Y231" s="47"/>
      <c r="Z231" s="46"/>
      <c r="AA231" s="68">
        <v>231</v>
      </c>
      <c r="AB231"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31" s="69"/>
      <c r="AD231" t="s">
        <v>2872</v>
      </c>
      <c r="AE231" s="77" t="s">
        <v>3240</v>
      </c>
      <c r="AF231">
        <v>1396</v>
      </c>
      <c r="AG231">
        <v>995</v>
      </c>
      <c r="AH231">
        <v>33007</v>
      </c>
      <c r="AI231">
        <v>9</v>
      </c>
      <c r="AJ231">
        <v>1880</v>
      </c>
      <c r="AK231">
        <v>11638</v>
      </c>
      <c r="AL231" t="b">
        <v>0</v>
      </c>
      <c r="AM231" s="76">
        <v>41410.731122685182</v>
      </c>
      <c r="AN231" t="s">
        <v>3410</v>
      </c>
      <c r="AO231" t="s">
        <v>3799</v>
      </c>
      <c r="AP231" s="79" t="str">
        <f>HYPERLINK("https://t.co/VN9BqJdv5Y")</f>
        <v>https://t.co/VN9BqJdv5Y</v>
      </c>
      <c r="AQ231" s="79" t="str">
        <f>HYPERLINK("https://www.duplos.cl")</f>
        <v>https://www.duplos.cl</v>
      </c>
      <c r="AR231" t="s">
        <v>4127</v>
      </c>
      <c r="AW231" s="79" t="str">
        <f>HYPERLINK("https://t.co/VN9BqJdv5Y")</f>
        <v>https://t.co/VN9BqJdv5Y</v>
      </c>
      <c r="AX231" t="b">
        <v>0</v>
      </c>
      <c r="AZ231" t="b">
        <v>0</v>
      </c>
      <c r="BA231" t="b">
        <v>0</v>
      </c>
      <c r="BB231" t="b">
        <v>1</v>
      </c>
      <c r="BC231" t="b">
        <v>0</v>
      </c>
      <c r="BD231" t="b">
        <v>0</v>
      </c>
      <c r="BE231" t="b">
        <v>1</v>
      </c>
      <c r="BF231" t="b">
        <v>0</v>
      </c>
      <c r="BG231" t="b">
        <v>0</v>
      </c>
      <c r="BH231" s="79" t="str">
        <f>HYPERLINK("https://pbs.twimg.com/profile_banners/1433599650/1617473995")</f>
        <v>https://pbs.twimg.com/profile_banners/1433599650/1617473995</v>
      </c>
      <c r="BJ231" t="s">
        <v>4320</v>
      </c>
      <c r="BK231" t="b">
        <v>0</v>
      </c>
      <c r="BM231" t="s">
        <v>65</v>
      </c>
      <c r="BN231" t="s">
        <v>4322</v>
      </c>
      <c r="BO231" s="79" t="str">
        <f>HYPERLINK("https://twitter.com/duploscl")</f>
        <v>https://twitter.com/duploscl</v>
      </c>
      <c r="BP231" s="112" t="str">
        <f>REPLACE(INDEX(GroupVertices[Group], MATCH("~"&amp;Vertices[[#This Row],[Vertex]],GroupVertices[Vertex],0)),1,1,"")</f>
        <v>65</v>
      </c>
      <c r="BQ231" s="2"/>
    </row>
    <row r="232" spans="1:69" x14ac:dyDescent="0.25">
      <c r="A232" s="61" t="s">
        <v>318</v>
      </c>
      <c r="B232" s="62"/>
      <c r="C232" s="62"/>
      <c r="D232" s="63">
        <v>1.5</v>
      </c>
      <c r="E232" s="65"/>
      <c r="F232" s="97" t="str">
        <f>HYPERLINK("https://pbs.twimg.com/profile_images/1395827650715738115/q-GwnGO0_normal.jpg")</f>
        <v>https://pbs.twimg.com/profile_images/1395827650715738115/q-GwnGO0_normal.jpg</v>
      </c>
      <c r="G232" s="62"/>
      <c r="H232" s="66"/>
      <c r="I232" s="67"/>
      <c r="J232" s="67"/>
      <c r="K232" s="66" t="s">
        <v>4513</v>
      </c>
      <c r="L232" s="70"/>
      <c r="M232" s="71">
        <v>5652.86962890625</v>
      </c>
      <c r="N232" s="71">
        <v>6601.1494140625</v>
      </c>
      <c r="O232" s="72"/>
      <c r="P232" s="73"/>
      <c r="Q232" s="73"/>
      <c r="R232" s="81"/>
      <c r="S232" s="45">
        <v>0</v>
      </c>
      <c r="T232" s="45">
        <v>1</v>
      </c>
      <c r="U232" s="46">
        <v>0</v>
      </c>
      <c r="V232" s="46">
        <v>3.774E-3</v>
      </c>
      <c r="W232" s="47"/>
      <c r="X232" s="47"/>
      <c r="Y232" s="47"/>
      <c r="Z232" s="46"/>
      <c r="AA232" s="68">
        <v>232</v>
      </c>
      <c r="AB232"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32" s="69"/>
      <c r="AD232" t="s">
        <v>2873</v>
      </c>
      <c r="AE232" s="77" t="s">
        <v>3241</v>
      </c>
      <c r="AF232">
        <v>3360</v>
      </c>
      <c r="AG232">
        <v>4810</v>
      </c>
      <c r="AH232">
        <v>21201</v>
      </c>
      <c r="AI232">
        <v>13</v>
      </c>
      <c r="AJ232">
        <v>78018</v>
      </c>
      <c r="AK232">
        <v>250</v>
      </c>
      <c r="AL232" t="b">
        <v>0</v>
      </c>
      <c r="AM232" s="76">
        <v>42348.88758101852</v>
      </c>
      <c r="AO232" t="s">
        <v>3800</v>
      </c>
      <c r="AV232">
        <v>1.8295950110146299E+18</v>
      </c>
      <c r="AX232" t="b">
        <v>0</v>
      </c>
      <c r="BA232" t="b">
        <v>0</v>
      </c>
      <c r="BB232" t="b">
        <v>0</v>
      </c>
      <c r="BC232" t="b">
        <v>1</v>
      </c>
      <c r="BD232" t="b">
        <v>0</v>
      </c>
      <c r="BE232" t="b">
        <v>1</v>
      </c>
      <c r="BF232" t="b">
        <v>0</v>
      </c>
      <c r="BG232" t="b">
        <v>0</v>
      </c>
      <c r="BH232" s="79" t="str">
        <f>HYPERLINK("https://pbs.twimg.com/profile_banners/4441446563/1715718254")</f>
        <v>https://pbs.twimg.com/profile_banners/4441446563/1715718254</v>
      </c>
      <c r="BJ232" t="s">
        <v>4320</v>
      </c>
      <c r="BK232" t="b">
        <v>0</v>
      </c>
      <c r="BM232" t="s">
        <v>66</v>
      </c>
      <c r="BN232" t="s">
        <v>4322</v>
      </c>
      <c r="BO232" s="79" t="str">
        <f>HYPERLINK("https://twitter.com/danyger7")</f>
        <v>https://twitter.com/danyger7</v>
      </c>
      <c r="BP232" s="112" t="str">
        <f>REPLACE(INDEX(GroupVertices[Group], MATCH("~"&amp;Vertices[[#This Row],[Vertex]],GroupVertices[Vertex],0)),1,1,"")</f>
        <v>18</v>
      </c>
      <c r="BQ232" s="2"/>
    </row>
    <row r="233" spans="1:69" x14ac:dyDescent="0.25">
      <c r="A233" s="61" t="s">
        <v>319</v>
      </c>
      <c r="B233" s="62"/>
      <c r="C233" s="62"/>
      <c r="D233" s="63">
        <v>1.5</v>
      </c>
      <c r="E233" s="65"/>
      <c r="F233" s="97" t="str">
        <f>HYPERLINK("https://pbs.twimg.com/profile_images/1913089521870090240/dk9OvKCx_normal.jpg")</f>
        <v>https://pbs.twimg.com/profile_images/1913089521870090240/dk9OvKCx_normal.jpg</v>
      </c>
      <c r="G233" s="62"/>
      <c r="H233" s="66"/>
      <c r="I233" s="67"/>
      <c r="J233" s="67"/>
      <c r="K233" s="66" t="s">
        <v>4515</v>
      </c>
      <c r="L233" s="70"/>
      <c r="M233" s="71">
        <v>1762.7694091796875</v>
      </c>
      <c r="N233" s="71">
        <v>7858.087890625</v>
      </c>
      <c r="O233" s="72"/>
      <c r="P233" s="73"/>
      <c r="Q233" s="73"/>
      <c r="R233" s="81"/>
      <c r="S233" s="45">
        <v>1</v>
      </c>
      <c r="T233" s="45">
        <v>1</v>
      </c>
      <c r="U233" s="46">
        <v>0</v>
      </c>
      <c r="V233" s="46">
        <v>0</v>
      </c>
      <c r="W233" s="47"/>
      <c r="X233" s="47"/>
      <c r="Y233" s="47"/>
      <c r="Z233" s="46"/>
      <c r="AA233" s="68">
        <v>233</v>
      </c>
      <c r="AB233"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33" s="69"/>
      <c r="AD233" t="s">
        <v>2875</v>
      </c>
      <c r="AE233" s="77" t="s">
        <v>3242</v>
      </c>
      <c r="AF233">
        <v>4769</v>
      </c>
      <c r="AG233">
        <v>1581</v>
      </c>
      <c r="AH233">
        <v>11737</v>
      </c>
      <c r="AI233">
        <v>10</v>
      </c>
      <c r="AJ233">
        <v>10547</v>
      </c>
      <c r="AK233">
        <v>392</v>
      </c>
      <c r="AL233" t="b">
        <v>0</v>
      </c>
      <c r="AM233" s="76">
        <v>40884.598182870373</v>
      </c>
      <c r="AO233" t="s">
        <v>3802</v>
      </c>
      <c r="AX233" t="b">
        <v>0</v>
      </c>
      <c r="BA233" t="b">
        <v>1</v>
      </c>
      <c r="BB233" t="b">
        <v>1</v>
      </c>
      <c r="BC233" t="b">
        <v>1</v>
      </c>
      <c r="BD233" t="b">
        <v>0</v>
      </c>
      <c r="BE233" t="b">
        <v>0</v>
      </c>
      <c r="BF233" t="b">
        <v>0</v>
      </c>
      <c r="BG233" t="b">
        <v>0</v>
      </c>
      <c r="BH233" s="79" t="str">
        <f>HYPERLINK("https://pbs.twimg.com/profile_banners/430735507/1744951071")</f>
        <v>https://pbs.twimg.com/profile_banners/430735507/1744951071</v>
      </c>
      <c r="BJ233" t="s">
        <v>4320</v>
      </c>
      <c r="BK233" t="b">
        <v>0</v>
      </c>
      <c r="BM233" t="s">
        <v>66</v>
      </c>
      <c r="BN233" t="s">
        <v>4322</v>
      </c>
      <c r="BO233" s="79" t="str">
        <f>HYPERLINK("https://twitter.com/moquitamocol")</f>
        <v>https://twitter.com/moquitamocol</v>
      </c>
      <c r="BP233" s="112" t="str">
        <f>REPLACE(INDEX(GroupVertices[Group], MATCH("~"&amp;Vertices[[#This Row],[Vertex]],GroupVertices[Vertex],0)),1,1,"")</f>
        <v>153</v>
      </c>
      <c r="BQ233" s="2"/>
    </row>
    <row r="234" spans="1:69" x14ac:dyDescent="0.25">
      <c r="A234" s="61" t="s">
        <v>594</v>
      </c>
      <c r="B234" s="62"/>
      <c r="C234" s="62"/>
      <c r="D234" s="63">
        <v>1.5</v>
      </c>
      <c r="E234" s="65"/>
      <c r="F234" s="97" t="str">
        <f>HYPERLINK("https://pbs.twimg.com/profile_images/598224358285451266/3wl0WesH_normal.jpg")</f>
        <v>https://pbs.twimg.com/profile_images/598224358285451266/3wl0WesH_normal.jpg</v>
      </c>
      <c r="G234" s="62"/>
      <c r="H234" s="66"/>
      <c r="I234" s="67"/>
      <c r="J234" s="67"/>
      <c r="K234" s="66" t="s">
        <v>4517</v>
      </c>
      <c r="L234" s="70"/>
      <c r="M234" s="71">
        <v>7754.9111328125</v>
      </c>
      <c r="N234" s="71">
        <v>3829.365966796875</v>
      </c>
      <c r="O234" s="72"/>
      <c r="P234" s="73"/>
      <c r="Q234" s="73"/>
      <c r="R234" s="81"/>
      <c r="S234" s="45">
        <v>1</v>
      </c>
      <c r="T234" s="45">
        <v>0</v>
      </c>
      <c r="U234" s="46">
        <v>0</v>
      </c>
      <c r="V234" s="46">
        <v>1.4741000000000001E-2</v>
      </c>
      <c r="W234" s="47"/>
      <c r="X234" s="47"/>
      <c r="Y234" s="47"/>
      <c r="Z234" s="46"/>
      <c r="AA234" s="68">
        <v>234</v>
      </c>
      <c r="AB234"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34" s="69"/>
      <c r="AD234" t="s">
        <v>2877</v>
      </c>
      <c r="AE234" s="77" t="s">
        <v>3244</v>
      </c>
      <c r="AF234">
        <v>2394</v>
      </c>
      <c r="AG234">
        <v>1459</v>
      </c>
      <c r="AH234">
        <v>38755</v>
      </c>
      <c r="AI234">
        <v>47</v>
      </c>
      <c r="AJ234">
        <v>10731</v>
      </c>
      <c r="AK234">
        <v>864</v>
      </c>
      <c r="AL234" t="b">
        <v>0</v>
      </c>
      <c r="AM234" s="76">
        <v>39922.685787037037</v>
      </c>
      <c r="AN234" t="s">
        <v>3496</v>
      </c>
      <c r="AO234" t="s">
        <v>3803</v>
      </c>
      <c r="AV234">
        <v>1.60413022772189E+18</v>
      </c>
      <c r="AX234" t="b">
        <v>0</v>
      </c>
      <c r="AZ234" t="b">
        <v>0</v>
      </c>
      <c r="BA234" t="b">
        <v>0</v>
      </c>
      <c r="BB234" t="b">
        <v>0</v>
      </c>
      <c r="BC234" t="b">
        <v>0</v>
      </c>
      <c r="BD234" t="b">
        <v>0</v>
      </c>
      <c r="BE234" t="b">
        <v>0</v>
      </c>
      <c r="BF234" t="b">
        <v>0</v>
      </c>
      <c r="BG234" t="b">
        <v>0</v>
      </c>
      <c r="BH234" s="79" t="str">
        <f>HYPERLINK("https://pbs.twimg.com/profile_banners/33240122/1398876695")</f>
        <v>https://pbs.twimg.com/profile_banners/33240122/1398876695</v>
      </c>
      <c r="BJ234" t="s">
        <v>4320</v>
      </c>
      <c r="BK234" t="b">
        <v>0</v>
      </c>
      <c r="BM234" t="s">
        <v>65</v>
      </c>
      <c r="BN234" t="s">
        <v>4322</v>
      </c>
      <c r="BO234" s="79" t="str">
        <f>HYPERLINK("https://twitter.com/elisagarrido")</f>
        <v>https://twitter.com/elisagarrido</v>
      </c>
      <c r="BP234" s="112" t="str">
        <f>REPLACE(INDEX(GroupVertices[Group], MATCH("~"&amp;Vertices[[#This Row],[Vertex]],GroupVertices[Vertex],0)),1,1,"")</f>
        <v>2</v>
      </c>
      <c r="BQ234" s="2"/>
    </row>
    <row r="235" spans="1:69" x14ac:dyDescent="0.25">
      <c r="A235" s="61" t="s">
        <v>595</v>
      </c>
      <c r="B235" s="62"/>
      <c r="C235" s="62"/>
      <c r="D235" s="63">
        <v>1.5</v>
      </c>
      <c r="E235" s="65"/>
      <c r="F235" s="97" t="str">
        <f>HYPERLINK("https://pbs.twimg.com/profile_images/1813882006129856512/qbejwGKI_normal.jpg")</f>
        <v>https://pbs.twimg.com/profile_images/1813882006129856512/qbejwGKI_normal.jpg</v>
      </c>
      <c r="G235" s="62"/>
      <c r="H235" s="66"/>
      <c r="I235" s="67"/>
      <c r="J235" s="67"/>
      <c r="K235" s="66" t="s">
        <v>4518</v>
      </c>
      <c r="L235" s="70"/>
      <c r="M235" s="71">
        <v>8634.4384765625</v>
      </c>
      <c r="N235" s="71">
        <v>4221.40234375</v>
      </c>
      <c r="O235" s="72"/>
      <c r="P235" s="73"/>
      <c r="Q235" s="73"/>
      <c r="R235" s="81"/>
      <c r="S235" s="45">
        <v>1</v>
      </c>
      <c r="T235" s="45">
        <v>0</v>
      </c>
      <c r="U235" s="46">
        <v>0</v>
      </c>
      <c r="V235" s="46">
        <v>1.4741000000000001E-2</v>
      </c>
      <c r="W235" s="47"/>
      <c r="X235" s="47"/>
      <c r="Y235" s="47"/>
      <c r="Z235" s="46"/>
      <c r="AA235" s="68">
        <v>235</v>
      </c>
      <c r="AB235"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35" s="69"/>
      <c r="AD235" t="s">
        <v>2878</v>
      </c>
      <c r="AE235" s="77" t="s">
        <v>3245</v>
      </c>
      <c r="AF235">
        <v>834</v>
      </c>
      <c r="AG235">
        <v>378</v>
      </c>
      <c r="AH235">
        <v>1612</v>
      </c>
      <c r="AI235">
        <v>15</v>
      </c>
      <c r="AJ235">
        <v>97</v>
      </c>
      <c r="AK235">
        <v>74</v>
      </c>
      <c r="AL235" t="b">
        <v>0</v>
      </c>
      <c r="AM235" s="76">
        <v>40565.527627314812</v>
      </c>
      <c r="AN235" t="s">
        <v>3497</v>
      </c>
      <c r="AO235" t="s">
        <v>3804</v>
      </c>
      <c r="AX235" t="b">
        <v>0</v>
      </c>
      <c r="AZ235" t="b">
        <v>0</v>
      </c>
      <c r="BA235" t="b">
        <v>0</v>
      </c>
      <c r="BB235" t="b">
        <v>1</v>
      </c>
      <c r="BC235" t="b">
        <v>0</v>
      </c>
      <c r="BD235" t="b">
        <v>0</v>
      </c>
      <c r="BE235" t="b">
        <v>0</v>
      </c>
      <c r="BF235" t="b">
        <v>0</v>
      </c>
      <c r="BG235" t="b">
        <v>0</v>
      </c>
      <c r="BJ235" t="s">
        <v>4320</v>
      </c>
      <c r="BK235" t="b">
        <v>0</v>
      </c>
      <c r="BM235" t="s">
        <v>65</v>
      </c>
      <c r="BN235" t="s">
        <v>4322</v>
      </c>
      <c r="BO235" s="79" t="str">
        <f>HYPERLINK("https://twitter.com/gonzalo_redondo")</f>
        <v>https://twitter.com/gonzalo_redondo</v>
      </c>
      <c r="BP235" s="112" t="str">
        <f>REPLACE(INDEX(GroupVertices[Group], MATCH("~"&amp;Vertices[[#This Row],[Vertex]],GroupVertices[Vertex],0)),1,1,"")</f>
        <v>2</v>
      </c>
      <c r="BQ235" s="2"/>
    </row>
    <row r="236" spans="1:69" x14ac:dyDescent="0.25">
      <c r="A236" s="61" t="s">
        <v>596</v>
      </c>
      <c r="B236" s="62"/>
      <c r="C236" s="62"/>
      <c r="D236" s="63">
        <v>1.5</v>
      </c>
      <c r="E236" s="65"/>
      <c r="F236" s="97" t="str">
        <f>HYPERLINK("https://pbs.twimg.com/profile_images/1682033241891667970/vS-v_NHz_normal.jpg")</f>
        <v>https://pbs.twimg.com/profile_images/1682033241891667970/vS-v_NHz_normal.jpg</v>
      </c>
      <c r="G236" s="62"/>
      <c r="H236" s="66"/>
      <c r="I236" s="67"/>
      <c r="J236" s="67"/>
      <c r="K236" s="66" t="s">
        <v>4519</v>
      </c>
      <c r="L236" s="70"/>
      <c r="M236" s="71">
        <v>7100.40771484375</v>
      </c>
      <c r="N236" s="71">
        <v>7862.02099609375</v>
      </c>
      <c r="O236" s="72"/>
      <c r="P236" s="73"/>
      <c r="Q236" s="73"/>
      <c r="R236" s="81"/>
      <c r="S236" s="45">
        <v>1</v>
      </c>
      <c r="T236" s="45">
        <v>0</v>
      </c>
      <c r="U236" s="46">
        <v>0</v>
      </c>
      <c r="V236" s="46">
        <v>1.4741000000000001E-2</v>
      </c>
      <c r="W236" s="47"/>
      <c r="X236" s="47"/>
      <c r="Y236" s="47"/>
      <c r="Z236" s="46"/>
      <c r="AA236" s="68">
        <v>236</v>
      </c>
      <c r="AB236"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36" s="69"/>
      <c r="AD236" t="s">
        <v>2879</v>
      </c>
      <c r="AE236" s="77" t="s">
        <v>3246</v>
      </c>
      <c r="AF236">
        <v>1271</v>
      </c>
      <c r="AG236">
        <v>988</v>
      </c>
      <c r="AH236">
        <v>3903</v>
      </c>
      <c r="AI236">
        <v>29</v>
      </c>
      <c r="AJ236">
        <v>5002</v>
      </c>
      <c r="AK236">
        <v>415</v>
      </c>
      <c r="AL236" t="b">
        <v>0</v>
      </c>
      <c r="AM236" s="76">
        <v>40646.82240740741</v>
      </c>
      <c r="AN236" t="s">
        <v>3498</v>
      </c>
      <c r="AO236" t="s">
        <v>3805</v>
      </c>
      <c r="AX236" t="b">
        <v>0</v>
      </c>
      <c r="AZ236" t="b">
        <v>0</v>
      </c>
      <c r="BA236" t="b">
        <v>0</v>
      </c>
      <c r="BB236" t="b">
        <v>1</v>
      </c>
      <c r="BC236" t="b">
        <v>0</v>
      </c>
      <c r="BD236" t="b">
        <v>0</v>
      </c>
      <c r="BE236" t="b">
        <v>1</v>
      </c>
      <c r="BF236" t="b">
        <v>0</v>
      </c>
      <c r="BG236" t="b">
        <v>0</v>
      </c>
      <c r="BH236" s="79" t="str">
        <f>HYPERLINK("https://pbs.twimg.com/profile_banners/281692885/1654415454")</f>
        <v>https://pbs.twimg.com/profile_banners/281692885/1654415454</v>
      </c>
      <c r="BJ236" t="s">
        <v>4320</v>
      </c>
      <c r="BK236" t="b">
        <v>0</v>
      </c>
      <c r="BM236" t="s">
        <v>65</v>
      </c>
      <c r="BN236" t="s">
        <v>4322</v>
      </c>
      <c r="BO236" s="79" t="str">
        <f>HYPERLINK("https://twitter.com/aliciaalvarezsc")</f>
        <v>https://twitter.com/aliciaalvarezsc</v>
      </c>
      <c r="BP236" s="112" t="str">
        <f>REPLACE(INDEX(GroupVertices[Group], MATCH("~"&amp;Vertices[[#This Row],[Vertex]],GroupVertices[Vertex],0)),1,1,"")</f>
        <v>2</v>
      </c>
      <c r="BQ236" s="2"/>
    </row>
    <row r="237" spans="1:69" x14ac:dyDescent="0.25">
      <c r="A237" s="61" t="s">
        <v>597</v>
      </c>
      <c r="B237" s="62"/>
      <c r="C237" s="62"/>
      <c r="D237" s="63">
        <v>1.5</v>
      </c>
      <c r="E237" s="65"/>
      <c r="F237" s="97" t="str">
        <f>HYPERLINK("https://pbs.twimg.com/profile_images/1833504970005499906/TqNjce34_normal.jpg")</f>
        <v>https://pbs.twimg.com/profile_images/1833504970005499906/TqNjce34_normal.jpg</v>
      </c>
      <c r="G237" s="62"/>
      <c r="H237" s="66"/>
      <c r="I237" s="67"/>
      <c r="J237" s="67"/>
      <c r="K237" s="66" t="s">
        <v>4520</v>
      </c>
      <c r="L237" s="70"/>
      <c r="M237" s="71">
        <v>4379.640625</v>
      </c>
      <c r="N237" s="71">
        <v>939.413818359375</v>
      </c>
      <c r="O237" s="72"/>
      <c r="P237" s="73"/>
      <c r="Q237" s="73"/>
      <c r="R237" s="81"/>
      <c r="S237" s="45">
        <v>1</v>
      </c>
      <c r="T237" s="45">
        <v>0</v>
      </c>
      <c r="U237" s="46">
        <v>0</v>
      </c>
      <c r="V237" s="46">
        <v>1.4741000000000001E-2</v>
      </c>
      <c r="W237" s="47"/>
      <c r="X237" s="47"/>
      <c r="Y237" s="47"/>
      <c r="Z237" s="46"/>
      <c r="AA237" s="68">
        <v>237</v>
      </c>
      <c r="AB237"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37" s="69"/>
      <c r="AD237" t="s">
        <v>2880</v>
      </c>
      <c r="AE237" s="77" t="s">
        <v>3247</v>
      </c>
      <c r="AF237">
        <v>1148</v>
      </c>
      <c r="AG237">
        <v>638</v>
      </c>
      <c r="AH237">
        <v>2113</v>
      </c>
      <c r="AI237">
        <v>21</v>
      </c>
      <c r="AJ237">
        <v>8473</v>
      </c>
      <c r="AK237">
        <v>257</v>
      </c>
      <c r="AL237" t="b">
        <v>0</v>
      </c>
      <c r="AM237" s="76">
        <v>42384.719224537039</v>
      </c>
      <c r="AO237" t="s">
        <v>3806</v>
      </c>
      <c r="AX237" t="b">
        <v>0</v>
      </c>
      <c r="AZ237" t="b">
        <v>0</v>
      </c>
      <c r="BA237" t="b">
        <v>0</v>
      </c>
      <c r="BB237" t="b">
        <v>1</v>
      </c>
      <c r="BC237" t="b">
        <v>0</v>
      </c>
      <c r="BD237" t="b">
        <v>0</v>
      </c>
      <c r="BE237" t="b">
        <v>0</v>
      </c>
      <c r="BF237" t="b">
        <v>0</v>
      </c>
      <c r="BG237" t="b">
        <v>0</v>
      </c>
      <c r="BH237" s="79" t="str">
        <f>HYPERLINK("https://pbs.twimg.com/profile_banners/4816112080/1591553814")</f>
        <v>https://pbs.twimg.com/profile_banners/4816112080/1591553814</v>
      </c>
      <c r="BJ237" t="s">
        <v>4320</v>
      </c>
      <c r="BK237" t="b">
        <v>0</v>
      </c>
      <c r="BM237" t="s">
        <v>65</v>
      </c>
      <c r="BN237" t="s">
        <v>4322</v>
      </c>
      <c r="BO237" s="79" t="str">
        <f>HYPERLINK("https://twitter.com/ferran_verdejo")</f>
        <v>https://twitter.com/ferran_verdejo</v>
      </c>
      <c r="BP237" s="112" t="str">
        <f>REPLACE(INDEX(GroupVertices[Group], MATCH("~"&amp;Vertices[[#This Row],[Vertex]],GroupVertices[Vertex],0)),1,1,"")</f>
        <v>2</v>
      </c>
      <c r="BQ237" s="2"/>
    </row>
    <row r="238" spans="1:69" x14ac:dyDescent="0.25">
      <c r="A238" s="61" t="s">
        <v>598</v>
      </c>
      <c r="B238" s="62"/>
      <c r="C238" s="62"/>
      <c r="D238" s="63">
        <v>1.5</v>
      </c>
      <c r="E238" s="65"/>
      <c r="F238" s="97" t="str">
        <f>HYPERLINK("https://pbs.twimg.com/profile_images/1467116765687828487/XP4-oGUu_normal.jpg")</f>
        <v>https://pbs.twimg.com/profile_images/1467116765687828487/XP4-oGUu_normal.jpg</v>
      </c>
      <c r="G238" s="62"/>
      <c r="H238" s="66"/>
      <c r="I238" s="67"/>
      <c r="J238" s="67"/>
      <c r="K238" s="66" t="s">
        <v>4521</v>
      </c>
      <c r="L238" s="70"/>
      <c r="M238" s="71">
        <v>5809.80908203125</v>
      </c>
      <c r="N238" s="71">
        <v>1060.2955322265625</v>
      </c>
      <c r="O238" s="72"/>
      <c r="P238" s="73"/>
      <c r="Q238" s="73"/>
      <c r="R238" s="81"/>
      <c r="S238" s="45">
        <v>1</v>
      </c>
      <c r="T238" s="45">
        <v>0</v>
      </c>
      <c r="U238" s="46">
        <v>0</v>
      </c>
      <c r="V238" s="46">
        <v>1.4741000000000001E-2</v>
      </c>
      <c r="W238" s="47"/>
      <c r="X238" s="47"/>
      <c r="Y238" s="47"/>
      <c r="Z238" s="46"/>
      <c r="AA238" s="68">
        <v>238</v>
      </c>
      <c r="AB238"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38" s="69"/>
      <c r="AD238" t="s">
        <v>2881</v>
      </c>
      <c r="AE238" s="77" t="s">
        <v>3248</v>
      </c>
      <c r="AF238">
        <v>2399</v>
      </c>
      <c r="AG238">
        <v>1199</v>
      </c>
      <c r="AH238">
        <v>4982</v>
      </c>
      <c r="AI238">
        <v>134</v>
      </c>
      <c r="AJ238">
        <v>5295</v>
      </c>
      <c r="AK238">
        <v>500</v>
      </c>
      <c r="AL238" t="b">
        <v>0</v>
      </c>
      <c r="AM238" s="76">
        <v>40843.339999999997</v>
      </c>
      <c r="AO238" t="s">
        <v>3807</v>
      </c>
      <c r="AP238" s="79" t="str">
        <f>HYPERLINK("https://t.co/xQoUYNwfrM")</f>
        <v>https://t.co/xQoUYNwfrM</v>
      </c>
      <c r="AQ238" s="79" t="str">
        <f>HYPERLINK("http://www.patriciablanquer.es")</f>
        <v>http://www.patriciablanquer.es</v>
      </c>
      <c r="AR238" t="s">
        <v>4129</v>
      </c>
      <c r="AW238" s="79" t="str">
        <f>HYPERLINK("https://t.co/xQoUYNwfrM")</f>
        <v>https://t.co/xQoUYNwfrM</v>
      </c>
      <c r="AX238" t="b">
        <v>0</v>
      </c>
      <c r="AZ238" t="b">
        <v>0</v>
      </c>
      <c r="BA238" t="b">
        <v>1</v>
      </c>
      <c r="BB238" t="b">
        <v>1</v>
      </c>
      <c r="BC238" t="b">
        <v>0</v>
      </c>
      <c r="BD238" t="b">
        <v>0</v>
      </c>
      <c r="BE238" t="b">
        <v>1</v>
      </c>
      <c r="BF238" t="b">
        <v>0</v>
      </c>
      <c r="BG238" t="b">
        <v>0</v>
      </c>
      <c r="BH238" s="79" t="str">
        <f>HYPERLINK("https://pbs.twimg.com/profile_banners/399278810/1577880527")</f>
        <v>https://pbs.twimg.com/profile_banners/399278810/1577880527</v>
      </c>
      <c r="BJ238" t="s">
        <v>4320</v>
      </c>
      <c r="BK238" t="b">
        <v>0</v>
      </c>
      <c r="BM238" t="s">
        <v>65</v>
      </c>
      <c r="BN238" t="s">
        <v>4322</v>
      </c>
      <c r="BO238" s="79" t="str">
        <f>HYPERLINK("https://twitter.com/patri_blanquer")</f>
        <v>https://twitter.com/patri_blanquer</v>
      </c>
      <c r="BP238" s="112" t="str">
        <f>REPLACE(INDEX(GroupVertices[Group], MATCH("~"&amp;Vertices[[#This Row],[Vertex]],GroupVertices[Vertex],0)),1,1,"")</f>
        <v>2</v>
      </c>
      <c r="BQ238" s="2"/>
    </row>
    <row r="239" spans="1:69" x14ac:dyDescent="0.25">
      <c r="A239" s="61" t="s">
        <v>599</v>
      </c>
      <c r="B239" s="62"/>
      <c r="C239" s="62"/>
      <c r="D239" s="63">
        <v>1.5</v>
      </c>
      <c r="E239" s="65"/>
      <c r="F239" s="97" t="str">
        <f>HYPERLINK("https://pbs.twimg.com/profile_images/1741816240820084736/H0K9dcJz_normal.jpg")</f>
        <v>https://pbs.twimg.com/profile_images/1741816240820084736/H0K9dcJz_normal.jpg</v>
      </c>
      <c r="G239" s="62"/>
      <c r="H239" s="66"/>
      <c r="I239" s="67"/>
      <c r="J239" s="67"/>
      <c r="K239" s="66" t="s">
        <v>4522</v>
      </c>
      <c r="L239" s="70"/>
      <c r="M239" s="71">
        <v>9299.7548828125</v>
      </c>
      <c r="N239" s="71">
        <v>3420.869384765625</v>
      </c>
      <c r="O239" s="72"/>
      <c r="P239" s="73"/>
      <c r="Q239" s="73"/>
      <c r="R239" s="81"/>
      <c r="S239" s="45">
        <v>1</v>
      </c>
      <c r="T239" s="45">
        <v>0</v>
      </c>
      <c r="U239" s="46">
        <v>0</v>
      </c>
      <c r="V239" s="46">
        <v>1.4741000000000001E-2</v>
      </c>
      <c r="W239" s="47"/>
      <c r="X239" s="47"/>
      <c r="Y239" s="47"/>
      <c r="Z239" s="46"/>
      <c r="AA239" s="68">
        <v>239</v>
      </c>
      <c r="AB239"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39" s="69"/>
      <c r="AD239" t="s">
        <v>2882</v>
      </c>
      <c r="AE239" s="77" t="s">
        <v>3249</v>
      </c>
      <c r="AF239">
        <v>3182</v>
      </c>
      <c r="AG239">
        <v>2737</v>
      </c>
      <c r="AH239">
        <v>35120</v>
      </c>
      <c r="AI239">
        <v>126</v>
      </c>
      <c r="AJ239">
        <v>93701</v>
      </c>
      <c r="AK239">
        <v>987</v>
      </c>
      <c r="AL239" t="b">
        <v>0</v>
      </c>
      <c r="AM239" s="76">
        <v>40127.008506944447</v>
      </c>
      <c r="AN239" t="s">
        <v>3499</v>
      </c>
      <c r="AO239" t="s">
        <v>3808</v>
      </c>
      <c r="AP239" s="79" t="str">
        <f>HYPERLINK("https://t.co/FUmZeACnG4")</f>
        <v>https://t.co/FUmZeACnG4</v>
      </c>
      <c r="AQ239" s="79" t="str">
        <f>HYPERLINK("http://huesca.aragonpsoe.es")</f>
        <v>http://huesca.aragonpsoe.es</v>
      </c>
      <c r="AR239" t="s">
        <v>4130</v>
      </c>
      <c r="AW239" s="79" t="str">
        <f>HYPERLINK("https://t.co/FUmZeACnG4")</f>
        <v>https://t.co/FUmZeACnG4</v>
      </c>
      <c r="AX239" t="b">
        <v>1</v>
      </c>
      <c r="AZ239" t="b">
        <v>0</v>
      </c>
      <c r="BA239" t="b">
        <v>0</v>
      </c>
      <c r="BB239" t="b">
        <v>0</v>
      </c>
      <c r="BC239" t="b">
        <v>0</v>
      </c>
      <c r="BD239" t="b">
        <v>0</v>
      </c>
      <c r="BE239" t="b">
        <v>1</v>
      </c>
      <c r="BF239" t="b">
        <v>0</v>
      </c>
      <c r="BG239" t="b">
        <v>0</v>
      </c>
      <c r="BH239" s="79" t="str">
        <f>HYPERLINK("https://pbs.twimg.com/profile_banners/88802757/1732008560")</f>
        <v>https://pbs.twimg.com/profile_banners/88802757/1732008560</v>
      </c>
      <c r="BJ239" t="s">
        <v>4320</v>
      </c>
      <c r="BK239" t="b">
        <v>0</v>
      </c>
      <c r="BM239" t="s">
        <v>65</v>
      </c>
      <c r="BN239" t="s">
        <v>4322</v>
      </c>
      <c r="BO239" s="79" t="str">
        <f>HYPERLINK("https://twitter.com/begonasarre")</f>
        <v>https://twitter.com/begonasarre</v>
      </c>
      <c r="BP239" s="112" t="str">
        <f>REPLACE(INDEX(GroupVertices[Group], MATCH("~"&amp;Vertices[[#This Row],[Vertex]],GroupVertices[Vertex],0)),1,1,"")</f>
        <v>2</v>
      </c>
      <c r="BQ239" s="2"/>
    </row>
    <row r="240" spans="1:69" x14ac:dyDescent="0.25">
      <c r="A240" s="61" t="s">
        <v>600</v>
      </c>
      <c r="B240" s="62"/>
      <c r="C240" s="62"/>
      <c r="D240" s="63">
        <v>1.5</v>
      </c>
      <c r="E240" s="65"/>
      <c r="F240" s="97" t="str">
        <f>HYPERLINK("https://pbs.twimg.com/profile_images/1848610284484636672/PINVUc8c_normal.jpg")</f>
        <v>https://pbs.twimg.com/profile_images/1848610284484636672/PINVUc8c_normal.jpg</v>
      </c>
      <c r="G240" s="62"/>
      <c r="H240" s="66"/>
      <c r="I240" s="67"/>
      <c r="J240" s="67"/>
      <c r="K240" s="66" t="s">
        <v>4523</v>
      </c>
      <c r="L240" s="70"/>
      <c r="M240" s="71">
        <v>9050.919921875</v>
      </c>
      <c r="N240" s="71">
        <v>3939.313232421875</v>
      </c>
      <c r="O240" s="72"/>
      <c r="P240" s="73"/>
      <c r="Q240" s="73"/>
      <c r="R240" s="81"/>
      <c r="S240" s="45">
        <v>1</v>
      </c>
      <c r="T240" s="45">
        <v>0</v>
      </c>
      <c r="U240" s="46">
        <v>0</v>
      </c>
      <c r="V240" s="46">
        <v>1.4741000000000001E-2</v>
      </c>
      <c r="W240" s="47"/>
      <c r="X240" s="47"/>
      <c r="Y240" s="47"/>
      <c r="Z240" s="46"/>
      <c r="AA240" s="68">
        <v>240</v>
      </c>
      <c r="AB240"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40" s="69"/>
      <c r="AD240" t="s">
        <v>2883</v>
      </c>
      <c r="AE240" s="77" t="s">
        <v>3250</v>
      </c>
      <c r="AF240">
        <v>7005</v>
      </c>
      <c r="AG240">
        <v>1591</v>
      </c>
      <c r="AH240">
        <v>14072</v>
      </c>
      <c r="AI240">
        <v>205</v>
      </c>
      <c r="AJ240">
        <v>12993</v>
      </c>
      <c r="AK240">
        <v>1394</v>
      </c>
      <c r="AL240" t="b">
        <v>0</v>
      </c>
      <c r="AM240" s="76">
        <v>41178.443842592591</v>
      </c>
      <c r="AN240" t="s">
        <v>3500</v>
      </c>
      <c r="AO240" t="s">
        <v>3809</v>
      </c>
      <c r="AV240">
        <v>1.5106405379588101E+18</v>
      </c>
      <c r="AX240" t="b">
        <v>0</v>
      </c>
      <c r="AZ240" t="b">
        <v>0</v>
      </c>
      <c r="BA240" t="b">
        <v>0</v>
      </c>
      <c r="BB240" t="b">
        <v>1</v>
      </c>
      <c r="BC240" t="b">
        <v>0</v>
      </c>
      <c r="BD240" t="b">
        <v>0</v>
      </c>
      <c r="BE240" t="b">
        <v>1</v>
      </c>
      <c r="BF240" t="b">
        <v>0</v>
      </c>
      <c r="BG240" t="b">
        <v>0</v>
      </c>
      <c r="BH240" s="79" t="str">
        <f>HYPERLINK("https://pbs.twimg.com/profile_banners/847169983/1733079206")</f>
        <v>https://pbs.twimg.com/profile_banners/847169983/1733079206</v>
      </c>
      <c r="BJ240" t="s">
        <v>4320</v>
      </c>
      <c r="BK240" t="b">
        <v>0</v>
      </c>
      <c r="BM240" t="s">
        <v>65</v>
      </c>
      <c r="BN240" t="s">
        <v>4322</v>
      </c>
      <c r="BO240" s="79" t="str">
        <f>HYPERLINK("https://twitter.com/montseminguez")</f>
        <v>https://twitter.com/montseminguez</v>
      </c>
      <c r="BP240" s="112" t="str">
        <f>REPLACE(INDEX(GroupVertices[Group], MATCH("~"&amp;Vertices[[#This Row],[Vertex]],GroupVertices[Vertex],0)),1,1,"")</f>
        <v>2</v>
      </c>
      <c r="BQ240" s="2"/>
    </row>
    <row r="241" spans="1:69" x14ac:dyDescent="0.25">
      <c r="A241" s="61" t="s">
        <v>601</v>
      </c>
      <c r="B241" s="62"/>
      <c r="C241" s="62"/>
      <c r="D241" s="63">
        <v>1.5</v>
      </c>
      <c r="E241" s="65"/>
      <c r="F241" s="97" t="str">
        <f>HYPERLINK("https://pbs.twimg.com/profile_images/1105244080362176512/m960gLZI_normal.jpg")</f>
        <v>https://pbs.twimg.com/profile_images/1105244080362176512/m960gLZI_normal.jpg</v>
      </c>
      <c r="G241" s="62"/>
      <c r="H241" s="66"/>
      <c r="I241" s="67"/>
      <c r="J241" s="67"/>
      <c r="K241" s="66" t="s">
        <v>4524</v>
      </c>
      <c r="L241" s="70"/>
      <c r="M241" s="71">
        <v>6543.1689453125</v>
      </c>
      <c r="N241" s="71">
        <v>633.16168212890625</v>
      </c>
      <c r="O241" s="72"/>
      <c r="P241" s="73"/>
      <c r="Q241" s="73"/>
      <c r="R241" s="81"/>
      <c r="S241" s="45">
        <v>1</v>
      </c>
      <c r="T241" s="45">
        <v>0</v>
      </c>
      <c r="U241" s="46">
        <v>0</v>
      </c>
      <c r="V241" s="46">
        <v>1.4741000000000001E-2</v>
      </c>
      <c r="W241" s="47"/>
      <c r="X241" s="47"/>
      <c r="Y241" s="47"/>
      <c r="Z241" s="46"/>
      <c r="AA241" s="68">
        <v>241</v>
      </c>
      <c r="AB241"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41" s="69"/>
      <c r="AD241" t="s">
        <v>2884</v>
      </c>
      <c r="AE241" s="77" t="s">
        <v>3251</v>
      </c>
      <c r="AF241">
        <v>30643</v>
      </c>
      <c r="AG241">
        <v>1768</v>
      </c>
      <c r="AH241">
        <v>80911</v>
      </c>
      <c r="AI241">
        <v>699</v>
      </c>
      <c r="AJ241">
        <v>44188</v>
      </c>
      <c r="AK241">
        <v>1077</v>
      </c>
      <c r="AL241" t="b">
        <v>0</v>
      </c>
      <c r="AM241" s="76">
        <v>40903.744062500002</v>
      </c>
      <c r="AO241" t="s">
        <v>3810</v>
      </c>
      <c r="AS241" s="79" t="str">
        <f>HYPERLINK("https://t.co/w5AeCYTjsb")</f>
        <v>https://t.co/w5AeCYTjsb</v>
      </c>
      <c r="AT241" s="79" t="str">
        <f>HYPERLINK("http://Ecologia.Red")</f>
        <v>http://Ecologia.Red</v>
      </c>
      <c r="AU241" t="s">
        <v>4294</v>
      </c>
      <c r="AV241">
        <v>9.5445800203517901E+17</v>
      </c>
      <c r="AX241" t="b">
        <v>0</v>
      </c>
      <c r="AZ241" t="b">
        <v>0</v>
      </c>
      <c r="BA241" t="b">
        <v>1</v>
      </c>
      <c r="BB241" t="b">
        <v>1</v>
      </c>
      <c r="BC241" t="b">
        <v>1</v>
      </c>
      <c r="BD241" t="b">
        <v>0</v>
      </c>
      <c r="BE241" t="b">
        <v>1</v>
      </c>
      <c r="BF241" t="b">
        <v>0</v>
      </c>
      <c r="BG241" t="b">
        <v>0</v>
      </c>
      <c r="BH241" s="79" t="str">
        <f>HYPERLINK("https://pbs.twimg.com/profile_banners/447260411/1441147000")</f>
        <v>https://pbs.twimg.com/profile_banners/447260411/1441147000</v>
      </c>
      <c r="BJ241" t="s">
        <v>4320</v>
      </c>
      <c r="BK241" t="b">
        <v>0</v>
      </c>
      <c r="BM241" t="s">
        <v>65</v>
      </c>
      <c r="BN241" t="s">
        <v>4322</v>
      </c>
      <c r="BO241" s="79" t="str">
        <f>HYPERLINK("https://twitter.com/cristinanarbona")</f>
        <v>https://twitter.com/cristinanarbona</v>
      </c>
      <c r="BP241" s="112" t="str">
        <f>REPLACE(INDEX(GroupVertices[Group], MATCH("~"&amp;Vertices[[#This Row],[Vertex]],GroupVertices[Vertex],0)),1,1,"")</f>
        <v>2</v>
      </c>
      <c r="BQ241" s="2"/>
    </row>
    <row r="242" spans="1:69" x14ac:dyDescent="0.25">
      <c r="A242" s="61" t="s">
        <v>602</v>
      </c>
      <c r="B242" s="62"/>
      <c r="C242" s="62"/>
      <c r="D242" s="63">
        <v>1.5</v>
      </c>
      <c r="E242" s="65"/>
      <c r="F242" s="97" t="str">
        <f>HYPERLINK("https://pbs.twimg.com/profile_images/1899048430103633920/_euKigsC_normal.jpg")</f>
        <v>https://pbs.twimg.com/profile_images/1899048430103633920/_euKigsC_normal.jpg</v>
      </c>
      <c r="G242" s="62"/>
      <c r="H242" s="66"/>
      <c r="I242" s="67"/>
      <c r="J242" s="67"/>
      <c r="K242" s="66" t="s">
        <v>4525</v>
      </c>
      <c r="L242" s="70"/>
      <c r="M242" s="71">
        <v>9168.623046875</v>
      </c>
      <c r="N242" s="71">
        <v>5097.482421875</v>
      </c>
      <c r="O242" s="72"/>
      <c r="P242" s="73"/>
      <c r="Q242" s="73"/>
      <c r="R242" s="81"/>
      <c r="S242" s="45">
        <v>1</v>
      </c>
      <c r="T242" s="45">
        <v>0</v>
      </c>
      <c r="U242" s="46">
        <v>0</v>
      </c>
      <c r="V242" s="46">
        <v>1.4741000000000001E-2</v>
      </c>
      <c r="W242" s="47"/>
      <c r="X242" s="47"/>
      <c r="Y242" s="47"/>
      <c r="Z242" s="46"/>
      <c r="AA242" s="68">
        <v>242</v>
      </c>
      <c r="AB242"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42" s="69"/>
      <c r="AD242" t="s">
        <v>2885</v>
      </c>
      <c r="AE242" s="77" t="s">
        <v>3252</v>
      </c>
      <c r="AF242">
        <v>78205</v>
      </c>
      <c r="AG242">
        <v>1600</v>
      </c>
      <c r="AH242">
        <v>86538</v>
      </c>
      <c r="AI242">
        <v>602</v>
      </c>
      <c r="AJ242">
        <v>4553</v>
      </c>
      <c r="AK242">
        <v>24149</v>
      </c>
      <c r="AL242" t="b">
        <v>0</v>
      </c>
      <c r="AM242" s="76">
        <v>40980.399791666663</v>
      </c>
      <c r="AN242" t="s">
        <v>3431</v>
      </c>
      <c r="AO242" t="s">
        <v>3811</v>
      </c>
      <c r="AP242" s="79" t="str">
        <f>HYPERLINK("https://t.co/shZlKWuQdY")</f>
        <v>https://t.co/shZlKWuQdY</v>
      </c>
      <c r="AQ242" s="79" t="str">
        <f>HYPERLINK("https://linktr.ee/gpscongreso")</f>
        <v>https://linktr.ee/gpscongreso</v>
      </c>
      <c r="AR242" t="s">
        <v>4131</v>
      </c>
      <c r="AW242" s="79" t="str">
        <f>HYPERLINK("https://t.co/shZlKWuQdY")</f>
        <v>https://t.co/shZlKWuQdY</v>
      </c>
      <c r="AX242" t="b">
        <v>0</v>
      </c>
      <c r="AZ242" t="b">
        <v>0</v>
      </c>
      <c r="BA242" t="b">
        <v>0</v>
      </c>
      <c r="BB242" t="b">
        <v>1</v>
      </c>
      <c r="BC242" t="b">
        <v>0</v>
      </c>
      <c r="BD242" t="b">
        <v>0</v>
      </c>
      <c r="BE242" t="b">
        <v>1</v>
      </c>
      <c r="BF242" t="b">
        <v>0</v>
      </c>
      <c r="BG242" t="b">
        <v>0</v>
      </c>
      <c r="BH242" s="79" t="str">
        <f>HYPERLINK("https://pbs.twimg.com/profile_banners/522108784/1741603450")</f>
        <v>https://pbs.twimg.com/profile_banners/522108784/1741603450</v>
      </c>
      <c r="BJ242" t="s">
        <v>4320</v>
      </c>
      <c r="BK242" t="b">
        <v>0</v>
      </c>
      <c r="BM242" t="s">
        <v>65</v>
      </c>
      <c r="BN242" t="s">
        <v>4322</v>
      </c>
      <c r="BO242" s="79" t="str">
        <f>HYPERLINK("https://twitter.com/gpscongreso")</f>
        <v>https://twitter.com/gpscongreso</v>
      </c>
      <c r="BP242" s="112" t="str">
        <f>REPLACE(INDEX(GroupVertices[Group], MATCH("~"&amp;Vertices[[#This Row],[Vertex]],GroupVertices[Vertex],0)),1,1,"")</f>
        <v>2</v>
      </c>
      <c r="BQ242" s="2"/>
    </row>
    <row r="243" spans="1:69" x14ac:dyDescent="0.25">
      <c r="A243" s="61" t="s">
        <v>603</v>
      </c>
      <c r="B243" s="62"/>
      <c r="C243" s="62"/>
      <c r="D243" s="63">
        <v>1.5</v>
      </c>
      <c r="E243" s="65"/>
      <c r="F243" s="97" t="str">
        <f>HYPERLINK("https://pbs.twimg.com/profile_images/1899397984787337216/a54qjluU_normal.jpg")</f>
        <v>https://pbs.twimg.com/profile_images/1899397984787337216/a54qjluU_normal.jpg</v>
      </c>
      <c r="G243" s="62"/>
      <c r="H243" s="66"/>
      <c r="I243" s="67"/>
      <c r="J243" s="67"/>
      <c r="K243" s="66" t="s">
        <v>4526</v>
      </c>
      <c r="L243" s="70"/>
      <c r="M243" s="71">
        <v>9208.3818359375</v>
      </c>
      <c r="N243" s="71">
        <v>2925.511962890625</v>
      </c>
      <c r="O243" s="72"/>
      <c r="P243" s="73"/>
      <c r="Q243" s="73"/>
      <c r="R243" s="81"/>
      <c r="S243" s="45">
        <v>1</v>
      </c>
      <c r="T243" s="45">
        <v>0</v>
      </c>
      <c r="U243" s="46">
        <v>0</v>
      </c>
      <c r="V243" s="46">
        <v>1.4741000000000001E-2</v>
      </c>
      <c r="W243" s="47"/>
      <c r="X243" s="47"/>
      <c r="Y243" s="47"/>
      <c r="Z243" s="46"/>
      <c r="AA243" s="68">
        <v>243</v>
      </c>
      <c r="AB243"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43" s="69"/>
      <c r="AD243" t="s">
        <v>2886</v>
      </c>
      <c r="AE243" s="77" t="s">
        <v>3253</v>
      </c>
      <c r="AF243">
        <v>887883</v>
      </c>
      <c r="AG243">
        <v>12582</v>
      </c>
      <c r="AH243">
        <v>153785</v>
      </c>
      <c r="AI243">
        <v>5671</v>
      </c>
      <c r="AJ243">
        <v>6962</v>
      </c>
      <c r="AK243">
        <v>56407</v>
      </c>
      <c r="AL243" t="b">
        <v>0</v>
      </c>
      <c r="AM243" s="76">
        <v>39990.367152777777</v>
      </c>
      <c r="AN243" t="s">
        <v>1769</v>
      </c>
      <c r="AO243" t="s">
        <v>3812</v>
      </c>
      <c r="AP243" s="79" t="str">
        <f>HYPERLINK("https://t.co/Zpk6nqr3na")</f>
        <v>https://t.co/Zpk6nqr3na</v>
      </c>
      <c r="AQ243" s="79" t="str">
        <f>HYPERLINK("http://www.psoe.es")</f>
        <v>http://www.psoe.es</v>
      </c>
      <c r="AR243" t="s">
        <v>4132</v>
      </c>
      <c r="AV243">
        <v>1.9290795044269E+18</v>
      </c>
      <c r="AW243" s="79" t="str">
        <f>HYPERLINK("https://t.co/Zpk6nqr3na")</f>
        <v>https://t.co/Zpk6nqr3na</v>
      </c>
      <c r="AX243" t="b">
        <v>1</v>
      </c>
      <c r="AZ243" t="b">
        <v>0</v>
      </c>
      <c r="BA243" t="b">
        <v>0</v>
      </c>
      <c r="BB243" t="b">
        <v>1</v>
      </c>
      <c r="BC243" t="b">
        <v>0</v>
      </c>
      <c r="BD243" t="b">
        <v>0</v>
      </c>
      <c r="BE243" t="b">
        <v>1</v>
      </c>
      <c r="BF243" t="b">
        <v>0</v>
      </c>
      <c r="BG243" t="b">
        <v>0</v>
      </c>
      <c r="BH243" s="79" t="str">
        <f>HYPERLINK("https://pbs.twimg.com/profile_banners/50982086/1743777165")</f>
        <v>https://pbs.twimg.com/profile_banners/50982086/1743777165</v>
      </c>
      <c r="BJ243" t="s">
        <v>4320</v>
      </c>
      <c r="BK243" t="b">
        <v>0</v>
      </c>
      <c r="BM243" t="s">
        <v>65</v>
      </c>
      <c r="BN243" t="s">
        <v>4322</v>
      </c>
      <c r="BO243" s="79" t="str">
        <f>HYPERLINK("https://twitter.com/psoe")</f>
        <v>https://twitter.com/psoe</v>
      </c>
      <c r="BP243" s="112" t="str">
        <f>REPLACE(INDEX(GroupVertices[Group], MATCH("~"&amp;Vertices[[#This Row],[Vertex]],GroupVertices[Vertex],0)),1,1,"")</f>
        <v>2</v>
      </c>
      <c r="BQ243" s="2"/>
    </row>
    <row r="244" spans="1:69" x14ac:dyDescent="0.25">
      <c r="A244" s="61" t="s">
        <v>604</v>
      </c>
      <c r="B244" s="62"/>
      <c r="C244" s="62"/>
      <c r="D244" s="63">
        <v>1.5</v>
      </c>
      <c r="E244" s="65"/>
      <c r="F244" s="97" t="str">
        <f>HYPERLINK("https://pbs.twimg.com/profile_images/1768898721394135040/MDH-BItm_normal.jpg")</f>
        <v>https://pbs.twimg.com/profile_images/1768898721394135040/MDH-BItm_normal.jpg</v>
      </c>
      <c r="G244" s="62"/>
      <c r="H244" s="66"/>
      <c r="I244" s="67"/>
      <c r="J244" s="67"/>
      <c r="K244" s="66" t="s">
        <v>4527</v>
      </c>
      <c r="L244" s="70"/>
      <c r="M244" s="71">
        <v>5857.64111328125</v>
      </c>
      <c r="N244" s="71">
        <v>597.1553955078125</v>
      </c>
      <c r="O244" s="72"/>
      <c r="P244" s="73"/>
      <c r="Q244" s="73"/>
      <c r="R244" s="81"/>
      <c r="S244" s="45">
        <v>1</v>
      </c>
      <c r="T244" s="45">
        <v>0</v>
      </c>
      <c r="U244" s="46">
        <v>0</v>
      </c>
      <c r="V244" s="46">
        <v>1.4741000000000001E-2</v>
      </c>
      <c r="W244" s="47"/>
      <c r="X244" s="47"/>
      <c r="Y244" s="47"/>
      <c r="Z244" s="46"/>
      <c r="AA244" s="68">
        <v>244</v>
      </c>
      <c r="AB244"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44" s="69"/>
      <c r="AD244" t="s">
        <v>2887</v>
      </c>
      <c r="AE244" s="77" t="s">
        <v>3254</v>
      </c>
      <c r="AF244">
        <v>20460</v>
      </c>
      <c r="AG244">
        <v>742</v>
      </c>
      <c r="AH244">
        <v>31880</v>
      </c>
      <c r="AI244">
        <v>267</v>
      </c>
      <c r="AJ244">
        <v>58740</v>
      </c>
      <c r="AK244">
        <v>9033</v>
      </c>
      <c r="AL244" t="b">
        <v>0</v>
      </c>
      <c r="AM244" s="76">
        <v>40809.452627314815</v>
      </c>
      <c r="AN244" t="s">
        <v>3501</v>
      </c>
      <c r="AO244" t="s">
        <v>3813</v>
      </c>
      <c r="AP244" s="79" t="str">
        <f>HYPERLINK("https://t.co/cy0Y4oIQLD")</f>
        <v>https://t.co/cy0Y4oIQLD</v>
      </c>
      <c r="AQ244" s="79" t="str">
        <f>HYPERLINK("http://www.pedrocasares.es")</f>
        <v>http://www.pedrocasares.es</v>
      </c>
      <c r="AR244" t="s">
        <v>4133</v>
      </c>
      <c r="AV244">
        <v>1.9012860465511501E+18</v>
      </c>
      <c r="AW244" s="79" t="str">
        <f>HYPERLINK("https://t.co/cy0Y4oIQLD")</f>
        <v>https://t.co/cy0Y4oIQLD</v>
      </c>
      <c r="AX244" t="b">
        <v>1</v>
      </c>
      <c r="AZ244" t="b">
        <v>0</v>
      </c>
      <c r="BA244" t="b">
        <v>0</v>
      </c>
      <c r="BB244" t="b">
        <v>1</v>
      </c>
      <c r="BC244" t="b">
        <v>1</v>
      </c>
      <c r="BD244" t="b">
        <v>0</v>
      </c>
      <c r="BE244" t="b">
        <v>1</v>
      </c>
      <c r="BF244" t="b">
        <v>0</v>
      </c>
      <c r="BG244" t="b">
        <v>0</v>
      </c>
      <c r="BH244" s="79" t="str">
        <f>HYPERLINK("https://pbs.twimg.com/profile_banners/378525757/1419808785")</f>
        <v>https://pbs.twimg.com/profile_banners/378525757/1419808785</v>
      </c>
      <c r="BJ244" t="s">
        <v>4320</v>
      </c>
      <c r="BK244" t="b">
        <v>0</v>
      </c>
      <c r="BM244" t="s">
        <v>65</v>
      </c>
      <c r="BN244" t="s">
        <v>4322</v>
      </c>
      <c r="BO244" s="79" t="str">
        <f>HYPERLINK("https://twitter.com/pedro_casares")</f>
        <v>https://twitter.com/pedro_casares</v>
      </c>
      <c r="BP244" s="112" t="str">
        <f>REPLACE(INDEX(GroupVertices[Group], MATCH("~"&amp;Vertices[[#This Row],[Vertex]],GroupVertices[Vertex],0)),1,1,"")</f>
        <v>2</v>
      </c>
      <c r="BQ244" s="2"/>
    </row>
    <row r="245" spans="1:69" x14ac:dyDescent="0.25">
      <c r="A245" s="61" t="s">
        <v>605</v>
      </c>
      <c r="B245" s="62"/>
      <c r="C245" s="62"/>
      <c r="D245" s="63">
        <v>1.5</v>
      </c>
      <c r="E245" s="65"/>
      <c r="F245" s="97" t="str">
        <f>HYPERLINK("https://pbs.twimg.com/profile_images/1457781869500518400/kL-zWq19_normal.jpg")</f>
        <v>https://pbs.twimg.com/profile_images/1457781869500518400/kL-zWq19_normal.jpg</v>
      </c>
      <c r="G245" s="62"/>
      <c r="H245" s="66"/>
      <c r="I245" s="67"/>
      <c r="J245" s="67"/>
      <c r="K245" s="66" t="s">
        <v>4528</v>
      </c>
      <c r="L245" s="70"/>
      <c r="M245" s="71">
        <v>9771.1416015625</v>
      </c>
      <c r="N245" s="71">
        <v>4764.62451171875</v>
      </c>
      <c r="O245" s="72"/>
      <c r="P245" s="73"/>
      <c r="Q245" s="73"/>
      <c r="R245" s="81"/>
      <c r="S245" s="45">
        <v>1</v>
      </c>
      <c r="T245" s="45">
        <v>0</v>
      </c>
      <c r="U245" s="46">
        <v>0</v>
      </c>
      <c r="V245" s="46">
        <v>1.4741000000000001E-2</v>
      </c>
      <c r="W245" s="47"/>
      <c r="X245" s="47"/>
      <c r="Y245" s="47"/>
      <c r="Z245" s="46"/>
      <c r="AA245" s="68">
        <v>245</v>
      </c>
      <c r="AB245"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45" s="69"/>
      <c r="AD245" t="s">
        <v>2888</v>
      </c>
      <c r="AE245" s="77" t="s">
        <v>2427</v>
      </c>
      <c r="AF245">
        <v>409814</v>
      </c>
      <c r="AG245">
        <v>3077</v>
      </c>
      <c r="AH245">
        <v>139660</v>
      </c>
      <c r="AI245">
        <v>3358</v>
      </c>
      <c r="AJ245">
        <v>43856</v>
      </c>
      <c r="AK245">
        <v>14168</v>
      </c>
      <c r="AL245" t="b">
        <v>0</v>
      </c>
      <c r="AM245" s="76">
        <v>39909.800729166665</v>
      </c>
      <c r="AN245" t="s">
        <v>3502</v>
      </c>
      <c r="AO245" t="s">
        <v>3814</v>
      </c>
      <c r="AP245" s="79" t="str">
        <f>HYPERLINK("https://t.co/Zcdcn4cySf")</f>
        <v>https://t.co/Zcdcn4cySf</v>
      </c>
      <c r="AQ245" s="79" t="str">
        <f>HYPERLINK("https://amzn.eu/d/60drgTR")</f>
        <v>https://amzn.eu/d/60drgTR</v>
      </c>
      <c r="AR245" t="s">
        <v>4134</v>
      </c>
      <c r="AV245">
        <v>1.9149602091742799E+18</v>
      </c>
      <c r="AW245" s="79" t="str">
        <f>HYPERLINK("https://t.co/Zcdcn4cySf")</f>
        <v>https://t.co/Zcdcn4cySf</v>
      </c>
      <c r="AX245" t="b">
        <v>1</v>
      </c>
      <c r="AZ245" t="b">
        <v>0</v>
      </c>
      <c r="BA245" t="b">
        <v>0</v>
      </c>
      <c r="BB245" t="b">
        <v>0</v>
      </c>
      <c r="BC245" t="b">
        <v>1</v>
      </c>
      <c r="BD245" t="b">
        <v>0</v>
      </c>
      <c r="BE245" t="b">
        <v>1</v>
      </c>
      <c r="BF245" t="b">
        <v>0</v>
      </c>
      <c r="BG245" t="b">
        <v>0</v>
      </c>
      <c r="BH245" s="79" t="str">
        <f>HYPERLINK("https://pbs.twimg.com/profile_banners/29270179/1746650422")</f>
        <v>https://pbs.twimg.com/profile_banners/29270179/1746650422</v>
      </c>
      <c r="BJ245" t="s">
        <v>4320</v>
      </c>
      <c r="BK245" t="b">
        <v>0</v>
      </c>
      <c r="BM245" t="s">
        <v>65</v>
      </c>
      <c r="BN245" t="s">
        <v>4322</v>
      </c>
      <c r="BO245" s="79" t="str">
        <f>HYPERLINK("https://twitter.com/dlacalle")</f>
        <v>https://twitter.com/dlacalle</v>
      </c>
      <c r="BP245" s="112" t="str">
        <f>REPLACE(INDEX(GroupVertices[Group], MATCH("~"&amp;Vertices[[#This Row],[Vertex]],GroupVertices[Vertex],0)),1,1,"")</f>
        <v>2</v>
      </c>
      <c r="BQ245" s="2"/>
    </row>
    <row r="246" spans="1:69" x14ac:dyDescent="0.25">
      <c r="A246" s="61" t="s">
        <v>321</v>
      </c>
      <c r="B246" s="62"/>
      <c r="C246" s="62"/>
      <c r="D246" s="63">
        <v>1.5</v>
      </c>
      <c r="E246" s="65"/>
      <c r="F246" s="97" t="str">
        <f>HYPERLINK("https://pbs.twimg.com/profile_images/948197060158910464/QpymRBUB_normal.jpg")</f>
        <v>https://pbs.twimg.com/profile_images/948197060158910464/QpymRBUB_normal.jpg</v>
      </c>
      <c r="G246" s="62"/>
      <c r="H246" s="66"/>
      <c r="I246" s="67"/>
      <c r="J246" s="67"/>
      <c r="K246" s="66" t="s">
        <v>4530</v>
      </c>
      <c r="L246" s="70"/>
      <c r="M246" s="71">
        <v>5826.94189453125</v>
      </c>
      <c r="N246" s="71">
        <v>4828.640625</v>
      </c>
      <c r="O246" s="72"/>
      <c r="P246" s="73"/>
      <c r="Q246" s="73"/>
      <c r="R246" s="81"/>
      <c r="S246" s="45">
        <v>0</v>
      </c>
      <c r="T246" s="45">
        <v>1</v>
      </c>
      <c r="U246" s="46">
        <v>0</v>
      </c>
      <c r="V246" s="46">
        <v>3.774E-3</v>
      </c>
      <c r="W246" s="47"/>
      <c r="X246" s="47"/>
      <c r="Y246" s="47"/>
      <c r="Z246" s="46"/>
      <c r="AA246" s="68">
        <v>246</v>
      </c>
      <c r="AB246"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46" s="69"/>
      <c r="AD246" t="s">
        <v>2890</v>
      </c>
      <c r="AE246" s="77" t="s">
        <v>3256</v>
      </c>
      <c r="AF246">
        <v>27</v>
      </c>
      <c r="AG246">
        <v>172</v>
      </c>
      <c r="AH246">
        <v>1470</v>
      </c>
      <c r="AI246">
        <v>1</v>
      </c>
      <c r="AJ246">
        <v>1544</v>
      </c>
      <c r="AK246">
        <v>182</v>
      </c>
      <c r="AL246" t="b">
        <v>0</v>
      </c>
      <c r="AM246" s="76">
        <v>41310.123854166668</v>
      </c>
      <c r="AN246" t="s">
        <v>3415</v>
      </c>
      <c r="AX246" t="b">
        <v>0</v>
      </c>
      <c r="BA246" t="b">
        <v>1</v>
      </c>
      <c r="BB246" t="b">
        <v>0</v>
      </c>
      <c r="BC246" t="b">
        <v>1</v>
      </c>
      <c r="BD246" t="b">
        <v>0</v>
      </c>
      <c r="BE246" t="b">
        <v>0</v>
      </c>
      <c r="BF246" t="b">
        <v>0</v>
      </c>
      <c r="BG246" t="b">
        <v>0</v>
      </c>
      <c r="BH246" s="79" t="str">
        <f>HYPERLINK("https://pbs.twimg.com/profile_banners/1149744894/1576712424")</f>
        <v>https://pbs.twimg.com/profile_banners/1149744894/1576712424</v>
      </c>
      <c r="BJ246" t="s">
        <v>4320</v>
      </c>
      <c r="BK246" t="b">
        <v>0</v>
      </c>
      <c r="BM246" t="s">
        <v>66</v>
      </c>
      <c r="BN246" t="s">
        <v>4322</v>
      </c>
      <c r="BO246" s="79" t="str">
        <f>HYPERLINK("https://twitter.com/sanchezjant")</f>
        <v>https://twitter.com/sanchezjant</v>
      </c>
      <c r="BP246" s="112" t="str">
        <f>REPLACE(INDEX(GroupVertices[Group], MATCH("~"&amp;Vertices[[#This Row],[Vertex]],GroupVertices[Vertex],0)),1,1,"")</f>
        <v>18</v>
      </c>
      <c r="BQ246" s="2"/>
    </row>
    <row r="247" spans="1:69" x14ac:dyDescent="0.25">
      <c r="A247" s="61" t="s">
        <v>607</v>
      </c>
      <c r="B247" s="62"/>
      <c r="C247" s="62"/>
      <c r="D247" s="63">
        <v>1.5</v>
      </c>
      <c r="E247" s="65"/>
      <c r="F247" s="97" t="str">
        <f>HYPERLINK("https://pbs.twimg.com/profile_images/1920508700873125889/zMVNvtqD_normal.jpg")</f>
        <v>https://pbs.twimg.com/profile_images/1920508700873125889/zMVNvtqD_normal.jpg</v>
      </c>
      <c r="G247" s="62"/>
      <c r="H247" s="66"/>
      <c r="I247" s="67"/>
      <c r="J247" s="67"/>
      <c r="K247" s="66" t="s">
        <v>4532</v>
      </c>
      <c r="L247" s="70"/>
      <c r="M247" s="71">
        <v>2894.36962890625</v>
      </c>
      <c r="N247" s="71">
        <v>1901.4403076171875</v>
      </c>
      <c r="O247" s="72"/>
      <c r="P247" s="73"/>
      <c r="Q247" s="73"/>
      <c r="R247" s="81"/>
      <c r="S247" s="45">
        <v>1</v>
      </c>
      <c r="T247" s="45">
        <v>0</v>
      </c>
      <c r="U247" s="46">
        <v>0</v>
      </c>
      <c r="V247" s="46">
        <v>1.78E-2</v>
      </c>
      <c r="W247" s="47"/>
      <c r="X247" s="47"/>
      <c r="Y247" s="47"/>
      <c r="Z247" s="46"/>
      <c r="AA247" s="68">
        <v>247</v>
      </c>
      <c r="AB247"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47" s="69"/>
      <c r="AD247" t="s">
        <v>2892</v>
      </c>
      <c r="AE247" s="77" t="s">
        <v>2428</v>
      </c>
      <c r="AF247">
        <v>1625</v>
      </c>
      <c r="AG247">
        <v>251</v>
      </c>
      <c r="AH247">
        <v>289485</v>
      </c>
      <c r="AI247">
        <v>42</v>
      </c>
      <c r="AJ247">
        <v>98747</v>
      </c>
      <c r="AK247">
        <v>19417</v>
      </c>
      <c r="AL247" t="b">
        <v>0</v>
      </c>
      <c r="AM247" s="76">
        <v>39866.008692129632</v>
      </c>
      <c r="AN247" t="s">
        <v>3504</v>
      </c>
      <c r="AO247" t="s">
        <v>3817</v>
      </c>
      <c r="AV247">
        <v>1.03895560985561E+18</v>
      </c>
      <c r="AX247" t="b">
        <v>0</v>
      </c>
      <c r="AZ247" t="b">
        <v>0</v>
      </c>
      <c r="BA247" t="b">
        <v>0</v>
      </c>
      <c r="BB247" t="b">
        <v>0</v>
      </c>
      <c r="BC247" t="b">
        <v>0</v>
      </c>
      <c r="BD247" t="b">
        <v>0</v>
      </c>
      <c r="BE247" t="b">
        <v>1</v>
      </c>
      <c r="BF247" t="b">
        <v>0</v>
      </c>
      <c r="BG247" t="b">
        <v>0</v>
      </c>
      <c r="BH247" s="79" t="str">
        <f>HYPERLINK("https://pbs.twimg.com/profile_banners/21530204/1664552453")</f>
        <v>https://pbs.twimg.com/profile_banners/21530204/1664552453</v>
      </c>
      <c r="BJ247" t="s">
        <v>4320</v>
      </c>
      <c r="BK247" t="b">
        <v>0</v>
      </c>
      <c r="BM247" t="s">
        <v>65</v>
      </c>
      <c r="BN247" t="s">
        <v>4322</v>
      </c>
      <c r="BO247" s="79" t="str">
        <f>HYPERLINK("https://twitter.com/__starla_")</f>
        <v>https://twitter.com/__starla_</v>
      </c>
      <c r="BP247" s="112" t="str">
        <f>REPLACE(INDEX(GroupVertices[Group], MATCH("~"&amp;Vertices[[#This Row],[Vertex]],GroupVertices[Vertex],0)),1,1,"")</f>
        <v>1</v>
      </c>
      <c r="BQ247" s="2"/>
    </row>
    <row r="248" spans="1:69" x14ac:dyDescent="0.25">
      <c r="A248" s="61" t="s">
        <v>324</v>
      </c>
      <c r="B248" s="62"/>
      <c r="C248" s="62"/>
      <c r="D248" s="63">
        <v>1.5</v>
      </c>
      <c r="E248" s="65"/>
      <c r="F248" s="97" t="str">
        <f>HYPERLINK("https://pbs.twimg.com/profile_images/1914422201710694400/99QarxcO_normal.jpg")</f>
        <v>https://pbs.twimg.com/profile_images/1914422201710694400/99QarxcO_normal.jpg</v>
      </c>
      <c r="G248" s="62"/>
      <c r="H248" s="66"/>
      <c r="I248" s="67"/>
      <c r="J248" s="67"/>
      <c r="K248" s="66" t="s">
        <v>4534</v>
      </c>
      <c r="L248" s="70"/>
      <c r="M248" s="71">
        <v>827.35693359375</v>
      </c>
      <c r="N248" s="71">
        <v>5373.99169921875</v>
      </c>
      <c r="O248" s="72"/>
      <c r="P248" s="73"/>
      <c r="Q248" s="73"/>
      <c r="R248" s="81"/>
      <c r="S248" s="45">
        <v>1</v>
      </c>
      <c r="T248" s="45">
        <v>1</v>
      </c>
      <c r="U248" s="46">
        <v>0</v>
      </c>
      <c r="V248" s="46">
        <v>0</v>
      </c>
      <c r="W248" s="47"/>
      <c r="X248" s="47"/>
      <c r="Y248" s="47"/>
      <c r="Z248" s="46"/>
      <c r="AA248" s="68">
        <v>248</v>
      </c>
      <c r="AB248"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48" s="69"/>
      <c r="AD248" t="s">
        <v>2894</v>
      </c>
      <c r="AE248" s="77" t="s">
        <v>3258</v>
      </c>
      <c r="AF248">
        <v>1053</v>
      </c>
      <c r="AG248">
        <v>2424</v>
      </c>
      <c r="AH248">
        <v>62346</v>
      </c>
      <c r="AI248">
        <v>15</v>
      </c>
      <c r="AJ248">
        <v>23234</v>
      </c>
      <c r="AK248">
        <v>706</v>
      </c>
      <c r="AL248" t="b">
        <v>0</v>
      </c>
      <c r="AM248" s="76">
        <v>40868.928344907406</v>
      </c>
      <c r="AN248" t="s">
        <v>3505</v>
      </c>
      <c r="AO248" t="s">
        <v>3819</v>
      </c>
      <c r="AX248" t="b">
        <v>0</v>
      </c>
      <c r="BA248" t="b">
        <v>1</v>
      </c>
      <c r="BB248" t="b">
        <v>0</v>
      </c>
      <c r="BC248" t="b">
        <v>0</v>
      </c>
      <c r="BD248" t="b">
        <v>0</v>
      </c>
      <c r="BE248" t="b">
        <v>1</v>
      </c>
      <c r="BF248" t="b">
        <v>0</v>
      </c>
      <c r="BG248" t="b">
        <v>0</v>
      </c>
      <c r="BH248" s="79" t="str">
        <f>HYPERLINK("https://pbs.twimg.com/profile_banners/418217836/1448738924")</f>
        <v>https://pbs.twimg.com/profile_banners/418217836/1448738924</v>
      </c>
      <c r="BJ248" t="s">
        <v>4320</v>
      </c>
      <c r="BK248" t="b">
        <v>0</v>
      </c>
      <c r="BM248" t="s">
        <v>66</v>
      </c>
      <c r="BN248" t="s">
        <v>4322</v>
      </c>
      <c r="BO248" s="79" t="str">
        <f>HYPERLINK("https://twitter.com/cristygm90")</f>
        <v>https://twitter.com/cristygm90</v>
      </c>
      <c r="BP248" s="112" t="str">
        <f>REPLACE(INDEX(GroupVertices[Group], MATCH("~"&amp;Vertices[[#This Row],[Vertex]],GroupVertices[Vertex],0)),1,1,"")</f>
        <v>164</v>
      </c>
      <c r="BQ248" s="2"/>
    </row>
    <row r="249" spans="1:69" x14ac:dyDescent="0.25">
      <c r="A249" s="61" t="s">
        <v>325</v>
      </c>
      <c r="B249" s="62"/>
      <c r="C249" s="62"/>
      <c r="D249" s="63">
        <v>1.5</v>
      </c>
      <c r="E249" s="65"/>
      <c r="F249" s="97" t="str">
        <f>HYPERLINK("https://pbs.twimg.com/profile_images/1743742607597965312/gpTwXMPF_normal.jpg")</f>
        <v>https://pbs.twimg.com/profile_images/1743742607597965312/gpTwXMPF_normal.jpg</v>
      </c>
      <c r="G249" s="62"/>
      <c r="H249" s="66"/>
      <c r="I249" s="67"/>
      <c r="J249" s="67"/>
      <c r="K249" s="66" t="s">
        <v>4535</v>
      </c>
      <c r="L249" s="70"/>
      <c r="M249" s="71">
        <v>9841.0732421875</v>
      </c>
      <c r="N249" s="71">
        <v>4599.5390625</v>
      </c>
      <c r="O249" s="72"/>
      <c r="P249" s="73"/>
      <c r="Q249" s="73"/>
      <c r="R249" s="81"/>
      <c r="S249" s="45">
        <v>1</v>
      </c>
      <c r="T249" s="45">
        <v>1</v>
      </c>
      <c r="U249" s="46">
        <v>0</v>
      </c>
      <c r="V249" s="46">
        <v>0</v>
      </c>
      <c r="W249" s="47"/>
      <c r="X249" s="47"/>
      <c r="Y249" s="47"/>
      <c r="Z249" s="46"/>
      <c r="AA249" s="68">
        <v>249</v>
      </c>
      <c r="AB249"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49" s="69"/>
      <c r="AD249" t="s">
        <v>2895</v>
      </c>
      <c r="AE249" s="77" t="s">
        <v>3259</v>
      </c>
      <c r="AF249">
        <v>6626</v>
      </c>
      <c r="AG249">
        <v>151</v>
      </c>
      <c r="AH249">
        <v>172871</v>
      </c>
      <c r="AI249">
        <v>91</v>
      </c>
      <c r="AJ249">
        <v>56</v>
      </c>
      <c r="AK249">
        <v>7959</v>
      </c>
      <c r="AL249" t="b">
        <v>0</v>
      </c>
      <c r="AM249" s="76">
        <v>42374.639791666668</v>
      </c>
      <c r="AN249" t="s">
        <v>3506</v>
      </c>
      <c r="AO249" t="s">
        <v>3820</v>
      </c>
      <c r="AP249" s="79" t="str">
        <f>HYPERLINK("https://t.co/aJAodjHRJx")</f>
        <v>https://t.co/aJAodjHRJx</v>
      </c>
      <c r="AQ249" s="79" t="str">
        <f>HYPERLINK("http://www.nuevodiarioweb.com.ar/")</f>
        <v>http://www.nuevodiarioweb.com.ar/</v>
      </c>
      <c r="AR249" t="s">
        <v>4136</v>
      </c>
      <c r="AW249" s="79" t="str">
        <f>HYPERLINK("https://t.co/aJAodjHRJx")</f>
        <v>https://t.co/aJAodjHRJx</v>
      </c>
      <c r="AX249" t="b">
        <v>0</v>
      </c>
      <c r="BA249" t="b">
        <v>0</v>
      </c>
      <c r="BB249" t="b">
        <v>1</v>
      </c>
      <c r="BC249" t="b">
        <v>0</v>
      </c>
      <c r="BD249" t="b">
        <v>0</v>
      </c>
      <c r="BE249" t="b">
        <v>1</v>
      </c>
      <c r="BF249" t="b">
        <v>0</v>
      </c>
      <c r="BG249" t="b">
        <v>0</v>
      </c>
      <c r="BH249" s="79" t="str">
        <f>HYPERLINK("https://pbs.twimg.com/profile_banners/4715906122/1656531461")</f>
        <v>https://pbs.twimg.com/profile_banners/4715906122/1656531461</v>
      </c>
      <c r="BJ249" t="s">
        <v>4320</v>
      </c>
      <c r="BK249" t="b">
        <v>0</v>
      </c>
      <c r="BM249" t="s">
        <v>66</v>
      </c>
      <c r="BN249" t="s">
        <v>4322</v>
      </c>
      <c r="BO249" s="79" t="str">
        <f>HYPERLINK("https://twitter.com/nuevodiarioweb")</f>
        <v>https://twitter.com/nuevodiarioweb</v>
      </c>
      <c r="BP249" s="112" t="str">
        <f>REPLACE(INDEX(GroupVertices[Group], MATCH("~"&amp;Vertices[[#This Row],[Vertex]],GroupVertices[Vertex],0)),1,1,"")</f>
        <v>124</v>
      </c>
      <c r="BQ249" s="2"/>
    </row>
    <row r="250" spans="1:69" x14ac:dyDescent="0.25">
      <c r="A250" s="61" t="s">
        <v>326</v>
      </c>
      <c r="B250" s="62"/>
      <c r="C250" s="62"/>
      <c r="D250" s="63">
        <v>1.5</v>
      </c>
      <c r="E250" s="65"/>
      <c r="F250" s="97" t="str">
        <f>HYPERLINK("https://pbs.twimg.com/profile_images/1561914853874343939/_GHijKSx_normal.jpg")</f>
        <v>https://pbs.twimg.com/profile_images/1561914853874343939/_GHijKSx_normal.jpg</v>
      </c>
      <c r="G250" s="62"/>
      <c r="H250" s="66"/>
      <c r="I250" s="67"/>
      <c r="J250" s="67"/>
      <c r="K250" s="66" t="s">
        <v>4536</v>
      </c>
      <c r="L250" s="70"/>
      <c r="M250" s="71">
        <v>7202.0693359375</v>
      </c>
      <c r="N250" s="71">
        <v>7694.65283203125</v>
      </c>
      <c r="O250" s="72"/>
      <c r="P250" s="73"/>
      <c r="Q250" s="73"/>
      <c r="R250" s="81"/>
      <c r="S250" s="45">
        <v>1</v>
      </c>
      <c r="T250" s="45">
        <v>1</v>
      </c>
      <c r="U250" s="46">
        <v>0</v>
      </c>
      <c r="V250" s="46">
        <v>0</v>
      </c>
      <c r="W250" s="47"/>
      <c r="X250" s="47"/>
      <c r="Y250" s="47"/>
      <c r="Z250" s="46"/>
      <c r="AA250" s="68">
        <v>250</v>
      </c>
      <c r="AB250"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50" s="69"/>
      <c r="AD250" t="s">
        <v>2896</v>
      </c>
      <c r="AE250" s="77" t="s">
        <v>3260</v>
      </c>
      <c r="AF250">
        <v>972945</v>
      </c>
      <c r="AG250">
        <v>18958</v>
      </c>
      <c r="AH250">
        <v>372571</v>
      </c>
      <c r="AI250">
        <v>2135</v>
      </c>
      <c r="AJ250">
        <v>2045</v>
      </c>
      <c r="AK250">
        <v>182760</v>
      </c>
      <c r="AL250" t="b">
        <v>0</v>
      </c>
      <c r="AM250" s="76">
        <v>39174.647118055553</v>
      </c>
      <c r="AO250" t="s">
        <v>3821</v>
      </c>
      <c r="AP250" s="79" t="str">
        <f>HYPERLINK("https://t.co/bBJARk8a1o")</f>
        <v>https://t.co/bBJARk8a1o</v>
      </c>
      <c r="AQ250" s="79" t="str">
        <f>HYPERLINK("https://www.lacuarta.com/")</f>
        <v>https://www.lacuarta.com/</v>
      </c>
      <c r="AR250" t="s">
        <v>1163</v>
      </c>
      <c r="AW250" s="79" t="str">
        <f>HYPERLINK("https://t.co/bBJARk8a1o")</f>
        <v>https://t.co/bBJARk8a1o</v>
      </c>
      <c r="AX250" t="b">
        <v>0</v>
      </c>
      <c r="BA250" t="b">
        <v>0</v>
      </c>
      <c r="BB250" t="b">
        <v>1</v>
      </c>
      <c r="BC250" t="b">
        <v>0</v>
      </c>
      <c r="BD250" t="b">
        <v>0</v>
      </c>
      <c r="BE250" t="b">
        <v>1</v>
      </c>
      <c r="BF250" t="b">
        <v>0</v>
      </c>
      <c r="BG250" t="b">
        <v>0</v>
      </c>
      <c r="BH250" s="79" t="str">
        <f>HYPERLINK("https://pbs.twimg.com/profile_banners/3223771/1661224495")</f>
        <v>https://pbs.twimg.com/profile_banners/3223771/1661224495</v>
      </c>
      <c r="BJ250" t="s">
        <v>4320</v>
      </c>
      <c r="BK250" t="b">
        <v>0</v>
      </c>
      <c r="BM250" t="s">
        <v>66</v>
      </c>
      <c r="BN250" t="s">
        <v>4322</v>
      </c>
      <c r="BO250" s="79" t="str">
        <f>HYPERLINK("https://twitter.com/lacuarta")</f>
        <v>https://twitter.com/lacuarta</v>
      </c>
      <c r="BP250" s="112" t="str">
        <f>REPLACE(INDEX(GroupVertices[Group], MATCH("~"&amp;Vertices[[#This Row],[Vertex]],GroupVertices[Vertex],0)),1,1,"")</f>
        <v>198</v>
      </c>
      <c r="BQ250" s="2"/>
    </row>
    <row r="251" spans="1:69" x14ac:dyDescent="0.25">
      <c r="A251" s="61" t="s">
        <v>327</v>
      </c>
      <c r="B251" s="62"/>
      <c r="C251" s="62"/>
      <c r="D251" s="63">
        <v>1.5</v>
      </c>
      <c r="E251" s="65"/>
      <c r="F251" s="97" t="str">
        <f>HYPERLINK("https://pbs.twimg.com/profile_images/1635312135822622721/508P5yOT_normal.jpg")</f>
        <v>https://pbs.twimg.com/profile_images/1635312135822622721/508P5yOT_normal.jpg</v>
      </c>
      <c r="G251" s="62"/>
      <c r="H251" s="66"/>
      <c r="I251" s="67"/>
      <c r="J251" s="67"/>
      <c r="K251" s="66" t="s">
        <v>4537</v>
      </c>
      <c r="L251" s="70"/>
      <c r="M251" s="71">
        <v>3610.162109375</v>
      </c>
      <c r="N251" s="71">
        <v>9756.0791015625</v>
      </c>
      <c r="O251" s="72"/>
      <c r="P251" s="73"/>
      <c r="Q251" s="73"/>
      <c r="R251" s="81"/>
      <c r="S251" s="45">
        <v>1</v>
      </c>
      <c r="T251" s="45">
        <v>1</v>
      </c>
      <c r="U251" s="46">
        <v>0</v>
      </c>
      <c r="V251" s="46">
        <v>0</v>
      </c>
      <c r="W251" s="47"/>
      <c r="X251" s="47"/>
      <c r="Y251" s="47"/>
      <c r="Z251" s="46"/>
      <c r="AA251" s="68">
        <v>251</v>
      </c>
      <c r="AB251"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51" s="69"/>
      <c r="AD251" t="s">
        <v>2897</v>
      </c>
      <c r="AE251" s="77" t="s">
        <v>2577</v>
      </c>
      <c r="AF251">
        <v>3072</v>
      </c>
      <c r="AG251">
        <v>54</v>
      </c>
      <c r="AH251">
        <v>11985</v>
      </c>
      <c r="AI251">
        <v>8</v>
      </c>
      <c r="AJ251">
        <v>6863</v>
      </c>
      <c r="AK251">
        <v>9881</v>
      </c>
      <c r="AL251" t="b">
        <v>0</v>
      </c>
      <c r="AM251" s="76">
        <v>42720.422893518517</v>
      </c>
      <c r="AN251" t="s">
        <v>3507</v>
      </c>
      <c r="AO251" t="s">
        <v>3822</v>
      </c>
      <c r="AP251" s="79" t="str">
        <f>HYPERLINK("https://t.co/JUZypFar56")</f>
        <v>https://t.co/JUZypFar56</v>
      </c>
      <c r="AQ251" s="79" t="str">
        <f>HYPERLINK("https://linktr.ee/CodereColombia")</f>
        <v>https://linktr.ee/CodereColombia</v>
      </c>
      <c r="AR251" t="s">
        <v>4137</v>
      </c>
      <c r="AV251">
        <v>1.6914230814226099E+18</v>
      </c>
      <c r="AW251" s="79" t="str">
        <f>HYPERLINK("https://t.co/JUZypFar56")</f>
        <v>https://t.co/JUZypFar56</v>
      </c>
      <c r="AX251" t="b">
        <v>0</v>
      </c>
      <c r="BA251" t="b">
        <v>1</v>
      </c>
      <c r="BB251" t="b">
        <v>1</v>
      </c>
      <c r="BC251" t="b">
        <v>0</v>
      </c>
      <c r="BD251" t="b">
        <v>0</v>
      </c>
      <c r="BE251" t="b">
        <v>0</v>
      </c>
      <c r="BF251" t="b">
        <v>0</v>
      </c>
      <c r="BG251" t="b">
        <v>0</v>
      </c>
      <c r="BJ251" t="s">
        <v>4320</v>
      </c>
      <c r="BK251" t="b">
        <v>0</v>
      </c>
      <c r="BM251" t="s">
        <v>66</v>
      </c>
      <c r="BN251" t="s">
        <v>4322</v>
      </c>
      <c r="BO251" s="79" t="str">
        <f>HYPERLINK("https://twitter.com/codereco")</f>
        <v>https://twitter.com/codereco</v>
      </c>
      <c r="BP251" s="112" t="str">
        <f>REPLACE(INDEX(GroupVertices[Group], MATCH("~"&amp;Vertices[[#This Row],[Vertex]],GroupVertices[Vertex],0)),1,1,"")</f>
        <v>201</v>
      </c>
      <c r="BQ251" s="2"/>
    </row>
    <row r="252" spans="1:69" x14ac:dyDescent="0.25">
      <c r="A252" s="61" t="s">
        <v>329</v>
      </c>
      <c r="B252" s="62"/>
      <c r="C252" s="62"/>
      <c r="D252" s="63">
        <v>1.5</v>
      </c>
      <c r="E252" s="65"/>
      <c r="F252" s="97" t="str">
        <f>HYPERLINK("https://pbs.twimg.com/profile_images/1554583725148610566/1zpFnZ35_normal.jpg")</f>
        <v>https://pbs.twimg.com/profile_images/1554583725148610566/1zpFnZ35_normal.jpg</v>
      </c>
      <c r="G252" s="62"/>
      <c r="H252" s="66"/>
      <c r="I252" s="67"/>
      <c r="J252" s="67"/>
      <c r="K252" s="66" t="s">
        <v>4538</v>
      </c>
      <c r="L252" s="70"/>
      <c r="M252" s="71">
        <v>196.49153137207031</v>
      </c>
      <c r="N252" s="71">
        <v>5256.57861328125</v>
      </c>
      <c r="O252" s="72"/>
      <c r="P252" s="73"/>
      <c r="Q252" s="73"/>
      <c r="R252" s="81"/>
      <c r="S252" s="45">
        <v>0</v>
      </c>
      <c r="T252" s="45">
        <v>1</v>
      </c>
      <c r="U252" s="46">
        <v>0</v>
      </c>
      <c r="V252" s="46">
        <v>2.0960000000000002E-3</v>
      </c>
      <c r="W252" s="47"/>
      <c r="X252" s="47"/>
      <c r="Y252" s="47"/>
      <c r="Z252" s="46"/>
      <c r="AA252" s="68">
        <v>252</v>
      </c>
      <c r="AB252"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52" s="69"/>
      <c r="AD252" t="s">
        <v>2898</v>
      </c>
      <c r="AE252" s="77" t="s">
        <v>2578</v>
      </c>
      <c r="AF252">
        <v>725</v>
      </c>
      <c r="AG252">
        <v>213</v>
      </c>
      <c r="AH252">
        <v>1352</v>
      </c>
      <c r="AI252">
        <v>5</v>
      </c>
      <c r="AJ252">
        <v>531</v>
      </c>
      <c r="AK252">
        <v>1068</v>
      </c>
      <c r="AL252" t="b">
        <v>0</v>
      </c>
      <c r="AM252" s="76">
        <v>44775.899039351854</v>
      </c>
      <c r="AN252" t="s">
        <v>3508</v>
      </c>
      <c r="AO252" t="s">
        <v>3823</v>
      </c>
      <c r="AP252" s="79" t="str">
        <f>HYPERLINK("https://t.co/ppO4zGA2gG")</f>
        <v>https://t.co/ppO4zGA2gG</v>
      </c>
      <c r="AQ252" s="79" t="str">
        <f>HYPERLINK("http://www.slepiquique.cl")</f>
        <v>http://www.slepiquique.cl</v>
      </c>
      <c r="AR252" t="s">
        <v>4138</v>
      </c>
      <c r="AW252" s="79" t="str">
        <f>HYPERLINK("https://t.co/ppO4zGA2gG")</f>
        <v>https://t.co/ppO4zGA2gG</v>
      </c>
      <c r="AX252" t="b">
        <v>0</v>
      </c>
      <c r="BA252" t="b">
        <v>0</v>
      </c>
      <c r="BB252" t="b">
        <v>1</v>
      </c>
      <c r="BC252" t="b">
        <v>1</v>
      </c>
      <c r="BD252" t="b">
        <v>0</v>
      </c>
      <c r="BE252" t="b">
        <v>0</v>
      </c>
      <c r="BF252" t="b">
        <v>0</v>
      </c>
      <c r="BG252" t="b">
        <v>0</v>
      </c>
      <c r="BH252" s="79" t="str">
        <f>HYPERLINK("https://pbs.twimg.com/profile_banners/1554581411952316417/1725469890")</f>
        <v>https://pbs.twimg.com/profile_banners/1554581411952316417/1725469890</v>
      </c>
      <c r="BJ252" t="s">
        <v>4320</v>
      </c>
      <c r="BK252" t="b">
        <v>0</v>
      </c>
      <c r="BM252" t="s">
        <v>66</v>
      </c>
      <c r="BN252" t="s">
        <v>4322</v>
      </c>
      <c r="BO252" s="79" t="str">
        <f>HYPERLINK("https://twitter.com/edu__iquique")</f>
        <v>https://twitter.com/edu__iquique</v>
      </c>
      <c r="BP252" s="112" t="str">
        <f>REPLACE(INDEX(GroupVertices[Group], MATCH("~"&amp;Vertices[[#This Row],[Vertex]],GroupVertices[Vertex],0)),1,1,"")</f>
        <v>106</v>
      </c>
      <c r="BQ252" s="2"/>
    </row>
    <row r="253" spans="1:69" x14ac:dyDescent="0.25">
      <c r="A253" s="61" t="s">
        <v>608</v>
      </c>
      <c r="B253" s="62"/>
      <c r="C253" s="62"/>
      <c r="D253" s="63">
        <v>1.5</v>
      </c>
      <c r="E253" s="65"/>
      <c r="F253" s="97" t="str">
        <f>HYPERLINK("https://pbs.twimg.com/profile_images/1762960673871446016/627UMtSG_normal.jpg")</f>
        <v>https://pbs.twimg.com/profile_images/1762960673871446016/627UMtSG_normal.jpg</v>
      </c>
      <c r="G253" s="62"/>
      <c r="H253" s="66"/>
      <c r="I253" s="67"/>
      <c r="J253" s="67"/>
      <c r="K253" s="66" t="s">
        <v>4539</v>
      </c>
      <c r="L253" s="70"/>
      <c r="M253" s="71">
        <v>1474.6348876953125</v>
      </c>
      <c r="N253" s="71">
        <v>7294.62451171875</v>
      </c>
      <c r="O253" s="72"/>
      <c r="P253" s="73"/>
      <c r="Q253" s="73"/>
      <c r="R253" s="81"/>
      <c r="S253" s="45">
        <v>1</v>
      </c>
      <c r="T253" s="45">
        <v>0</v>
      </c>
      <c r="U253" s="46">
        <v>0</v>
      </c>
      <c r="V253" s="46">
        <v>2.0960000000000002E-3</v>
      </c>
      <c r="W253" s="47"/>
      <c r="X253" s="47"/>
      <c r="Y253" s="47"/>
      <c r="Z253" s="46"/>
      <c r="AA253" s="68">
        <v>253</v>
      </c>
      <c r="AB253"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53" s="69"/>
      <c r="AD253" t="s">
        <v>2899</v>
      </c>
      <c r="AE253" s="77" t="s">
        <v>3261</v>
      </c>
      <c r="AF253">
        <v>4530</v>
      </c>
      <c r="AG253">
        <v>861</v>
      </c>
      <c r="AH253">
        <v>38360</v>
      </c>
      <c r="AI253">
        <v>25</v>
      </c>
      <c r="AJ253">
        <v>23586</v>
      </c>
      <c r="AK253">
        <v>4670</v>
      </c>
      <c r="AL253" t="b">
        <v>0</v>
      </c>
      <c r="AM253" s="76">
        <v>42024.654826388891</v>
      </c>
      <c r="AO253" t="s">
        <v>3824</v>
      </c>
      <c r="AX253" t="b">
        <v>0</v>
      </c>
      <c r="AZ253" t="b">
        <v>0</v>
      </c>
      <c r="BA253" t="b">
        <v>0</v>
      </c>
      <c r="BB253" t="b">
        <v>1</v>
      </c>
      <c r="BC253" t="b">
        <v>1</v>
      </c>
      <c r="BD253" t="b">
        <v>0</v>
      </c>
      <c r="BE253" t="b">
        <v>1</v>
      </c>
      <c r="BF253" t="b">
        <v>0</v>
      </c>
      <c r="BG253" t="b">
        <v>0</v>
      </c>
      <c r="BH253" s="79" t="str">
        <f>HYPERLINK("https://pbs.twimg.com/profile_banners/2987417895/1741729613")</f>
        <v>https://pbs.twimg.com/profile_banners/2987417895/1741729613</v>
      </c>
      <c r="BJ253" t="s">
        <v>4320</v>
      </c>
      <c r="BK253" t="b">
        <v>0</v>
      </c>
      <c r="BM253" t="s">
        <v>65</v>
      </c>
      <c r="BN253" t="s">
        <v>4322</v>
      </c>
      <c r="BO253" s="79" t="str">
        <f>HYPERLINK("https://twitter.com/seremieduc01")</f>
        <v>https://twitter.com/seremieduc01</v>
      </c>
      <c r="BP253" s="112" t="str">
        <f>REPLACE(INDEX(GroupVertices[Group], MATCH("~"&amp;Vertices[[#This Row],[Vertex]],GroupVertices[Vertex],0)),1,1,"")</f>
        <v>106</v>
      </c>
      <c r="BQ253" s="2"/>
    </row>
    <row r="254" spans="1:69" x14ac:dyDescent="0.25">
      <c r="A254" s="61" t="s">
        <v>330</v>
      </c>
      <c r="B254" s="62"/>
      <c r="C254" s="62"/>
      <c r="D254" s="63">
        <v>1.5</v>
      </c>
      <c r="E254" s="65"/>
      <c r="F254" s="97" t="str">
        <f>HYPERLINK("https://pbs.twimg.com/profile_images/1607759213832425472/awD1t1pW_normal.jpg")</f>
        <v>https://pbs.twimg.com/profile_images/1607759213832425472/awD1t1pW_normal.jpg</v>
      </c>
      <c r="G254" s="62"/>
      <c r="H254" s="66"/>
      <c r="I254" s="67"/>
      <c r="J254" s="67"/>
      <c r="K254" s="66" t="s">
        <v>4540</v>
      </c>
      <c r="L254" s="70"/>
      <c r="M254" s="71">
        <v>2348.396484375</v>
      </c>
      <c r="N254" s="71">
        <v>8510.220703125</v>
      </c>
      <c r="O254" s="72"/>
      <c r="P254" s="73"/>
      <c r="Q254" s="73"/>
      <c r="R254" s="81"/>
      <c r="S254" s="45">
        <v>0</v>
      </c>
      <c r="T254" s="45">
        <v>1</v>
      </c>
      <c r="U254" s="46">
        <v>0</v>
      </c>
      <c r="V254" s="46">
        <v>2.0960000000000002E-3</v>
      </c>
      <c r="W254" s="47"/>
      <c r="X254" s="47"/>
      <c r="Y254" s="47"/>
      <c r="Z254" s="46"/>
      <c r="AA254" s="68">
        <v>254</v>
      </c>
      <c r="AB254"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54" s="69"/>
      <c r="AD254" t="s">
        <v>2900</v>
      </c>
      <c r="AE254" s="77" t="s">
        <v>3262</v>
      </c>
      <c r="AF254">
        <v>2563</v>
      </c>
      <c r="AG254">
        <v>990</v>
      </c>
      <c r="AH254">
        <v>66997</v>
      </c>
      <c r="AI254">
        <v>15</v>
      </c>
      <c r="AJ254">
        <v>147749</v>
      </c>
      <c r="AK254">
        <v>5331</v>
      </c>
      <c r="AL254" t="b">
        <v>0</v>
      </c>
      <c r="AM254" s="76">
        <v>40722.792071759257</v>
      </c>
      <c r="AO254" t="s">
        <v>3825</v>
      </c>
      <c r="AV254">
        <v>1.5449719792535501E+18</v>
      </c>
      <c r="AX254" t="b">
        <v>0</v>
      </c>
      <c r="BA254" t="b">
        <v>0</v>
      </c>
      <c r="BB254" t="b">
        <v>0</v>
      </c>
      <c r="BC254" t="b">
        <v>0</v>
      </c>
      <c r="BD254" t="b">
        <v>0</v>
      </c>
      <c r="BE254" t="b">
        <v>1</v>
      </c>
      <c r="BF254" t="b">
        <v>0</v>
      </c>
      <c r="BG254" t="b">
        <v>0</v>
      </c>
      <c r="BH254" s="79" t="str">
        <f>HYPERLINK("https://pbs.twimg.com/profile_banners/325711452/1411650511")</f>
        <v>https://pbs.twimg.com/profile_banners/325711452/1411650511</v>
      </c>
      <c r="BJ254" t="s">
        <v>4320</v>
      </c>
      <c r="BK254" t="b">
        <v>0</v>
      </c>
      <c r="BM254" t="s">
        <v>66</v>
      </c>
      <c r="BN254" t="s">
        <v>4322</v>
      </c>
      <c r="BO254" s="79" t="str">
        <f>HYPERLINK("https://twitter.com/marina_agbb")</f>
        <v>https://twitter.com/marina_agbb</v>
      </c>
      <c r="BP254" s="112" t="str">
        <f>REPLACE(INDEX(GroupVertices[Group], MATCH("~"&amp;Vertices[[#This Row],[Vertex]],GroupVertices[Vertex],0)),1,1,"")</f>
        <v>109</v>
      </c>
      <c r="BQ254" s="2"/>
    </row>
    <row r="255" spans="1:69" x14ac:dyDescent="0.25">
      <c r="A255" s="61" t="s">
        <v>371</v>
      </c>
      <c r="B255" s="62"/>
      <c r="C255" s="62"/>
      <c r="D255" s="63">
        <v>1.5</v>
      </c>
      <c r="E255" s="65"/>
      <c r="F255" s="97" t="str">
        <f>HYPERLINK("https://pbs.twimg.com/profile_images/1489669411673944065/O-RzDlu5_normal.jpg")</f>
        <v>https://pbs.twimg.com/profile_images/1489669411673944065/O-RzDlu5_normal.jpg</v>
      </c>
      <c r="G255" s="62"/>
      <c r="H255" s="66"/>
      <c r="I255" s="67"/>
      <c r="J255" s="67"/>
      <c r="K255" s="66" t="s">
        <v>4541</v>
      </c>
      <c r="L255" s="70"/>
      <c r="M255" s="71">
        <v>2485.096435546875</v>
      </c>
      <c r="N255" s="71">
        <v>9116.4501953125</v>
      </c>
      <c r="O255" s="72"/>
      <c r="P255" s="73"/>
      <c r="Q255" s="73"/>
      <c r="R255" s="81"/>
      <c r="S255" s="45">
        <v>2</v>
      </c>
      <c r="T255" s="45">
        <v>1</v>
      </c>
      <c r="U255" s="46">
        <v>0</v>
      </c>
      <c r="V255" s="46">
        <v>2.0960000000000002E-3</v>
      </c>
      <c r="W255" s="47"/>
      <c r="X255" s="47"/>
      <c r="Y255" s="47"/>
      <c r="Z255" s="46"/>
      <c r="AA255" s="68">
        <v>255</v>
      </c>
      <c r="AB255"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55" s="69"/>
      <c r="AD255" t="s">
        <v>2901</v>
      </c>
      <c r="AE255" s="77" t="s">
        <v>2593</v>
      </c>
      <c r="AF255">
        <v>3710</v>
      </c>
      <c r="AG255">
        <v>1111</v>
      </c>
      <c r="AH255">
        <v>70427</v>
      </c>
      <c r="AI255">
        <v>17</v>
      </c>
      <c r="AJ255">
        <v>88861</v>
      </c>
      <c r="AK255">
        <v>20414</v>
      </c>
      <c r="AL255" t="b">
        <v>0</v>
      </c>
      <c r="AM255" s="76">
        <v>43264.663645833331</v>
      </c>
      <c r="AN255" t="s">
        <v>3509</v>
      </c>
      <c r="AO255" t="s">
        <v>3826</v>
      </c>
      <c r="AV255">
        <v>1.5226252486586601E+18</v>
      </c>
      <c r="AX255" t="b">
        <v>0</v>
      </c>
      <c r="BA255" t="b">
        <v>1</v>
      </c>
      <c r="BB255" t="b">
        <v>1</v>
      </c>
      <c r="BC255" t="b">
        <v>0</v>
      </c>
      <c r="BD255" t="b">
        <v>0</v>
      </c>
      <c r="BE255" t="b">
        <v>1</v>
      </c>
      <c r="BF255" t="b">
        <v>0</v>
      </c>
      <c r="BG255" t="b">
        <v>0</v>
      </c>
      <c r="BH255" s="79" t="str">
        <f>HYPERLINK("https://pbs.twimg.com/profile_banners/1006928092600918017/1726263652")</f>
        <v>https://pbs.twimg.com/profile_banners/1006928092600918017/1726263652</v>
      </c>
      <c r="BJ255" t="s">
        <v>4320</v>
      </c>
      <c r="BK255" t="b">
        <v>0</v>
      </c>
      <c r="BM255" t="s">
        <v>66</v>
      </c>
      <c r="BN255" t="s">
        <v>4322</v>
      </c>
      <c r="BO255" s="79" t="str">
        <f>HYPERLINK("https://twitter.com/ilovepisto")</f>
        <v>https://twitter.com/ilovepisto</v>
      </c>
      <c r="BP255" s="112" t="str">
        <f>REPLACE(INDEX(GroupVertices[Group], MATCH("~"&amp;Vertices[[#This Row],[Vertex]],GroupVertices[Vertex],0)),1,1,"")</f>
        <v>109</v>
      </c>
      <c r="BQ255" s="2"/>
    </row>
    <row r="256" spans="1:69" x14ac:dyDescent="0.25">
      <c r="A256" s="61" t="s">
        <v>331</v>
      </c>
      <c r="B256" s="62"/>
      <c r="C256" s="62"/>
      <c r="D256" s="63">
        <v>1.5</v>
      </c>
      <c r="E256" s="65"/>
      <c r="F256" s="97" t="str">
        <f>HYPERLINK("https://pbs.twimg.com/profile_images/1314485428049915904/FhLs76e9_normal.jpg")</f>
        <v>https://pbs.twimg.com/profile_images/1314485428049915904/FhLs76e9_normal.jpg</v>
      </c>
      <c r="G256" s="62"/>
      <c r="H256" s="66"/>
      <c r="I256" s="67"/>
      <c r="J256" s="67"/>
      <c r="K256" s="66" t="s">
        <v>4542</v>
      </c>
      <c r="L256" s="70"/>
      <c r="M256" s="71">
        <v>705.53704833984375</v>
      </c>
      <c r="N256" s="71">
        <v>2255.476806640625</v>
      </c>
      <c r="O256" s="72"/>
      <c r="P256" s="73"/>
      <c r="Q256" s="73"/>
      <c r="R256" s="81"/>
      <c r="S256" s="45">
        <v>1</v>
      </c>
      <c r="T256" s="45">
        <v>1</v>
      </c>
      <c r="U256" s="46">
        <v>0</v>
      </c>
      <c r="V256" s="46">
        <v>0</v>
      </c>
      <c r="W256" s="47"/>
      <c r="X256" s="47"/>
      <c r="Y256" s="47"/>
      <c r="Z256" s="46"/>
      <c r="AA256" s="68">
        <v>256</v>
      </c>
      <c r="AB256"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56" s="69"/>
      <c r="AD256" t="s">
        <v>2902</v>
      </c>
      <c r="AE256" s="77" t="s">
        <v>3263</v>
      </c>
      <c r="AF256">
        <v>778</v>
      </c>
      <c r="AG256">
        <v>225</v>
      </c>
      <c r="AH256">
        <v>1823</v>
      </c>
      <c r="AI256">
        <v>19</v>
      </c>
      <c r="AJ256">
        <v>370</v>
      </c>
      <c r="AK256">
        <v>857</v>
      </c>
      <c r="AL256" t="b">
        <v>0</v>
      </c>
      <c r="AM256" s="76">
        <v>41151.469456018516</v>
      </c>
      <c r="AN256" t="s">
        <v>3510</v>
      </c>
      <c r="AO256" t="s">
        <v>3827</v>
      </c>
      <c r="AP256" s="79" t="str">
        <f>HYPERLINK("https://t.co/jEMVtUomBZ")</f>
        <v>https://t.co/jEMVtUomBZ</v>
      </c>
      <c r="AQ256" s="79" t="str">
        <f>HYPERLINK("http://www.adano.es")</f>
        <v>http://www.adano.es</v>
      </c>
      <c r="AR256" t="s">
        <v>4139</v>
      </c>
      <c r="AV256">
        <v>1.4378861788381499E+18</v>
      </c>
      <c r="AW256" s="79" t="str">
        <f>HYPERLINK("https://t.co/jEMVtUomBZ")</f>
        <v>https://t.co/jEMVtUomBZ</v>
      </c>
      <c r="AX256" t="b">
        <v>0</v>
      </c>
      <c r="BA256" t="b">
        <v>0</v>
      </c>
      <c r="BB256" t="b">
        <v>1</v>
      </c>
      <c r="BC256" t="b">
        <v>1</v>
      </c>
      <c r="BD256" t="b">
        <v>0</v>
      </c>
      <c r="BE256" t="b">
        <v>0</v>
      </c>
      <c r="BF256" t="b">
        <v>0</v>
      </c>
      <c r="BG256" t="b">
        <v>0</v>
      </c>
      <c r="BH256" s="79" t="str">
        <f>HYPERLINK("https://pbs.twimg.com/profile_banners/791379487/1613562946")</f>
        <v>https://pbs.twimg.com/profile_banners/791379487/1613562946</v>
      </c>
      <c r="BJ256" t="s">
        <v>4320</v>
      </c>
      <c r="BK256" t="b">
        <v>0</v>
      </c>
      <c r="BM256" t="s">
        <v>66</v>
      </c>
      <c r="BN256" t="s">
        <v>4322</v>
      </c>
      <c r="BO256" s="79" t="str">
        <f>HYPERLINK("https://twitter.com/adano1989")</f>
        <v>https://twitter.com/adano1989</v>
      </c>
      <c r="BP256" s="112" t="str">
        <f>REPLACE(INDEX(GroupVertices[Group], MATCH("~"&amp;Vertices[[#This Row],[Vertex]],GroupVertices[Vertex],0)),1,1,"")</f>
        <v>138</v>
      </c>
      <c r="BQ256" s="2"/>
    </row>
    <row r="257" spans="1:69" x14ac:dyDescent="0.25">
      <c r="A257" s="61" t="s">
        <v>332</v>
      </c>
      <c r="B257" s="62"/>
      <c r="C257" s="62"/>
      <c r="D257" s="63">
        <v>1.5</v>
      </c>
      <c r="E257" s="65"/>
      <c r="F257" s="97" t="str">
        <f>HYPERLINK("https://pbs.twimg.com/profile_images/1112329315688026113/-E6xaf1f_normal.jpg")</f>
        <v>https://pbs.twimg.com/profile_images/1112329315688026113/-E6xaf1f_normal.jpg</v>
      </c>
      <c r="G257" s="62"/>
      <c r="H257" s="66"/>
      <c r="I257" s="67"/>
      <c r="J257" s="67"/>
      <c r="K257" s="66" t="s">
        <v>4543</v>
      </c>
      <c r="L257" s="70"/>
      <c r="M257" s="71">
        <v>4376.29638671875</v>
      </c>
      <c r="N257" s="71">
        <v>1100.5821533203125</v>
      </c>
      <c r="O257" s="72"/>
      <c r="P257" s="73"/>
      <c r="Q257" s="73"/>
      <c r="R257" s="81"/>
      <c r="S257" s="45">
        <v>0</v>
      </c>
      <c r="T257" s="45">
        <v>1</v>
      </c>
      <c r="U257" s="46">
        <v>0</v>
      </c>
      <c r="V257" s="46">
        <v>2.0960000000000002E-3</v>
      </c>
      <c r="W257" s="47"/>
      <c r="X257" s="47"/>
      <c r="Y257" s="47"/>
      <c r="Z257" s="46"/>
      <c r="AA257" s="68">
        <v>257</v>
      </c>
      <c r="AB257"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57" s="69"/>
      <c r="AD257" t="s">
        <v>2903</v>
      </c>
      <c r="AE257" s="77" t="s">
        <v>3264</v>
      </c>
      <c r="AF257">
        <v>474</v>
      </c>
      <c r="AG257">
        <v>1005</v>
      </c>
      <c r="AH257">
        <v>7135</v>
      </c>
      <c r="AI257">
        <v>9</v>
      </c>
      <c r="AJ257">
        <v>14903</v>
      </c>
      <c r="AK257">
        <v>332</v>
      </c>
      <c r="AL257" t="b">
        <v>0</v>
      </c>
      <c r="AM257" s="76">
        <v>40611.010636574072</v>
      </c>
      <c r="AN257" t="s">
        <v>3511</v>
      </c>
      <c r="AO257" t="s">
        <v>3828</v>
      </c>
      <c r="AX257" t="b">
        <v>0</v>
      </c>
      <c r="BA257" t="b">
        <v>0</v>
      </c>
      <c r="BB257" t="b">
        <v>1</v>
      </c>
      <c r="BC257" t="b">
        <v>0</v>
      </c>
      <c r="BD257" t="b">
        <v>0</v>
      </c>
      <c r="BE257" t="b">
        <v>0</v>
      </c>
      <c r="BF257" t="b">
        <v>0</v>
      </c>
      <c r="BG257" t="b">
        <v>0</v>
      </c>
      <c r="BH257" s="79" t="str">
        <f>HYPERLINK("https://pbs.twimg.com/profile_banners/262900496/1569797858")</f>
        <v>https://pbs.twimg.com/profile_banners/262900496/1569797858</v>
      </c>
      <c r="BJ257" t="s">
        <v>4320</v>
      </c>
      <c r="BK257" t="b">
        <v>0</v>
      </c>
      <c r="BM257" t="s">
        <v>66</v>
      </c>
      <c r="BN257" t="s">
        <v>4322</v>
      </c>
      <c r="BO257" s="79" t="str">
        <f>HYPERLINK("https://twitter.com/trabugata")</f>
        <v>https://twitter.com/trabugata</v>
      </c>
      <c r="BP257" s="112" t="str">
        <f>REPLACE(INDEX(GroupVertices[Group], MATCH("~"&amp;Vertices[[#This Row],[Vertex]],GroupVertices[Vertex],0)),1,1,"")</f>
        <v>71</v>
      </c>
      <c r="BQ257" s="2"/>
    </row>
    <row r="258" spans="1:69" x14ac:dyDescent="0.25">
      <c r="A258" s="61" t="s">
        <v>609</v>
      </c>
      <c r="B258" s="62"/>
      <c r="C258" s="62"/>
      <c r="D258" s="63">
        <v>1.5</v>
      </c>
      <c r="E258" s="65"/>
      <c r="F258" s="97" t="str">
        <f>HYPERLINK("https://pbs.twimg.com/profile_images/1790466669023731712/6bQwtBk5_normal.jpg")</f>
        <v>https://pbs.twimg.com/profile_images/1790466669023731712/6bQwtBk5_normal.jpg</v>
      </c>
      <c r="G258" s="62"/>
      <c r="H258" s="66"/>
      <c r="I258" s="67"/>
      <c r="J258" s="67"/>
      <c r="K258" s="66" t="s">
        <v>4544</v>
      </c>
      <c r="L258" s="70"/>
      <c r="M258" s="71">
        <v>6840.173828125</v>
      </c>
      <c r="N258" s="71">
        <v>1322.0079345703125</v>
      </c>
      <c r="O258" s="72"/>
      <c r="P258" s="73"/>
      <c r="Q258" s="73"/>
      <c r="R258" s="81"/>
      <c r="S258" s="45">
        <v>1</v>
      </c>
      <c r="T258" s="45">
        <v>0</v>
      </c>
      <c r="U258" s="46">
        <v>0</v>
      </c>
      <c r="V258" s="46">
        <v>2.0960000000000002E-3</v>
      </c>
      <c r="W258" s="47"/>
      <c r="X258" s="47"/>
      <c r="Y258" s="47"/>
      <c r="Z258" s="46"/>
      <c r="AA258" s="68">
        <v>258</v>
      </c>
      <c r="AB258"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58" s="69"/>
      <c r="AD258" t="s">
        <v>2904</v>
      </c>
      <c r="AE258" s="77" t="s">
        <v>2429</v>
      </c>
      <c r="AF258">
        <v>108054</v>
      </c>
      <c r="AG258">
        <v>42028</v>
      </c>
      <c r="AH258">
        <v>69329</v>
      </c>
      <c r="AI258">
        <v>125</v>
      </c>
      <c r="AJ258">
        <v>159481</v>
      </c>
      <c r="AK258">
        <v>20631</v>
      </c>
      <c r="AL258" t="b">
        <v>0</v>
      </c>
      <c r="AM258" s="76">
        <v>45198.725821759261</v>
      </c>
      <c r="AN258" t="s">
        <v>3512</v>
      </c>
      <c r="AO258" t="s">
        <v>3829</v>
      </c>
      <c r="AP258" s="79" t="str">
        <f>HYPERLINK("https://t.co/WEMVXSjWVQ")</f>
        <v>https://t.co/WEMVXSjWVQ</v>
      </c>
      <c r="AQ258" s="79" t="str">
        <f>HYPERLINK("https://linktr.ee/madrid_total2")</f>
        <v>https://linktr.ee/madrid_total2</v>
      </c>
      <c r="AR258" t="s">
        <v>4140</v>
      </c>
      <c r="AV258">
        <v>1.7947578003815601E+18</v>
      </c>
      <c r="AW258" s="79" t="str">
        <f>HYPERLINK("https://t.co/WEMVXSjWVQ")</f>
        <v>https://t.co/WEMVXSjWVQ</v>
      </c>
      <c r="AX258" t="b">
        <v>1</v>
      </c>
      <c r="AZ258" t="b">
        <v>0</v>
      </c>
      <c r="BA258" t="b">
        <v>1</v>
      </c>
      <c r="BB258" t="b">
        <v>1</v>
      </c>
      <c r="BC258" t="b">
        <v>1</v>
      </c>
      <c r="BD258" t="b">
        <v>0</v>
      </c>
      <c r="BE258" t="b">
        <v>0</v>
      </c>
      <c r="BF258" t="b">
        <v>0</v>
      </c>
      <c r="BG258" t="b">
        <v>0</v>
      </c>
      <c r="BH258" s="79" t="str">
        <f>HYPERLINK("https://pbs.twimg.com/profile_banners/1707808725736587265/1742586781")</f>
        <v>https://pbs.twimg.com/profile_banners/1707808725736587265/1742586781</v>
      </c>
      <c r="BJ258" t="s">
        <v>4320</v>
      </c>
      <c r="BK258" t="b">
        <v>0</v>
      </c>
      <c r="BM258" t="s">
        <v>65</v>
      </c>
      <c r="BN258" t="s">
        <v>4322</v>
      </c>
      <c r="BO258" s="79" t="str">
        <f>HYPERLINK("https://twitter.com/madrid_total2")</f>
        <v>https://twitter.com/madrid_total2</v>
      </c>
      <c r="BP258" s="112" t="str">
        <f>REPLACE(INDEX(GroupVertices[Group], MATCH("~"&amp;Vertices[[#This Row],[Vertex]],GroupVertices[Vertex],0)),1,1,"")</f>
        <v>71</v>
      </c>
      <c r="BQ258" s="2"/>
    </row>
    <row r="259" spans="1:69" x14ac:dyDescent="0.25">
      <c r="A259" s="61" t="s">
        <v>333</v>
      </c>
      <c r="B259" s="62"/>
      <c r="C259" s="62"/>
      <c r="D259" s="63">
        <v>1.5</v>
      </c>
      <c r="E259" s="65"/>
      <c r="F259" s="97" t="str">
        <f>HYPERLINK("https://pbs.twimg.com/profile_images/1499069191198023685/nobaOmVL_normal.jpg")</f>
        <v>https://pbs.twimg.com/profile_images/1499069191198023685/nobaOmVL_normal.jpg</v>
      </c>
      <c r="G259" s="62"/>
      <c r="H259" s="66"/>
      <c r="I259" s="67"/>
      <c r="J259" s="67"/>
      <c r="K259" s="66" t="s">
        <v>4545</v>
      </c>
      <c r="L259" s="70"/>
      <c r="M259" s="71">
        <v>1366.8160400390625</v>
      </c>
      <c r="N259" s="71">
        <v>8899.2275390625</v>
      </c>
      <c r="O259" s="72"/>
      <c r="P259" s="73"/>
      <c r="Q259" s="73"/>
      <c r="R259" s="81"/>
      <c r="S259" s="45">
        <v>1</v>
      </c>
      <c r="T259" s="45">
        <v>1</v>
      </c>
      <c r="U259" s="46">
        <v>0</v>
      </c>
      <c r="V259" s="46">
        <v>0</v>
      </c>
      <c r="W259" s="47"/>
      <c r="X259" s="47"/>
      <c r="Y259" s="47"/>
      <c r="Z259" s="46"/>
      <c r="AA259" s="68">
        <v>259</v>
      </c>
      <c r="AB259"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59" s="69"/>
      <c r="AD259" t="s">
        <v>2905</v>
      </c>
      <c r="AE259" s="77" t="s">
        <v>2579</v>
      </c>
      <c r="AF259">
        <v>1066</v>
      </c>
      <c r="AG259">
        <v>17</v>
      </c>
      <c r="AH259">
        <v>6147</v>
      </c>
      <c r="AI259">
        <v>2</v>
      </c>
      <c r="AJ259">
        <v>49</v>
      </c>
      <c r="AK259">
        <v>6110</v>
      </c>
      <c r="AL259" t="b">
        <v>0</v>
      </c>
      <c r="AM259" s="76">
        <v>42647.808379629627</v>
      </c>
      <c r="AO259" t="s">
        <v>3830</v>
      </c>
      <c r="AP259" s="79" t="str">
        <f>HYPERLINK("https://t.co/tVy1kRK6mP")</f>
        <v>https://t.co/tVy1kRK6mP</v>
      </c>
      <c r="AQ259" s="79" t="str">
        <f>HYPERLINK("https://www.labanca.com.uy/")</f>
        <v>https://www.labanca.com.uy/</v>
      </c>
      <c r="AR259" t="s">
        <v>4141</v>
      </c>
      <c r="AV259">
        <v>1.7980035455408E+18</v>
      </c>
      <c r="AW259" s="79" t="str">
        <f>HYPERLINK("https://t.co/tVy1kRK6mP")</f>
        <v>https://t.co/tVy1kRK6mP</v>
      </c>
      <c r="AX259" t="b">
        <v>0</v>
      </c>
      <c r="BA259" t="b">
        <v>0</v>
      </c>
      <c r="BB259" t="b">
        <v>1</v>
      </c>
      <c r="BC259" t="b">
        <v>1</v>
      </c>
      <c r="BD259" t="b">
        <v>0</v>
      </c>
      <c r="BE259" t="b">
        <v>0</v>
      </c>
      <c r="BF259" t="b">
        <v>0</v>
      </c>
      <c r="BG259" t="b">
        <v>0</v>
      </c>
      <c r="BH259" s="79" t="str">
        <f>HYPERLINK("https://pbs.twimg.com/profile_banners/783387228018008065/1646240923")</f>
        <v>https://pbs.twimg.com/profile_banners/783387228018008065/1646240923</v>
      </c>
      <c r="BJ259" t="s">
        <v>4320</v>
      </c>
      <c r="BK259" t="b">
        <v>0</v>
      </c>
      <c r="BM259" t="s">
        <v>66</v>
      </c>
      <c r="BN259" t="s">
        <v>4322</v>
      </c>
      <c r="BO259" s="79" t="str">
        <f>HYPERLINK("https://twitter.com/tombolauy")</f>
        <v>https://twitter.com/tombolauy</v>
      </c>
      <c r="BP259" s="112" t="str">
        <f>REPLACE(INDEX(GroupVertices[Group], MATCH("~"&amp;Vertices[[#This Row],[Vertex]],GroupVertices[Vertex],0)),1,1,"")</f>
        <v>167</v>
      </c>
      <c r="BQ259" s="2"/>
    </row>
    <row r="260" spans="1:69" x14ac:dyDescent="0.25">
      <c r="A260" s="61" t="s">
        <v>334</v>
      </c>
      <c r="B260" s="62"/>
      <c r="C260" s="62"/>
      <c r="D260" s="63">
        <v>1.5</v>
      </c>
      <c r="E260" s="65"/>
      <c r="F260" s="97" t="str">
        <f>HYPERLINK("https://pbs.twimg.com/profile_images/1776352166418296832/mKoVQM0G_normal.jpg")</f>
        <v>https://pbs.twimg.com/profile_images/1776352166418296832/mKoVQM0G_normal.jpg</v>
      </c>
      <c r="G260" s="62"/>
      <c r="H260" s="66"/>
      <c r="I260" s="67"/>
      <c r="J260" s="67"/>
      <c r="K260" s="66" t="s">
        <v>4546</v>
      </c>
      <c r="L260" s="70"/>
      <c r="M260" s="71">
        <v>7028.30224609375</v>
      </c>
      <c r="N260" s="71">
        <v>7466.72802734375</v>
      </c>
      <c r="O260" s="72"/>
      <c r="P260" s="73"/>
      <c r="Q260" s="73"/>
      <c r="R260" s="81"/>
      <c r="S260" s="45">
        <v>0</v>
      </c>
      <c r="T260" s="45">
        <v>1</v>
      </c>
      <c r="U260" s="46">
        <v>0</v>
      </c>
      <c r="V260" s="46">
        <v>2.7950000000000002E-3</v>
      </c>
      <c r="W260" s="47"/>
      <c r="X260" s="47"/>
      <c r="Y260" s="47"/>
      <c r="Z260" s="46"/>
      <c r="AA260" s="68">
        <v>260</v>
      </c>
      <c r="AB260"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60" s="69"/>
      <c r="AD260" t="s">
        <v>2906</v>
      </c>
      <c r="AE260" s="77" t="s">
        <v>3265</v>
      </c>
      <c r="AF260">
        <v>7</v>
      </c>
      <c r="AG260">
        <v>23</v>
      </c>
      <c r="AH260">
        <v>1681</v>
      </c>
      <c r="AI260">
        <v>2</v>
      </c>
      <c r="AJ260">
        <v>829</v>
      </c>
      <c r="AK260">
        <v>544</v>
      </c>
      <c r="AL260" t="b">
        <v>0</v>
      </c>
      <c r="AM260" s="76">
        <v>40888.800868055558</v>
      </c>
      <c r="AO260" t="s">
        <v>3831</v>
      </c>
      <c r="AX260" t="b">
        <v>0</v>
      </c>
      <c r="BA260" t="b">
        <v>0</v>
      </c>
      <c r="BB260" t="b">
        <v>1</v>
      </c>
      <c r="BC260" t="b">
        <v>1</v>
      </c>
      <c r="BD260" t="b">
        <v>0</v>
      </c>
      <c r="BE260" t="b">
        <v>1</v>
      </c>
      <c r="BF260" t="b">
        <v>0</v>
      </c>
      <c r="BG260" t="b">
        <v>0</v>
      </c>
      <c r="BJ260" t="s">
        <v>4320</v>
      </c>
      <c r="BK260" t="b">
        <v>0</v>
      </c>
      <c r="BM260" t="s">
        <v>66</v>
      </c>
      <c r="BN260" t="s">
        <v>4322</v>
      </c>
      <c r="BO260" s="79" t="str">
        <f>HYPERLINK("https://twitter.com/mdelacruz75")</f>
        <v>https://twitter.com/mdelacruz75</v>
      </c>
      <c r="BP260" s="112" t="str">
        <f>REPLACE(INDEX(GroupVertices[Group], MATCH("~"&amp;Vertices[[#This Row],[Vertex]],GroupVertices[Vertex],0)),1,1,"")</f>
        <v>31</v>
      </c>
      <c r="BQ260" s="2"/>
    </row>
    <row r="261" spans="1:69" x14ac:dyDescent="0.25">
      <c r="A261" s="61" t="s">
        <v>335</v>
      </c>
      <c r="B261" s="62"/>
      <c r="C261" s="62"/>
      <c r="D261" s="63">
        <v>1.5</v>
      </c>
      <c r="E261" s="65"/>
      <c r="F261" s="97" t="str">
        <f>HYPERLINK("https://pbs.twimg.com/profile_images/438911154551668736/n6Nlzqp3_normal.jpeg")</f>
        <v>https://pbs.twimg.com/profile_images/438911154551668736/n6Nlzqp3_normal.jpeg</v>
      </c>
      <c r="G261" s="62"/>
      <c r="H261" s="66"/>
      <c r="I261" s="67"/>
      <c r="J261" s="67"/>
      <c r="K261" s="66" t="s">
        <v>4548</v>
      </c>
      <c r="L261" s="70"/>
      <c r="M261" s="71">
        <v>5953.294921875</v>
      </c>
      <c r="N261" s="71">
        <v>8893.927734375</v>
      </c>
      <c r="O261" s="72"/>
      <c r="P261" s="73"/>
      <c r="Q261" s="73"/>
      <c r="R261" s="81"/>
      <c r="S261" s="45">
        <v>0</v>
      </c>
      <c r="T261" s="45">
        <v>1</v>
      </c>
      <c r="U261" s="46">
        <v>0</v>
      </c>
      <c r="V261" s="46">
        <v>1.1181E-2</v>
      </c>
      <c r="W261" s="47"/>
      <c r="X261" s="47"/>
      <c r="Y261" s="47"/>
      <c r="Z261" s="46"/>
      <c r="AA261" s="68">
        <v>261</v>
      </c>
      <c r="AB261"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61" s="69"/>
      <c r="AD261" t="s">
        <v>2908</v>
      </c>
      <c r="AE261" s="77" t="s">
        <v>3266</v>
      </c>
      <c r="AF261">
        <v>8903</v>
      </c>
      <c r="AG261">
        <v>5665</v>
      </c>
      <c r="AH261">
        <v>523103</v>
      </c>
      <c r="AI261">
        <v>133</v>
      </c>
      <c r="AJ261">
        <v>37822</v>
      </c>
      <c r="AK261">
        <v>100725</v>
      </c>
      <c r="AL261" t="b">
        <v>0</v>
      </c>
      <c r="AM261" s="76">
        <v>40458.722650462965</v>
      </c>
      <c r="AN261" t="s">
        <v>3513</v>
      </c>
      <c r="AO261" t="s">
        <v>3833</v>
      </c>
      <c r="AP261" s="79" t="str">
        <f>HYPERLINK("https://t.co/x2czq110j0")</f>
        <v>https://t.co/x2czq110j0</v>
      </c>
      <c r="AQ261" s="79" t="str">
        <f>HYPERLINK("http://desdepuebla.com/")</f>
        <v>http://desdepuebla.com/</v>
      </c>
      <c r="AR261" t="s">
        <v>1166</v>
      </c>
      <c r="AS261" s="79" t="str">
        <f>HYPERLINK("https://t.co/x9mJvwhUDv")</f>
        <v>https://t.co/x9mJvwhUDv</v>
      </c>
      <c r="AT261" s="79" t="str">
        <f>HYPERLINK("http://desdepuebla.com")</f>
        <v>http://desdepuebla.com</v>
      </c>
      <c r="AU261" t="s">
        <v>1166</v>
      </c>
      <c r="AV261">
        <v>1.4012609689869499E+18</v>
      </c>
      <c r="AW261" s="79" t="str">
        <f>HYPERLINK("https://t.co/x2czq110j0")</f>
        <v>https://t.co/x2czq110j0</v>
      </c>
      <c r="AX261" t="b">
        <v>0</v>
      </c>
      <c r="BA261" t="b">
        <v>0</v>
      </c>
      <c r="BB261" t="b">
        <v>1</v>
      </c>
      <c r="BC261" t="b">
        <v>0</v>
      </c>
      <c r="BD261" t="b">
        <v>0</v>
      </c>
      <c r="BE261" t="b">
        <v>1</v>
      </c>
      <c r="BF261" t="b">
        <v>0</v>
      </c>
      <c r="BG261" t="b">
        <v>0</v>
      </c>
      <c r="BH261" s="79" t="str">
        <f>HYPERLINK("https://pbs.twimg.com/profile_banners/199757056/1372976243")</f>
        <v>https://pbs.twimg.com/profile_banners/199757056/1372976243</v>
      </c>
      <c r="BJ261" t="s">
        <v>4320</v>
      </c>
      <c r="BK261" t="b">
        <v>0</v>
      </c>
      <c r="BM261" t="s">
        <v>66</v>
      </c>
      <c r="BN261" t="s">
        <v>4322</v>
      </c>
      <c r="BO261" s="79" t="str">
        <f>HYPERLINK("https://twitter.com/robertodesachy")</f>
        <v>https://twitter.com/robertodesachy</v>
      </c>
      <c r="BP261" s="112" t="str">
        <f>REPLACE(INDEX(GroupVertices[Group], MATCH("~"&amp;Vertices[[#This Row],[Vertex]],GroupVertices[Vertex],0)),1,1,"")</f>
        <v>4</v>
      </c>
      <c r="BQ261" s="2"/>
    </row>
    <row r="262" spans="1:69" x14ac:dyDescent="0.25">
      <c r="A262" s="61" t="s">
        <v>611</v>
      </c>
      <c r="B262" s="62"/>
      <c r="C262" s="62"/>
      <c r="D262" s="63">
        <v>1.5</v>
      </c>
      <c r="E262" s="65"/>
      <c r="F262" s="97" t="str">
        <f>HYPERLINK("https://pbs.twimg.com/profile_images/1740824784638758912/EhcURf2V_normal.jpg")</f>
        <v>https://pbs.twimg.com/profile_images/1740824784638758912/EhcURf2V_normal.jpg</v>
      </c>
      <c r="G262" s="62"/>
      <c r="H262" s="66"/>
      <c r="I262" s="67"/>
      <c r="J262" s="67"/>
      <c r="K262" s="66" t="s">
        <v>4550</v>
      </c>
      <c r="L262" s="70"/>
      <c r="M262" s="71">
        <v>2034.9478759765625</v>
      </c>
      <c r="N262" s="71">
        <v>8811.0263671875</v>
      </c>
      <c r="O262" s="72"/>
      <c r="P262" s="73"/>
      <c r="Q262" s="73"/>
      <c r="R262" s="81"/>
      <c r="S262" s="45">
        <v>1</v>
      </c>
      <c r="T262" s="45">
        <v>0</v>
      </c>
      <c r="U262" s="46">
        <v>0</v>
      </c>
      <c r="V262" s="46">
        <v>2.7950000000000002E-3</v>
      </c>
      <c r="W262" s="47"/>
      <c r="X262" s="47"/>
      <c r="Y262" s="47"/>
      <c r="Z262" s="46"/>
      <c r="AA262" s="68">
        <v>262</v>
      </c>
      <c r="AB262"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62" s="69"/>
      <c r="AD262" t="s">
        <v>2910</v>
      </c>
      <c r="AE262" s="77" t="s">
        <v>3268</v>
      </c>
      <c r="AF262">
        <v>5372</v>
      </c>
      <c r="AG262">
        <v>846</v>
      </c>
      <c r="AH262">
        <v>4108</v>
      </c>
      <c r="AI262">
        <v>31</v>
      </c>
      <c r="AJ262">
        <v>24085</v>
      </c>
      <c r="AK262">
        <v>341</v>
      </c>
      <c r="AL262" t="b">
        <v>0</v>
      </c>
      <c r="AM262" s="76">
        <v>41992.030914351853</v>
      </c>
      <c r="AN262" t="s">
        <v>3514</v>
      </c>
      <c r="AO262" t="s">
        <v>3835</v>
      </c>
      <c r="AP262" s="79" t="str">
        <f>HYPERLINK("https://t.co/Sd7TSxj7vm")</f>
        <v>https://t.co/Sd7TSxj7vm</v>
      </c>
      <c r="AQ262" s="79" t="str">
        <f>HYPERLINK("https://linktr.ee/jlmartinsaez")</f>
        <v>https://linktr.ee/jlmartinsaez</v>
      </c>
      <c r="AR262" t="s">
        <v>4142</v>
      </c>
      <c r="AW262" s="79" t="str">
        <f>HYPERLINK("https://t.co/Sd7TSxj7vm")</f>
        <v>https://t.co/Sd7TSxj7vm</v>
      </c>
      <c r="AX262" t="b">
        <v>0</v>
      </c>
      <c r="AZ262" t="b">
        <v>0</v>
      </c>
      <c r="BA262" t="b">
        <v>1</v>
      </c>
      <c r="BB262" t="b">
        <v>1</v>
      </c>
      <c r="BC262" t="b">
        <v>0</v>
      </c>
      <c r="BD262" t="b">
        <v>0</v>
      </c>
      <c r="BE262" t="b">
        <v>0</v>
      </c>
      <c r="BF262" t="b">
        <v>0</v>
      </c>
      <c r="BG262" t="b">
        <v>0</v>
      </c>
      <c r="BH262" s="79" t="str">
        <f>HYPERLINK("https://pbs.twimg.com/profile_banners/2931229342/1714401575")</f>
        <v>https://pbs.twimg.com/profile_banners/2931229342/1714401575</v>
      </c>
      <c r="BJ262" t="s">
        <v>4320</v>
      </c>
      <c r="BK262" t="b">
        <v>0</v>
      </c>
      <c r="BM262" t="s">
        <v>65</v>
      </c>
      <c r="BN262" t="s">
        <v>4322</v>
      </c>
      <c r="BO262" s="79" t="str">
        <f>HYPERLINK("https://twitter.com/jlmartinsaez")</f>
        <v>https://twitter.com/jlmartinsaez</v>
      </c>
      <c r="BP262" s="112" t="str">
        <f>REPLACE(INDEX(GroupVertices[Group], MATCH("~"&amp;Vertices[[#This Row],[Vertex]],GroupVertices[Vertex],0)),1,1,"")</f>
        <v>39</v>
      </c>
      <c r="BQ262" s="2"/>
    </row>
    <row r="263" spans="1:69" x14ac:dyDescent="0.25">
      <c r="A263" s="61" t="s">
        <v>612</v>
      </c>
      <c r="B263" s="62"/>
      <c r="C263" s="62"/>
      <c r="D263" s="63">
        <v>1.5</v>
      </c>
      <c r="E263" s="65"/>
      <c r="F263" s="97" t="str">
        <f>HYPERLINK("https://pbs.twimg.com/profile_images/1782455882464350208/uLsZ6JPx_normal.jpg")</f>
        <v>https://pbs.twimg.com/profile_images/1782455882464350208/uLsZ6JPx_normal.jpg</v>
      </c>
      <c r="G263" s="62"/>
      <c r="H263" s="66"/>
      <c r="I263" s="67"/>
      <c r="J263" s="67"/>
      <c r="K263" s="66" t="s">
        <v>4551</v>
      </c>
      <c r="L263" s="70"/>
      <c r="M263" s="71">
        <v>5544.51904296875</v>
      </c>
      <c r="N263" s="71">
        <v>4183.3134765625</v>
      </c>
      <c r="O263" s="72"/>
      <c r="P263" s="73"/>
      <c r="Q263" s="73"/>
      <c r="R263" s="81"/>
      <c r="S263" s="45">
        <v>1</v>
      </c>
      <c r="T263" s="45">
        <v>0</v>
      </c>
      <c r="U263" s="46">
        <v>0</v>
      </c>
      <c r="V263" s="46">
        <v>2.7950000000000002E-3</v>
      </c>
      <c r="W263" s="47"/>
      <c r="X263" s="47"/>
      <c r="Y263" s="47"/>
      <c r="Z263" s="46"/>
      <c r="AA263" s="68">
        <v>263</v>
      </c>
      <c r="AB263"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63" s="69"/>
      <c r="AD263" t="s">
        <v>2911</v>
      </c>
      <c r="AE263" s="77" t="s">
        <v>2431</v>
      </c>
      <c r="AF263">
        <v>0</v>
      </c>
      <c r="AG263">
        <v>0</v>
      </c>
      <c r="AH263">
        <v>1056</v>
      </c>
      <c r="AI263">
        <v>3</v>
      </c>
      <c r="AJ263">
        <v>4</v>
      </c>
      <c r="AK263">
        <v>21</v>
      </c>
      <c r="AL263" t="b">
        <v>0</v>
      </c>
      <c r="AM263" s="76">
        <v>45404.707905092589</v>
      </c>
      <c r="AX263" t="b">
        <v>0</v>
      </c>
      <c r="AZ263" t="b">
        <v>0</v>
      </c>
      <c r="BA263" t="b">
        <v>0</v>
      </c>
      <c r="BB263" t="b">
        <v>0</v>
      </c>
      <c r="BC263" t="b">
        <v>1</v>
      </c>
      <c r="BD263" t="b">
        <v>0</v>
      </c>
      <c r="BE263" t="b">
        <v>0</v>
      </c>
      <c r="BF263" t="b">
        <v>0</v>
      </c>
      <c r="BG263" t="b">
        <v>0</v>
      </c>
      <c r="BJ263" t="s">
        <v>4320</v>
      </c>
      <c r="BK263" t="b">
        <v>0</v>
      </c>
      <c r="BM263" t="s">
        <v>65</v>
      </c>
      <c r="BN263" t="s">
        <v>4322</v>
      </c>
      <c r="BO263" s="79" t="str">
        <f>HYPERLINK("https://twitter.com/unrajador")</f>
        <v>https://twitter.com/unrajador</v>
      </c>
      <c r="BP263" s="112" t="str">
        <f>REPLACE(INDEX(GroupVertices[Group], MATCH("~"&amp;Vertices[[#This Row],[Vertex]],GroupVertices[Vertex],0)),1,1,"")</f>
        <v>39</v>
      </c>
      <c r="BQ263" s="2"/>
    </row>
    <row r="264" spans="1:69" x14ac:dyDescent="0.25">
      <c r="A264" s="61" t="s">
        <v>337</v>
      </c>
      <c r="B264" s="62"/>
      <c r="C264" s="62"/>
      <c r="D264" s="63">
        <v>1.5</v>
      </c>
      <c r="E264" s="65"/>
      <c r="F264" s="97" t="str">
        <f>HYPERLINK("https://pbs.twimg.com/profile_images/701750108707229696/lJBNMEVS_normal.jpg")</f>
        <v>https://pbs.twimg.com/profile_images/701750108707229696/lJBNMEVS_normal.jpg</v>
      </c>
      <c r="G264" s="62"/>
      <c r="H264" s="66"/>
      <c r="I264" s="67"/>
      <c r="J264" s="67"/>
      <c r="K264" s="66" t="s">
        <v>4552</v>
      </c>
      <c r="L264" s="70"/>
      <c r="M264" s="71">
        <v>3049.0478515625</v>
      </c>
      <c r="N264" s="71">
        <v>7767.87255859375</v>
      </c>
      <c r="O264" s="72"/>
      <c r="P264" s="73"/>
      <c r="Q264" s="73"/>
      <c r="R264" s="81"/>
      <c r="S264" s="45">
        <v>1</v>
      </c>
      <c r="T264" s="45">
        <v>1</v>
      </c>
      <c r="U264" s="46">
        <v>0</v>
      </c>
      <c r="V264" s="46">
        <v>0</v>
      </c>
      <c r="W264" s="47"/>
      <c r="X264" s="47"/>
      <c r="Y264" s="47"/>
      <c r="Z264" s="46"/>
      <c r="AA264" s="68">
        <v>264</v>
      </c>
      <c r="AB264"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64" s="69"/>
      <c r="AD264" t="s">
        <v>2912</v>
      </c>
      <c r="AE264" s="77" t="s">
        <v>2580</v>
      </c>
      <c r="AF264">
        <v>85</v>
      </c>
      <c r="AG264">
        <v>8</v>
      </c>
      <c r="AH264">
        <v>935</v>
      </c>
      <c r="AI264">
        <v>4</v>
      </c>
      <c r="AJ264">
        <v>0</v>
      </c>
      <c r="AK264">
        <v>804</v>
      </c>
      <c r="AL264" t="b">
        <v>0</v>
      </c>
      <c r="AM264" s="76">
        <v>42422.520428240743</v>
      </c>
      <c r="AN264" t="s">
        <v>3515</v>
      </c>
      <c r="AP264" s="79" t="str">
        <f>HYPERLINK("https://t.co/kZI948Ym3D")</f>
        <v>https://t.co/kZI948Ym3D</v>
      </c>
      <c r="AQ264" s="79" t="str">
        <f>HYPERLINK("http://www.pinosgenil.es")</f>
        <v>http://www.pinosgenil.es</v>
      </c>
      <c r="AR264" t="s">
        <v>4143</v>
      </c>
      <c r="AV264">
        <v>1.08291108953966E+18</v>
      </c>
      <c r="AW264" s="79" t="str">
        <f>HYPERLINK("https://t.co/kZI948Ym3D")</f>
        <v>https://t.co/kZI948Ym3D</v>
      </c>
      <c r="AX264" t="b">
        <v>0</v>
      </c>
      <c r="BA264" t="b">
        <v>0</v>
      </c>
      <c r="BB264" t="b">
        <v>0</v>
      </c>
      <c r="BC264" t="b">
        <v>0</v>
      </c>
      <c r="BD264" t="b">
        <v>0</v>
      </c>
      <c r="BE264" t="b">
        <v>1</v>
      </c>
      <c r="BF264" t="b">
        <v>0</v>
      </c>
      <c r="BG264" t="b">
        <v>0</v>
      </c>
      <c r="BH264" s="79" t="str">
        <f>HYPERLINK("https://pbs.twimg.com/profile_banners/701745606369353728/1456146184")</f>
        <v>https://pbs.twimg.com/profile_banners/701745606369353728/1456146184</v>
      </c>
      <c r="BJ264" t="s">
        <v>4320</v>
      </c>
      <c r="BK264" t="b">
        <v>0</v>
      </c>
      <c r="BM264" t="s">
        <v>66</v>
      </c>
      <c r="BN264" t="s">
        <v>4322</v>
      </c>
      <c r="BO264" s="79" t="str">
        <f>HYPERLINK("https://twitter.com/aytopinosgenil")</f>
        <v>https://twitter.com/aytopinosgenil</v>
      </c>
      <c r="BP264" s="112" t="str">
        <f>REPLACE(INDEX(GroupVertices[Group], MATCH("~"&amp;Vertices[[#This Row],[Vertex]],GroupVertices[Vertex],0)),1,1,"")</f>
        <v>133</v>
      </c>
      <c r="BQ264" s="2"/>
    </row>
    <row r="265" spans="1:69" x14ac:dyDescent="0.25">
      <c r="A265" s="61" t="s">
        <v>338</v>
      </c>
      <c r="B265" s="62"/>
      <c r="C265" s="62"/>
      <c r="D265" s="63">
        <v>1.5</v>
      </c>
      <c r="E265" s="65"/>
      <c r="F265" s="97" t="str">
        <f>HYPERLINK("https://pbs.twimg.com/profile_images/1505327679050027009/fAusx0_3_normal.jpg")</f>
        <v>https://pbs.twimg.com/profile_images/1505327679050027009/fAusx0_3_normal.jpg</v>
      </c>
      <c r="G265" s="62"/>
      <c r="H265" s="66"/>
      <c r="I265" s="67"/>
      <c r="J265" s="67"/>
      <c r="K265" s="66" t="s">
        <v>4553</v>
      </c>
      <c r="L265" s="70"/>
      <c r="M265" s="71">
        <v>9615.08203125</v>
      </c>
      <c r="N265" s="71">
        <v>5598.048828125</v>
      </c>
      <c r="O265" s="72"/>
      <c r="P265" s="73"/>
      <c r="Q265" s="73"/>
      <c r="R265" s="81"/>
      <c r="S265" s="45">
        <v>0</v>
      </c>
      <c r="T265" s="45">
        <v>1</v>
      </c>
      <c r="U265" s="46">
        <v>0</v>
      </c>
      <c r="V265" s="46">
        <v>2.0960000000000002E-3</v>
      </c>
      <c r="W265" s="47"/>
      <c r="X265" s="47"/>
      <c r="Y265" s="47"/>
      <c r="Z265" s="46"/>
      <c r="AA265" s="68">
        <v>265</v>
      </c>
      <c r="AB265"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65" s="69"/>
      <c r="AD265" t="s">
        <v>2913</v>
      </c>
      <c r="AE265" s="77" t="s">
        <v>3269</v>
      </c>
      <c r="AF265">
        <v>315</v>
      </c>
      <c r="AG265">
        <v>911</v>
      </c>
      <c r="AH265">
        <v>16880</v>
      </c>
      <c r="AI265">
        <v>3</v>
      </c>
      <c r="AJ265">
        <v>31159</v>
      </c>
      <c r="AK265">
        <v>85</v>
      </c>
      <c r="AL265" t="b">
        <v>0</v>
      </c>
      <c r="AM265" s="76">
        <v>41101.935567129629</v>
      </c>
      <c r="AN265" t="s">
        <v>3516</v>
      </c>
      <c r="AO265" t="s">
        <v>3836</v>
      </c>
      <c r="AX265" t="b">
        <v>0</v>
      </c>
      <c r="BA265" t="b">
        <v>1</v>
      </c>
      <c r="BB265" t="b">
        <v>1</v>
      </c>
      <c r="BC265" t="b">
        <v>1</v>
      </c>
      <c r="BD265" t="b">
        <v>0</v>
      </c>
      <c r="BE265" t="b">
        <v>1</v>
      </c>
      <c r="BF265" t="b">
        <v>0</v>
      </c>
      <c r="BG265" t="b">
        <v>0</v>
      </c>
      <c r="BH265" s="79" t="str">
        <f>HYPERLINK("https://pbs.twimg.com/profile_banners/633346092/1621693189")</f>
        <v>https://pbs.twimg.com/profile_banners/633346092/1621693189</v>
      </c>
      <c r="BJ265" t="s">
        <v>4320</v>
      </c>
      <c r="BK265" t="b">
        <v>0</v>
      </c>
      <c r="BM265" t="s">
        <v>66</v>
      </c>
      <c r="BN265" t="s">
        <v>4322</v>
      </c>
      <c r="BO265" s="79" t="str">
        <f>HYPERLINK("https://twitter.com/jlestu4")</f>
        <v>https://twitter.com/jlestu4</v>
      </c>
      <c r="BP265" s="112" t="str">
        <f>REPLACE(INDEX(GroupVertices[Group], MATCH("~"&amp;Vertices[[#This Row],[Vertex]],GroupVertices[Vertex],0)),1,1,"")</f>
        <v>56</v>
      </c>
      <c r="BQ265" s="2"/>
    </row>
    <row r="266" spans="1:69" x14ac:dyDescent="0.25">
      <c r="A266" s="61" t="s">
        <v>613</v>
      </c>
      <c r="B266" s="62"/>
      <c r="C266" s="62"/>
      <c r="D266" s="63">
        <v>1.5</v>
      </c>
      <c r="E266" s="65"/>
      <c r="F266" s="97" t="str">
        <f>HYPERLINK("https://pbs.twimg.com/profile_images/1911375571512074241/ShjVl6Cq_normal.jpg")</f>
        <v>https://pbs.twimg.com/profile_images/1911375571512074241/ShjVl6Cq_normal.jpg</v>
      </c>
      <c r="G266" s="62"/>
      <c r="H266" s="66"/>
      <c r="I266" s="67"/>
      <c r="J266" s="67"/>
      <c r="K266" s="66" t="s">
        <v>4554</v>
      </c>
      <c r="L266" s="70"/>
      <c r="M266" s="71">
        <v>8716.46875</v>
      </c>
      <c r="N266" s="71">
        <v>7628.9462890625</v>
      </c>
      <c r="O266" s="72"/>
      <c r="P266" s="73"/>
      <c r="Q266" s="73"/>
      <c r="R266" s="81"/>
      <c r="S266" s="45">
        <v>1</v>
      </c>
      <c r="T266" s="45">
        <v>0</v>
      </c>
      <c r="U266" s="46">
        <v>0</v>
      </c>
      <c r="V266" s="46">
        <v>2.0960000000000002E-3</v>
      </c>
      <c r="W266" s="47"/>
      <c r="X266" s="47"/>
      <c r="Y266" s="47"/>
      <c r="Z266" s="46"/>
      <c r="AA266" s="68">
        <v>266</v>
      </c>
      <c r="AB266"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66" s="69"/>
      <c r="AD266" t="s">
        <v>2914</v>
      </c>
      <c r="AE266" s="77" t="s">
        <v>2432</v>
      </c>
      <c r="AF266">
        <v>39547</v>
      </c>
      <c r="AG266">
        <v>521</v>
      </c>
      <c r="AH266">
        <v>128044</v>
      </c>
      <c r="AI266">
        <v>91</v>
      </c>
      <c r="AJ266">
        <v>285898</v>
      </c>
      <c r="AK266">
        <v>11289</v>
      </c>
      <c r="AL266" t="b">
        <v>0</v>
      </c>
      <c r="AM266" s="76">
        <v>40623.893865740742</v>
      </c>
      <c r="AN266" t="s">
        <v>3517</v>
      </c>
      <c r="AO266" t="s">
        <v>3837</v>
      </c>
      <c r="AP266" s="79" t="str">
        <f>HYPERLINK("https://t.co/8r8w5aXStX")</f>
        <v>https://t.co/8r8w5aXStX</v>
      </c>
      <c r="AQ266" s="79" t="str">
        <f>HYPERLINK("https://www.instagram.com/larananjamecanica?igsh=ZDg4dGE5bTlnMW5j&amp;utm_source=qr")</f>
        <v>https://www.instagram.com/larananjamecanica?igsh=ZDg4dGE5bTlnMW5j&amp;utm_source=qr</v>
      </c>
      <c r="AR266" t="s">
        <v>4144</v>
      </c>
      <c r="AS266" s="79" t="str">
        <f>HYPERLINK("https://t.co/1D7fP3qwWv")</f>
        <v>https://t.co/1D7fP3qwWv</v>
      </c>
      <c r="AT266" s="79" t="str">
        <f>HYPERLINK("http://laralorvano.bsky.social")</f>
        <v>http://laralorvano.bsky.social</v>
      </c>
      <c r="AU266" t="s">
        <v>4295</v>
      </c>
      <c r="AV266">
        <v>1.85747265916174E+18</v>
      </c>
      <c r="AW266" s="79" t="str">
        <f>HYPERLINK("https://t.co/8r8w5aXStX")</f>
        <v>https://t.co/8r8w5aXStX</v>
      </c>
      <c r="AX266" t="b">
        <v>0</v>
      </c>
      <c r="AZ266" t="b">
        <v>0</v>
      </c>
      <c r="BA266" t="b">
        <v>1</v>
      </c>
      <c r="BB266" t="b">
        <v>1</v>
      </c>
      <c r="BC266" t="b">
        <v>0</v>
      </c>
      <c r="BD266" t="b">
        <v>0</v>
      </c>
      <c r="BE266" t="b">
        <v>1</v>
      </c>
      <c r="BF266" t="b">
        <v>0</v>
      </c>
      <c r="BG266" t="b">
        <v>0</v>
      </c>
      <c r="BH266" s="79" t="str">
        <f>HYPERLINK("https://pbs.twimg.com/profile_banners/270022127/1572585635")</f>
        <v>https://pbs.twimg.com/profile_banners/270022127/1572585635</v>
      </c>
      <c r="BJ266" t="s">
        <v>4320</v>
      </c>
      <c r="BK266" t="b">
        <v>0</v>
      </c>
      <c r="BM266" t="s">
        <v>65</v>
      </c>
      <c r="BN266" t="s">
        <v>4322</v>
      </c>
      <c r="BO266" s="79" t="str">
        <f>HYPERLINK("https://twitter.com/laraverina")</f>
        <v>https://twitter.com/laraverina</v>
      </c>
      <c r="BP266" s="112" t="str">
        <f>REPLACE(INDEX(GroupVertices[Group], MATCH("~"&amp;Vertices[[#This Row],[Vertex]],GroupVertices[Vertex],0)),1,1,"")</f>
        <v>56</v>
      </c>
      <c r="BQ266" s="2"/>
    </row>
    <row r="267" spans="1:69" x14ac:dyDescent="0.25">
      <c r="A267" s="61" t="s">
        <v>339</v>
      </c>
      <c r="B267" s="62"/>
      <c r="C267" s="62"/>
      <c r="D267" s="63">
        <v>1.5</v>
      </c>
      <c r="E267" s="65"/>
      <c r="F267" s="97" t="str">
        <f>HYPERLINK("https://pbs.twimg.com/profile_images/1291768621744758785/sXni3GH6_normal.jpg")</f>
        <v>https://pbs.twimg.com/profile_images/1291768621744758785/sXni3GH6_normal.jpg</v>
      </c>
      <c r="G267" s="62"/>
      <c r="H267" s="66"/>
      <c r="I267" s="67"/>
      <c r="J267" s="67"/>
      <c r="K267" s="66" t="s">
        <v>4555</v>
      </c>
      <c r="L267" s="70"/>
      <c r="M267" s="71">
        <v>4566.52001953125</v>
      </c>
      <c r="N267" s="71">
        <v>1383.9581298828125</v>
      </c>
      <c r="O267" s="72"/>
      <c r="P267" s="73"/>
      <c r="Q267" s="73"/>
      <c r="R267" s="81"/>
      <c r="S267" s="45">
        <v>0</v>
      </c>
      <c r="T267" s="45">
        <v>1</v>
      </c>
      <c r="U267" s="46">
        <v>0</v>
      </c>
      <c r="V267" s="46">
        <v>2.0960000000000002E-3</v>
      </c>
      <c r="W267" s="47"/>
      <c r="X267" s="47"/>
      <c r="Y267" s="47"/>
      <c r="Z267" s="46"/>
      <c r="AA267" s="68">
        <v>267</v>
      </c>
      <c r="AB267"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67" s="69"/>
      <c r="AD267" t="s">
        <v>2915</v>
      </c>
      <c r="AE267" s="77" t="s">
        <v>3270</v>
      </c>
      <c r="AF267">
        <v>929</v>
      </c>
      <c r="AG267">
        <v>1328</v>
      </c>
      <c r="AH267">
        <v>29455</v>
      </c>
      <c r="AI267">
        <v>5</v>
      </c>
      <c r="AJ267">
        <v>8975</v>
      </c>
      <c r="AK267">
        <v>1899</v>
      </c>
      <c r="AL267" t="b">
        <v>0</v>
      </c>
      <c r="AM267" s="76">
        <v>42253.307268518518</v>
      </c>
      <c r="AO267" t="s">
        <v>3838</v>
      </c>
      <c r="AX267" t="b">
        <v>0</v>
      </c>
      <c r="BA267" t="b">
        <v>0</v>
      </c>
      <c r="BB267" t="b">
        <v>0</v>
      </c>
      <c r="BC267" t="b">
        <v>0</v>
      </c>
      <c r="BD267" t="b">
        <v>0</v>
      </c>
      <c r="BE267" t="b">
        <v>1</v>
      </c>
      <c r="BF267" t="b">
        <v>0</v>
      </c>
      <c r="BG267" t="b">
        <v>0</v>
      </c>
      <c r="BH267" s="79" t="str">
        <f>HYPERLINK("https://pbs.twimg.com/profile_banners/3563779095/1657967253")</f>
        <v>https://pbs.twimg.com/profile_banners/3563779095/1657967253</v>
      </c>
      <c r="BJ267" t="s">
        <v>4320</v>
      </c>
      <c r="BK267" t="b">
        <v>0</v>
      </c>
      <c r="BM267" t="s">
        <v>66</v>
      </c>
      <c r="BN267" t="s">
        <v>4322</v>
      </c>
      <c r="BO267" s="79" t="str">
        <f>HYPERLINK("https://twitter.com/jmcacuariano")</f>
        <v>https://twitter.com/jmcacuariano</v>
      </c>
      <c r="BP267" s="112" t="str">
        <f>REPLACE(INDEX(GroupVertices[Group], MATCH("~"&amp;Vertices[[#This Row],[Vertex]],GroupVertices[Vertex],0)),1,1,"")</f>
        <v>49</v>
      </c>
      <c r="BQ267" s="2"/>
    </row>
    <row r="268" spans="1:69" x14ac:dyDescent="0.25">
      <c r="A268" s="61" t="s">
        <v>614</v>
      </c>
      <c r="B268" s="62"/>
      <c r="C268" s="62"/>
      <c r="D268" s="63">
        <v>1.5</v>
      </c>
      <c r="E268" s="65"/>
      <c r="F268" s="97" t="str">
        <f>HYPERLINK("https://pbs.twimg.com/profile_images/1863667945701777408/jv4YSVWZ_normal.jpg")</f>
        <v>https://pbs.twimg.com/profile_images/1863667945701777408/jv4YSVWZ_normal.jpg</v>
      </c>
      <c r="G268" s="62"/>
      <c r="H268" s="66"/>
      <c r="I268" s="67"/>
      <c r="J268" s="67"/>
      <c r="K268" s="66" t="s">
        <v>4556</v>
      </c>
      <c r="L268" s="70"/>
      <c r="M268" s="71">
        <v>6942.203125</v>
      </c>
      <c r="N268" s="71">
        <v>841.510498046875</v>
      </c>
      <c r="O268" s="72"/>
      <c r="P268" s="73"/>
      <c r="Q268" s="73"/>
      <c r="R268" s="81"/>
      <c r="S268" s="45">
        <v>1</v>
      </c>
      <c r="T268" s="45">
        <v>0</v>
      </c>
      <c r="U268" s="46">
        <v>0</v>
      </c>
      <c r="V268" s="46">
        <v>2.0960000000000002E-3</v>
      </c>
      <c r="W268" s="47"/>
      <c r="X268" s="47"/>
      <c r="Y268" s="47"/>
      <c r="Z268" s="46"/>
      <c r="AA268" s="68">
        <v>268</v>
      </c>
      <c r="AB268"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68" s="69"/>
      <c r="AD268" t="s">
        <v>2916</v>
      </c>
      <c r="AE268" s="77" t="s">
        <v>2433</v>
      </c>
      <c r="AF268">
        <v>164561</v>
      </c>
      <c r="AG268">
        <v>2199</v>
      </c>
      <c r="AH268">
        <v>69214</v>
      </c>
      <c r="AI268">
        <v>1489</v>
      </c>
      <c r="AJ268">
        <v>19477</v>
      </c>
      <c r="AK268">
        <v>11445</v>
      </c>
      <c r="AL268" t="b">
        <v>0</v>
      </c>
      <c r="AM268" s="76">
        <v>40701.970081018517</v>
      </c>
      <c r="AN268" t="s">
        <v>3518</v>
      </c>
      <c r="AO268" t="s">
        <v>3839</v>
      </c>
      <c r="AP268" s="79" t="str">
        <f>HYPERLINK("https://t.co/zUOZdmzlzJ")</f>
        <v>https://t.co/zUOZdmzlzJ</v>
      </c>
      <c r="AQ268" s="79" t="str">
        <f>HYPERLINK("http://www.lecturalia.com/autor/2983/joseph-gelinek")</f>
        <v>http://www.lecturalia.com/autor/2983/joseph-gelinek</v>
      </c>
      <c r="AR268" t="s">
        <v>4145</v>
      </c>
      <c r="AW268" s="79" t="str">
        <f>HYPERLINK("https://t.co/zUOZdmzlzJ")</f>
        <v>https://t.co/zUOZdmzlzJ</v>
      </c>
      <c r="AX268" t="b">
        <v>0</v>
      </c>
      <c r="AZ268" t="b">
        <v>0</v>
      </c>
      <c r="BA268" t="b">
        <v>0</v>
      </c>
      <c r="BB268" t="b">
        <v>0</v>
      </c>
      <c r="BC268" t="b">
        <v>0</v>
      </c>
      <c r="BD268" t="b">
        <v>0</v>
      </c>
      <c r="BE268" t="b">
        <v>1</v>
      </c>
      <c r="BF268" t="b">
        <v>0</v>
      </c>
      <c r="BG268" t="b">
        <v>0</v>
      </c>
      <c r="BH268" s="79" t="str">
        <f>HYPERLINK("https://pbs.twimg.com/profile_banners/312963709/1739899530")</f>
        <v>https://pbs.twimg.com/profile_banners/312963709/1739899530</v>
      </c>
      <c r="BJ268" t="s">
        <v>4320</v>
      </c>
      <c r="BK268" t="b">
        <v>0</v>
      </c>
      <c r="BM268" t="s">
        <v>65</v>
      </c>
      <c r="BN268" t="s">
        <v>4322</v>
      </c>
      <c r="BO268" s="79" t="str">
        <f>HYPERLINK("https://twitter.com/maxpradera")</f>
        <v>https://twitter.com/maxpradera</v>
      </c>
      <c r="BP268" s="112" t="str">
        <f>REPLACE(INDEX(GroupVertices[Group], MATCH("~"&amp;Vertices[[#This Row],[Vertex]],GroupVertices[Vertex],0)),1,1,"")</f>
        <v>49</v>
      </c>
      <c r="BQ268" s="2"/>
    </row>
    <row r="269" spans="1:69" x14ac:dyDescent="0.25">
      <c r="A269" s="61" t="s">
        <v>340</v>
      </c>
      <c r="B269" s="62"/>
      <c r="C269" s="62"/>
      <c r="D269" s="63">
        <v>1.5</v>
      </c>
      <c r="E269" s="65"/>
      <c r="F269" s="97" t="str">
        <f>HYPERLINK("https://pbs.twimg.com/profile_images/1722695828744110080/FA5G_qhE_normal.jpg")</f>
        <v>https://pbs.twimg.com/profile_images/1722695828744110080/FA5G_qhE_normal.jpg</v>
      </c>
      <c r="G269" s="62"/>
      <c r="H269" s="66"/>
      <c r="I269" s="67"/>
      <c r="J269" s="67"/>
      <c r="K269" s="66" t="s">
        <v>4557</v>
      </c>
      <c r="L269" s="70"/>
      <c r="M269" s="71">
        <v>738.177978515625</v>
      </c>
      <c r="N269" s="71">
        <v>6480.7587890625</v>
      </c>
      <c r="O269" s="72"/>
      <c r="P269" s="73"/>
      <c r="Q269" s="73"/>
      <c r="R269" s="81"/>
      <c r="S269" s="45">
        <v>0</v>
      </c>
      <c r="T269" s="45">
        <v>1</v>
      </c>
      <c r="U269" s="46">
        <v>0</v>
      </c>
      <c r="V269" s="46">
        <v>2.0960000000000002E-3</v>
      </c>
      <c r="W269" s="47"/>
      <c r="X269" s="47"/>
      <c r="Y269" s="47"/>
      <c r="Z269" s="46"/>
      <c r="AA269" s="68">
        <v>269</v>
      </c>
      <c r="AB269"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69" s="69"/>
      <c r="AD269" t="s">
        <v>340</v>
      </c>
      <c r="AE269" s="77" t="s">
        <v>3271</v>
      </c>
      <c r="AF269">
        <v>5513</v>
      </c>
      <c r="AG269">
        <v>764</v>
      </c>
      <c r="AH269">
        <v>108979</v>
      </c>
      <c r="AI269">
        <v>84</v>
      </c>
      <c r="AJ269">
        <v>240607</v>
      </c>
      <c r="AK269">
        <v>6022</v>
      </c>
      <c r="AL269" t="b">
        <v>0</v>
      </c>
      <c r="AM269" s="76">
        <v>41182.758645833332</v>
      </c>
      <c r="AN269" t="s">
        <v>3519</v>
      </c>
      <c r="AO269" t="s">
        <v>3840</v>
      </c>
      <c r="AX269" t="b">
        <v>0</v>
      </c>
      <c r="BA269" t="b">
        <v>1</v>
      </c>
      <c r="BB269" t="b">
        <v>0</v>
      </c>
      <c r="BC269" t="b">
        <v>0</v>
      </c>
      <c r="BD269" t="b">
        <v>0</v>
      </c>
      <c r="BE269" t="b">
        <v>1</v>
      </c>
      <c r="BF269" t="b">
        <v>0</v>
      </c>
      <c r="BG269" t="b">
        <v>0</v>
      </c>
      <c r="BH269" s="79" t="str">
        <f>HYPERLINK("https://pbs.twimg.com/profile_banners/855125486/1573704980")</f>
        <v>https://pbs.twimg.com/profile_banners/855125486/1573704980</v>
      </c>
      <c r="BJ269" t="s">
        <v>4320</v>
      </c>
      <c r="BK269" t="b">
        <v>0</v>
      </c>
      <c r="BM269" t="s">
        <v>66</v>
      </c>
      <c r="BN269" t="s">
        <v>4322</v>
      </c>
      <c r="BO269" s="79" t="str">
        <f>HYPERLINK("https://twitter.com/taseenb")</f>
        <v>https://twitter.com/taseenb</v>
      </c>
      <c r="BP269" s="112" t="str">
        <f>REPLACE(INDEX(GroupVertices[Group], MATCH("~"&amp;Vertices[[#This Row],[Vertex]],GroupVertices[Vertex],0)),1,1,"")</f>
        <v>110</v>
      </c>
      <c r="BQ269" s="2"/>
    </row>
    <row r="270" spans="1:69" x14ac:dyDescent="0.25">
      <c r="A270" s="61" t="s">
        <v>615</v>
      </c>
      <c r="B270" s="62"/>
      <c r="C270" s="62"/>
      <c r="D270" s="63">
        <v>1.5</v>
      </c>
      <c r="E270" s="65"/>
      <c r="F270" s="97" t="str">
        <f>HYPERLINK("https://pbs.twimg.com/profile_images/1830364730398998529/uwLWQQaM_normal.jpg")</f>
        <v>https://pbs.twimg.com/profile_images/1830364730398998529/uwLWQQaM_normal.jpg</v>
      </c>
      <c r="G270" s="62"/>
      <c r="H270" s="66"/>
      <c r="I270" s="67"/>
      <c r="J270" s="67"/>
      <c r="K270" s="66" t="s">
        <v>4558</v>
      </c>
      <c r="L270" s="70"/>
      <c r="M270" s="71">
        <v>2381.908935546875</v>
      </c>
      <c r="N270" s="71">
        <v>6276.9462890625</v>
      </c>
      <c r="O270" s="72"/>
      <c r="P270" s="73"/>
      <c r="Q270" s="73"/>
      <c r="R270" s="81"/>
      <c r="S270" s="45">
        <v>1</v>
      </c>
      <c r="T270" s="45">
        <v>0</v>
      </c>
      <c r="U270" s="46">
        <v>0</v>
      </c>
      <c r="V270" s="46">
        <v>2.0960000000000002E-3</v>
      </c>
      <c r="W270" s="47"/>
      <c r="X270" s="47"/>
      <c r="Y270" s="47"/>
      <c r="Z270" s="46"/>
      <c r="AA270" s="68">
        <v>270</v>
      </c>
      <c r="AB270"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70" s="69"/>
      <c r="AD270" t="s">
        <v>2917</v>
      </c>
      <c r="AE270" s="77" t="s">
        <v>2434</v>
      </c>
      <c r="AF270">
        <v>554984</v>
      </c>
      <c r="AG270">
        <v>973</v>
      </c>
      <c r="AH270">
        <v>102234</v>
      </c>
      <c r="AI270">
        <v>1373</v>
      </c>
      <c r="AJ270">
        <v>65696</v>
      </c>
      <c r="AK270">
        <v>23820</v>
      </c>
      <c r="AL270" t="b">
        <v>0</v>
      </c>
      <c r="AM270" s="76">
        <v>40069.792986111112</v>
      </c>
      <c r="AN270" t="s">
        <v>3520</v>
      </c>
      <c r="AO270" t="s">
        <v>3841</v>
      </c>
      <c r="AP270" s="79" t="str">
        <f>HYPERLINK("https://t.co/YxfLIu0Bu0")</f>
        <v>https://t.co/YxfLIu0Bu0</v>
      </c>
      <c r="AQ270" s="79" t="str">
        <f>HYPERLINK("https://youtube.com/@informeorwell?si=N0HsKLpkKhNwFMCG?sub_confirmation=1")</f>
        <v>https://youtube.com/@informeorwell?si=N0HsKLpkKhNwFMCG?sub_confirmation=1</v>
      </c>
      <c r="AR270" t="s">
        <v>4146</v>
      </c>
      <c r="AV270">
        <v>1.9024832164029701E+18</v>
      </c>
      <c r="AW270" s="79" t="str">
        <f>HYPERLINK("https://t.co/YxfLIu0Bu0")</f>
        <v>https://t.co/YxfLIu0Bu0</v>
      </c>
      <c r="AX270" t="b">
        <v>1</v>
      </c>
      <c r="AZ270" t="b">
        <v>0</v>
      </c>
      <c r="BA270" t="b">
        <v>0</v>
      </c>
      <c r="BB270" t="b">
        <v>0</v>
      </c>
      <c r="BC270" t="b">
        <v>0</v>
      </c>
      <c r="BD270" t="b">
        <v>0</v>
      </c>
      <c r="BE270" t="b">
        <v>1</v>
      </c>
      <c r="BF270" t="b">
        <v>0</v>
      </c>
      <c r="BG270" t="b">
        <v>0</v>
      </c>
      <c r="BH270" s="79" t="str">
        <f>HYPERLINK("https://pbs.twimg.com/profile_banners/73948999/1742961222")</f>
        <v>https://pbs.twimg.com/profile_banners/73948999/1742961222</v>
      </c>
      <c r="BJ270" t="s">
        <v>4320</v>
      </c>
      <c r="BK270" t="b">
        <v>0</v>
      </c>
      <c r="BM270" t="s">
        <v>65</v>
      </c>
      <c r="BN270" t="s">
        <v>4322</v>
      </c>
      <c r="BO270" s="79" t="str">
        <f>HYPERLINK("https://twitter.com/emmarincon")</f>
        <v>https://twitter.com/emmarincon</v>
      </c>
      <c r="BP270" s="112" t="str">
        <f>REPLACE(INDEX(GroupVertices[Group], MATCH("~"&amp;Vertices[[#This Row],[Vertex]],GroupVertices[Vertex],0)),1,1,"")</f>
        <v>110</v>
      </c>
      <c r="BQ270" s="2"/>
    </row>
    <row r="271" spans="1:69" x14ac:dyDescent="0.25">
      <c r="A271" s="61" t="s">
        <v>616</v>
      </c>
      <c r="B271" s="62"/>
      <c r="C271" s="62"/>
      <c r="D271" s="63">
        <v>1.5</v>
      </c>
      <c r="E271" s="65"/>
      <c r="F271" s="97" t="str">
        <f>HYPERLINK("https://pbs.twimg.com/profile_images/1780274043632959488/B0eM4AFF_normal.jpg")</f>
        <v>https://pbs.twimg.com/profile_images/1780274043632959488/B0eM4AFF_normal.jpg</v>
      </c>
      <c r="G271" s="62"/>
      <c r="H271" s="66"/>
      <c r="I271" s="67"/>
      <c r="J271" s="67"/>
      <c r="K271" s="66" t="s">
        <v>4560</v>
      </c>
      <c r="L271" s="70"/>
      <c r="M271" s="71">
        <v>5229.7578125</v>
      </c>
      <c r="N271" s="71">
        <v>1595.8795166015625</v>
      </c>
      <c r="O271" s="72"/>
      <c r="P271" s="73"/>
      <c r="Q271" s="73"/>
      <c r="R271" s="81"/>
      <c r="S271" s="45">
        <v>1</v>
      </c>
      <c r="T271" s="45">
        <v>0</v>
      </c>
      <c r="U271" s="46">
        <v>0</v>
      </c>
      <c r="V271" s="46">
        <v>1.8498000000000001E-2</v>
      </c>
      <c r="W271" s="47"/>
      <c r="X271" s="47"/>
      <c r="Y271" s="47"/>
      <c r="Z271" s="46"/>
      <c r="AA271" s="68">
        <v>271</v>
      </c>
      <c r="AB271"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71" s="69"/>
      <c r="AD271" t="s">
        <v>2919</v>
      </c>
      <c r="AE271" s="77" t="s">
        <v>3273</v>
      </c>
      <c r="AF271">
        <v>27175</v>
      </c>
      <c r="AG271">
        <v>781</v>
      </c>
      <c r="AH271">
        <v>14386</v>
      </c>
      <c r="AI271">
        <v>78</v>
      </c>
      <c r="AJ271">
        <v>12386</v>
      </c>
      <c r="AK271">
        <v>7174</v>
      </c>
      <c r="AL271" t="b">
        <v>0</v>
      </c>
      <c r="AM271" s="76">
        <v>41891.57303240741</v>
      </c>
      <c r="AN271" t="s">
        <v>3410</v>
      </c>
      <c r="AO271" t="s">
        <v>3842</v>
      </c>
      <c r="AP271" s="79" t="str">
        <f>HYPERLINK("https://t.co/rskV6RzVBZ")</f>
        <v>https://t.co/rskV6RzVBZ</v>
      </c>
      <c r="AQ271" s="79" t="str">
        <f>HYPERLINK("http://www.supereduc.cl")</f>
        <v>http://www.supereduc.cl</v>
      </c>
      <c r="AR271" t="s">
        <v>4147</v>
      </c>
      <c r="AS271" s="79" t="str">
        <f>HYPERLINK("https://t.co/BYL59bZPnj")</f>
        <v>https://t.co/BYL59bZPnj</v>
      </c>
      <c r="AT271" s="79" t="str">
        <f>HYPERLINK("http://atencionsie.supereduc.cl")</f>
        <v>http://atencionsie.supereduc.cl</v>
      </c>
      <c r="AU271" t="s">
        <v>4296</v>
      </c>
      <c r="AW271" s="79" t="str">
        <f>HYPERLINK("https://t.co/rskV6RzVBZ")</f>
        <v>https://t.co/rskV6RzVBZ</v>
      </c>
      <c r="AX271" t="b">
        <v>0</v>
      </c>
      <c r="AZ271" t="b">
        <v>0</v>
      </c>
      <c r="BA271" t="b">
        <v>1</v>
      </c>
      <c r="BB271" t="b">
        <v>0</v>
      </c>
      <c r="BC271" t="b">
        <v>1</v>
      </c>
      <c r="BD271" t="b">
        <v>0</v>
      </c>
      <c r="BE271" t="b">
        <v>1</v>
      </c>
      <c r="BF271" t="b">
        <v>0</v>
      </c>
      <c r="BG271" t="b">
        <v>0</v>
      </c>
      <c r="BH271" s="79" t="str">
        <f>HYPERLINK("https://pbs.twimg.com/profile_banners/2799941348/1741714058")</f>
        <v>https://pbs.twimg.com/profile_banners/2799941348/1741714058</v>
      </c>
      <c r="BJ271" t="s">
        <v>4320</v>
      </c>
      <c r="BK271" t="b">
        <v>0</v>
      </c>
      <c r="BM271" t="s">
        <v>65</v>
      </c>
      <c r="BN271" t="s">
        <v>4322</v>
      </c>
      <c r="BO271" s="79" t="str">
        <f>HYPERLINK("https://twitter.com/supereduc_cl")</f>
        <v>https://twitter.com/supereduc_cl</v>
      </c>
      <c r="BP271" s="112" t="str">
        <f>REPLACE(INDEX(GroupVertices[Group], MATCH("~"&amp;Vertices[[#This Row],[Vertex]],GroupVertices[Vertex],0)),1,1,"")</f>
        <v>1</v>
      </c>
      <c r="BQ271" s="2"/>
    </row>
    <row r="272" spans="1:69" x14ac:dyDescent="0.25">
      <c r="A272" s="61" t="s">
        <v>617</v>
      </c>
      <c r="B272" s="62"/>
      <c r="C272" s="62"/>
      <c r="D272" s="63">
        <v>1.5</v>
      </c>
      <c r="E272" s="65"/>
      <c r="F272" s="97" t="str">
        <f>HYPERLINK("https://pbs.twimg.com/profile_images/1845814570/poderjudicial__normal.jpg")</f>
        <v>https://pbs.twimg.com/profile_images/1845814570/poderjudicial__normal.jpg</v>
      </c>
      <c r="G272" s="62"/>
      <c r="H272" s="66"/>
      <c r="I272" s="67"/>
      <c r="J272" s="67"/>
      <c r="K272" s="66" t="s">
        <v>4561</v>
      </c>
      <c r="L272" s="70"/>
      <c r="M272" s="71">
        <v>1250.8416748046875</v>
      </c>
      <c r="N272" s="71">
        <v>882.98980712890625</v>
      </c>
      <c r="O272" s="72"/>
      <c r="P272" s="73"/>
      <c r="Q272" s="73"/>
      <c r="R272" s="81"/>
      <c r="S272" s="45">
        <v>1</v>
      </c>
      <c r="T272" s="45">
        <v>0</v>
      </c>
      <c r="U272" s="46">
        <v>0</v>
      </c>
      <c r="V272" s="46">
        <v>1.8498000000000001E-2</v>
      </c>
      <c r="W272" s="47"/>
      <c r="X272" s="47"/>
      <c r="Y272" s="47"/>
      <c r="Z272" s="46"/>
      <c r="AA272" s="68">
        <v>272</v>
      </c>
      <c r="AB272"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72" s="69"/>
      <c r="AD272" t="s">
        <v>2920</v>
      </c>
      <c r="AE272" s="77" t="s">
        <v>3274</v>
      </c>
      <c r="AF272">
        <v>287175</v>
      </c>
      <c r="AG272">
        <v>76</v>
      </c>
      <c r="AH272">
        <v>133470</v>
      </c>
      <c r="AI272">
        <v>497</v>
      </c>
      <c r="AJ272">
        <v>2574</v>
      </c>
      <c r="AK272">
        <v>86821</v>
      </c>
      <c r="AL272" t="b">
        <v>0</v>
      </c>
      <c r="AM272" s="76">
        <v>40961.593599537038</v>
      </c>
      <c r="AN272" t="s">
        <v>3400</v>
      </c>
      <c r="AO272" t="s">
        <v>3843</v>
      </c>
      <c r="AP272" s="79" t="str">
        <f>HYPERLINK("https://t.co/gEkg2a699O")</f>
        <v>https://t.co/gEkg2a699O</v>
      </c>
      <c r="AQ272" s="79" t="str">
        <f>HYPERLINK("http://www.pjud.cl/")</f>
        <v>http://www.pjud.cl/</v>
      </c>
      <c r="AR272" t="s">
        <v>4148</v>
      </c>
      <c r="AW272" s="79" t="str">
        <f>HYPERLINK("https://t.co/gEkg2a699O")</f>
        <v>https://t.co/gEkg2a699O</v>
      </c>
      <c r="AX272" t="b">
        <v>0</v>
      </c>
      <c r="AZ272" t="b">
        <v>1</v>
      </c>
      <c r="BA272" t="b">
        <v>0</v>
      </c>
      <c r="BB272" t="b">
        <v>0</v>
      </c>
      <c r="BC272" t="b">
        <v>0</v>
      </c>
      <c r="BD272" t="b">
        <v>0</v>
      </c>
      <c r="BE272" t="b">
        <v>1</v>
      </c>
      <c r="BF272" t="b">
        <v>0</v>
      </c>
      <c r="BG272" t="b">
        <v>0</v>
      </c>
      <c r="BH272" s="79" t="str">
        <f>HYPERLINK("https://pbs.twimg.com/profile_banners/499811956/1733251879")</f>
        <v>https://pbs.twimg.com/profile_banners/499811956/1733251879</v>
      </c>
      <c r="BJ272" t="s">
        <v>4320</v>
      </c>
      <c r="BK272" t="b">
        <v>1</v>
      </c>
      <c r="BM272" t="s">
        <v>65</v>
      </c>
      <c r="BN272" t="s">
        <v>4322</v>
      </c>
      <c r="BO272" s="79" t="str">
        <f>HYPERLINK("https://twitter.com/pjudicialchile")</f>
        <v>https://twitter.com/pjudicialchile</v>
      </c>
      <c r="BP272" s="112" t="str">
        <f>REPLACE(INDEX(GroupVertices[Group], MATCH("~"&amp;Vertices[[#This Row],[Vertex]],GroupVertices[Vertex],0)),1,1,"")</f>
        <v>1</v>
      </c>
      <c r="BQ272" s="2"/>
    </row>
    <row r="273" spans="1:69" x14ac:dyDescent="0.25">
      <c r="A273" s="61" t="s">
        <v>435</v>
      </c>
      <c r="B273" s="62"/>
      <c r="C273" s="62"/>
      <c r="D273" s="63">
        <v>1.5</v>
      </c>
      <c r="E273" s="65"/>
      <c r="F273" s="97" t="str">
        <f>HYPERLINK("https://pbs.twimg.com/profile_images/1222560377684230144/gqn89D6j_normal.jpg")</f>
        <v>https://pbs.twimg.com/profile_images/1222560377684230144/gqn89D6j_normal.jpg</v>
      </c>
      <c r="G273" s="62"/>
      <c r="H273" s="66"/>
      <c r="I273" s="67"/>
      <c r="J273" s="67"/>
      <c r="K273" s="66" t="s">
        <v>4562</v>
      </c>
      <c r="L273" s="70"/>
      <c r="M273" s="71">
        <v>5862.103515625</v>
      </c>
      <c r="N273" s="71">
        <v>5653.1689453125</v>
      </c>
      <c r="O273" s="72"/>
      <c r="P273" s="73"/>
      <c r="Q273" s="73"/>
      <c r="R273" s="81"/>
      <c r="S273" s="45">
        <v>2</v>
      </c>
      <c r="T273" s="45">
        <v>1</v>
      </c>
      <c r="U273" s="46">
        <v>0</v>
      </c>
      <c r="V273" s="46">
        <v>1.8498000000000001E-2</v>
      </c>
      <c r="W273" s="47"/>
      <c r="X273" s="47"/>
      <c r="Y273" s="47"/>
      <c r="Z273" s="46"/>
      <c r="AA273" s="68">
        <v>273</v>
      </c>
      <c r="AB273"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73" s="69"/>
      <c r="AD273" t="s">
        <v>2921</v>
      </c>
      <c r="AE273" s="77" t="s">
        <v>3275</v>
      </c>
      <c r="AF273">
        <v>25081</v>
      </c>
      <c r="AG273">
        <v>2279</v>
      </c>
      <c r="AH273">
        <v>41529</v>
      </c>
      <c r="AI273">
        <v>521</v>
      </c>
      <c r="AJ273">
        <v>629</v>
      </c>
      <c r="AK273">
        <v>14717</v>
      </c>
      <c r="AL273" t="b">
        <v>0</v>
      </c>
      <c r="AM273" s="76">
        <v>41065.633738425924</v>
      </c>
      <c r="AO273" t="s">
        <v>3844</v>
      </c>
      <c r="AP273" s="79" t="str">
        <f>HYPERLINK("https://t.co/gQHDFjaY5X")</f>
        <v>https://t.co/gQHDFjaY5X</v>
      </c>
      <c r="AQ273" s="79" t="str">
        <f>HYPERLINK("https://bit.ly/2NBWLiJ")</f>
        <v>https://bit.ly/2NBWLiJ</v>
      </c>
      <c r="AR273" t="s">
        <v>4149</v>
      </c>
      <c r="AW273" s="79" t="str">
        <f>HYPERLINK("https://t.co/gQHDFjaY5X")</f>
        <v>https://t.co/gQHDFjaY5X</v>
      </c>
      <c r="AX273" t="b">
        <v>1</v>
      </c>
      <c r="BA273" t="b">
        <v>0</v>
      </c>
      <c r="BB273" t="b">
        <v>1</v>
      </c>
      <c r="BC273" t="b">
        <v>1</v>
      </c>
      <c r="BD273" t="b">
        <v>0</v>
      </c>
      <c r="BE273" t="b">
        <v>1</v>
      </c>
      <c r="BF273" t="b">
        <v>0</v>
      </c>
      <c r="BG273" t="b">
        <v>0</v>
      </c>
      <c r="BH273" s="79" t="str">
        <f>HYPERLINK("https://pbs.twimg.com/profile_banners/600260862/1473527907")</f>
        <v>https://pbs.twimg.com/profile_banners/600260862/1473527907</v>
      </c>
      <c r="BJ273" t="s">
        <v>4320</v>
      </c>
      <c r="BK273" t="b">
        <v>0</v>
      </c>
      <c r="BM273" t="s">
        <v>66</v>
      </c>
      <c r="BN273" t="s">
        <v>4322</v>
      </c>
      <c r="BO273" s="79" t="str">
        <f>HYPERLINK("https://twitter.com/sanz_ismael")</f>
        <v>https://twitter.com/sanz_ismael</v>
      </c>
      <c r="BP273" s="112" t="str">
        <f>REPLACE(INDEX(GroupVertices[Group], MATCH("~"&amp;Vertices[[#This Row],[Vertex]],GroupVertices[Vertex],0)),1,1,"")</f>
        <v>1</v>
      </c>
      <c r="BQ273" s="2"/>
    </row>
    <row r="274" spans="1:69" x14ac:dyDescent="0.25">
      <c r="A274" s="61" t="s">
        <v>342</v>
      </c>
      <c r="B274" s="62"/>
      <c r="C274" s="62"/>
      <c r="D274" s="63">
        <v>1.5</v>
      </c>
      <c r="E274" s="65"/>
      <c r="F274" s="97" t="str">
        <f>HYPERLINK("https://pbs.twimg.com/profile_images/1562080573803446275/vs2jntMr_normal.jpg")</f>
        <v>https://pbs.twimg.com/profile_images/1562080573803446275/vs2jntMr_normal.jpg</v>
      </c>
      <c r="G274" s="62"/>
      <c r="H274" s="66"/>
      <c r="I274" s="67"/>
      <c r="J274" s="67"/>
      <c r="K274" s="66" t="s">
        <v>4563</v>
      </c>
      <c r="L274" s="70"/>
      <c r="M274" s="71">
        <v>318.4576416015625</v>
      </c>
      <c r="N274" s="71">
        <v>5456.677734375</v>
      </c>
      <c r="O274" s="72"/>
      <c r="P274" s="73"/>
      <c r="Q274" s="73"/>
      <c r="R274" s="81"/>
      <c r="S274" s="45">
        <v>1</v>
      </c>
      <c r="T274" s="45">
        <v>1</v>
      </c>
      <c r="U274" s="46">
        <v>0</v>
      </c>
      <c r="V274" s="46">
        <v>0</v>
      </c>
      <c r="W274" s="47"/>
      <c r="X274" s="47"/>
      <c r="Y274" s="47"/>
      <c r="Z274" s="46"/>
      <c r="AA274" s="68">
        <v>274</v>
      </c>
      <c r="AB274"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74" s="69"/>
      <c r="AD274" t="s">
        <v>2922</v>
      </c>
      <c r="AE274" s="77" t="s">
        <v>3276</v>
      </c>
      <c r="AF274">
        <v>176135</v>
      </c>
      <c r="AG274">
        <v>1489</v>
      </c>
      <c r="AH274">
        <v>239811</v>
      </c>
      <c r="AI274">
        <v>1360</v>
      </c>
      <c r="AJ274">
        <v>152</v>
      </c>
      <c r="AK274">
        <v>41153</v>
      </c>
      <c r="AL274" t="b">
        <v>0</v>
      </c>
      <c r="AM274" s="76">
        <v>39898.480451388888</v>
      </c>
      <c r="AO274" t="s">
        <v>3845</v>
      </c>
      <c r="AP274" s="79" t="str">
        <f>HYPERLINK("https://t.co/0Q6WG2D0on")</f>
        <v>https://t.co/0Q6WG2D0on</v>
      </c>
      <c r="AQ274" s="79" t="str">
        <f>HYPERLINK("https://www.eitb.eus/es/noticias/")</f>
        <v>https://www.eitb.eus/es/noticias/</v>
      </c>
      <c r="AR274" t="s">
        <v>4150</v>
      </c>
      <c r="AS274" s="79" t="str">
        <f>HYPERLINK("https://t.co/cE4SMiWL4Z")</f>
        <v>https://t.co/cE4SMiWL4Z</v>
      </c>
      <c r="AT274" s="79" t="str">
        <f>HYPERLINK("http://t.me/eitb_noticias")</f>
        <v>http://t.me/eitb_noticias</v>
      </c>
      <c r="AU274" t="s">
        <v>4297</v>
      </c>
      <c r="AW274" s="79" t="str">
        <f>HYPERLINK("https://t.co/0Q6WG2D0on")</f>
        <v>https://t.co/0Q6WG2D0on</v>
      </c>
      <c r="AX274" t="b">
        <v>0</v>
      </c>
      <c r="BA274" t="b">
        <v>0</v>
      </c>
      <c r="BB274" t="b">
        <v>1</v>
      </c>
      <c r="BC274" t="b">
        <v>0</v>
      </c>
      <c r="BD274" t="b">
        <v>0</v>
      </c>
      <c r="BE274" t="b">
        <v>1</v>
      </c>
      <c r="BF274" t="b">
        <v>0</v>
      </c>
      <c r="BG274" t="b">
        <v>0</v>
      </c>
      <c r="BH274" s="79" t="str">
        <f>HYPERLINK("https://pbs.twimg.com/profile_banners/26728695/1661264006")</f>
        <v>https://pbs.twimg.com/profile_banners/26728695/1661264006</v>
      </c>
      <c r="BJ274" t="s">
        <v>4320</v>
      </c>
      <c r="BK274" t="b">
        <v>0</v>
      </c>
      <c r="BM274" t="s">
        <v>66</v>
      </c>
      <c r="BN274" t="s">
        <v>4322</v>
      </c>
      <c r="BO274" s="79" t="str">
        <f>HYPERLINK("https://twitter.com/eitbnoticias")</f>
        <v>https://twitter.com/eitbnoticias</v>
      </c>
      <c r="BP274" s="112" t="str">
        <f>REPLACE(INDEX(GroupVertices[Group], MATCH("~"&amp;Vertices[[#This Row],[Vertex]],GroupVertices[Vertex],0)),1,1,"")</f>
        <v>202</v>
      </c>
      <c r="BQ274" s="2"/>
    </row>
    <row r="275" spans="1:69" x14ac:dyDescent="0.25">
      <c r="A275" s="61" t="s">
        <v>343</v>
      </c>
      <c r="B275" s="62"/>
      <c r="C275" s="62"/>
      <c r="D275" s="63">
        <v>1.5</v>
      </c>
      <c r="E275" s="65"/>
      <c r="F275" s="97" t="str">
        <f>HYPERLINK("https://pbs.twimg.com/profile_images/1322233156062355456/RTVclyHr_normal.jpg")</f>
        <v>https://pbs.twimg.com/profile_images/1322233156062355456/RTVclyHr_normal.jpg</v>
      </c>
      <c r="G275" s="62"/>
      <c r="H275" s="66"/>
      <c r="I275" s="67"/>
      <c r="J275" s="67"/>
      <c r="K275" s="66" t="s">
        <v>4564</v>
      </c>
      <c r="L275" s="70"/>
      <c r="M275" s="71">
        <v>4373.0947265625</v>
      </c>
      <c r="N275" s="71">
        <v>879.028564453125</v>
      </c>
      <c r="O275" s="72"/>
      <c r="P275" s="73"/>
      <c r="Q275" s="73"/>
      <c r="R275" s="81"/>
      <c r="S275" s="45">
        <v>1</v>
      </c>
      <c r="T275" s="45">
        <v>1</v>
      </c>
      <c r="U275" s="46">
        <v>0</v>
      </c>
      <c r="V275" s="46">
        <v>0</v>
      </c>
      <c r="W275" s="47"/>
      <c r="X275" s="47"/>
      <c r="Y275" s="47"/>
      <c r="Z275" s="46"/>
      <c r="AA275" s="68">
        <v>275</v>
      </c>
      <c r="AB275"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75" s="69"/>
      <c r="AD275" t="s">
        <v>2923</v>
      </c>
      <c r="AE275" s="77" t="s">
        <v>2435</v>
      </c>
      <c r="AF275">
        <v>6221</v>
      </c>
      <c r="AG275">
        <v>2323</v>
      </c>
      <c r="AH275">
        <v>242154</v>
      </c>
      <c r="AI275">
        <v>24</v>
      </c>
      <c r="AJ275">
        <v>320558</v>
      </c>
      <c r="AK275">
        <v>6559</v>
      </c>
      <c r="AL275" t="b">
        <v>0</v>
      </c>
      <c r="AM275" s="76">
        <v>42678.022951388892</v>
      </c>
      <c r="AN275" t="s">
        <v>1769</v>
      </c>
      <c r="AO275" t="s">
        <v>3846</v>
      </c>
      <c r="AP275" s="79" t="str">
        <f>HYPERLINK("https://t.co/CmBSqOKyNx")</f>
        <v>https://t.co/CmBSqOKyNx</v>
      </c>
      <c r="AQ275" s="79" t="str">
        <f>HYPERLINK("http://instagram.com/Manu_Barrio_1")</f>
        <v>http://instagram.com/Manu_Barrio_1</v>
      </c>
      <c r="AR275" t="s">
        <v>4151</v>
      </c>
      <c r="AV275">
        <v>1.21316405805838E+18</v>
      </c>
      <c r="AW275" s="79" t="str">
        <f>HYPERLINK("https://t.co/CmBSqOKyNx")</f>
        <v>https://t.co/CmBSqOKyNx</v>
      </c>
      <c r="AX275" t="b">
        <v>1</v>
      </c>
      <c r="BA275" t="b">
        <v>1</v>
      </c>
      <c r="BB275" t="b">
        <v>0</v>
      </c>
      <c r="BC275" t="b">
        <v>0</v>
      </c>
      <c r="BD275" t="b">
        <v>0</v>
      </c>
      <c r="BE275" t="b">
        <v>1</v>
      </c>
      <c r="BF275" t="b">
        <v>0</v>
      </c>
      <c r="BG275" t="b">
        <v>0</v>
      </c>
      <c r="BH275" s="79" t="str">
        <f>HYPERLINK("https://pbs.twimg.com/profile_banners/794336622292701184/1509690137")</f>
        <v>https://pbs.twimg.com/profile_banners/794336622292701184/1509690137</v>
      </c>
      <c r="BJ275" t="s">
        <v>4320</v>
      </c>
      <c r="BK275" t="b">
        <v>0</v>
      </c>
      <c r="BM275" t="s">
        <v>66</v>
      </c>
      <c r="BN275" t="s">
        <v>4322</v>
      </c>
      <c r="BO275" s="79" t="str">
        <f>HYPERLINK("https://twitter.com/barrio_tuetano")</f>
        <v>https://twitter.com/barrio_tuetano</v>
      </c>
      <c r="BP275" s="112" t="str">
        <f>REPLACE(INDEX(GroupVertices[Group], MATCH("~"&amp;Vertices[[#This Row],[Vertex]],GroupVertices[Vertex],0)),1,1,"")</f>
        <v>158</v>
      </c>
      <c r="BQ275" s="2"/>
    </row>
    <row r="276" spans="1:69" x14ac:dyDescent="0.25">
      <c r="A276" s="61" t="s">
        <v>344</v>
      </c>
      <c r="B276" s="62"/>
      <c r="C276" s="62"/>
      <c r="D276" s="63">
        <v>1.5</v>
      </c>
      <c r="E276" s="65"/>
      <c r="F276" s="97" t="str">
        <f>HYPERLINK("https://pbs.twimg.com/profile_images/1925646112007868416/re2UE6cM_normal.jpg")</f>
        <v>https://pbs.twimg.com/profile_images/1925646112007868416/re2UE6cM_normal.jpg</v>
      </c>
      <c r="G276" s="62"/>
      <c r="H276" s="66"/>
      <c r="I276" s="67"/>
      <c r="J276" s="67"/>
      <c r="K276" s="66" t="s">
        <v>4565</v>
      </c>
      <c r="L276" s="70"/>
      <c r="M276" s="71">
        <v>700.12689208984375</v>
      </c>
      <c r="N276" s="71">
        <v>2978.843505859375</v>
      </c>
      <c r="O276" s="72"/>
      <c r="P276" s="73"/>
      <c r="Q276" s="73"/>
      <c r="R276" s="81"/>
      <c r="S276" s="45">
        <v>0</v>
      </c>
      <c r="T276" s="45">
        <v>1</v>
      </c>
      <c r="U276" s="46">
        <v>0</v>
      </c>
      <c r="V276" s="46">
        <v>2.3883000000000001E-2</v>
      </c>
      <c r="W276" s="47"/>
      <c r="X276" s="47"/>
      <c r="Y276" s="47"/>
      <c r="Z276" s="46"/>
      <c r="AA276" s="68">
        <v>276</v>
      </c>
      <c r="AB276"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76" s="69"/>
      <c r="AD276" t="s">
        <v>2924</v>
      </c>
      <c r="AE276" s="77" t="s">
        <v>3277</v>
      </c>
      <c r="AF276">
        <v>2956</v>
      </c>
      <c r="AG276">
        <v>2832</v>
      </c>
      <c r="AH276">
        <v>216235</v>
      </c>
      <c r="AI276">
        <v>36</v>
      </c>
      <c r="AJ276">
        <v>11768</v>
      </c>
      <c r="AK276">
        <v>10178</v>
      </c>
      <c r="AL276" t="b">
        <v>0</v>
      </c>
      <c r="AM276" s="76">
        <v>40237.11515046296</v>
      </c>
      <c r="AN276" t="s">
        <v>3400</v>
      </c>
      <c r="AO276" t="s">
        <v>3847</v>
      </c>
      <c r="AS276" s="79" t="str">
        <f>HYPERLINK("https://t.co/gt8hVwOEhK")</f>
        <v>https://t.co/gt8hVwOEhK</v>
      </c>
      <c r="AT276" s="79" t="str">
        <f>HYPERLINK("http://t.me/chileporlav")</f>
        <v>http://t.me/chileporlav</v>
      </c>
      <c r="AU276" t="s">
        <v>4298</v>
      </c>
      <c r="AV276">
        <v>1.5078363719263301E+18</v>
      </c>
      <c r="AX276" t="b">
        <v>0</v>
      </c>
      <c r="BA276" t="b">
        <v>1</v>
      </c>
      <c r="BB276" t="b">
        <v>0</v>
      </c>
      <c r="BC276" t="b">
        <v>0</v>
      </c>
      <c r="BD276" t="b">
        <v>0</v>
      </c>
      <c r="BE276" t="b">
        <v>1</v>
      </c>
      <c r="BF276" t="b">
        <v>0</v>
      </c>
      <c r="BG276" t="b">
        <v>0</v>
      </c>
      <c r="BH276" s="79" t="str">
        <f>HYPERLINK("https://pbs.twimg.com/profile_banners/118254056/1741891125")</f>
        <v>https://pbs.twimg.com/profile_banners/118254056/1741891125</v>
      </c>
      <c r="BJ276" t="s">
        <v>4320</v>
      </c>
      <c r="BK276" t="b">
        <v>0</v>
      </c>
      <c r="BM276" t="s">
        <v>66</v>
      </c>
      <c r="BN276" t="s">
        <v>4322</v>
      </c>
      <c r="BO276" s="79" t="str">
        <f>HYPERLINK("https://twitter.com/caritonasis")</f>
        <v>https://twitter.com/caritonasis</v>
      </c>
      <c r="BP276" s="112" t="str">
        <f>REPLACE(INDEX(GroupVertices[Group], MATCH("~"&amp;Vertices[[#This Row],[Vertex]],GroupVertices[Vertex],0)),1,1,"")</f>
        <v>1</v>
      </c>
      <c r="BQ276" s="2"/>
    </row>
    <row r="277" spans="1:69" x14ac:dyDescent="0.25">
      <c r="A277" s="61" t="s">
        <v>345</v>
      </c>
      <c r="B277" s="62"/>
      <c r="C277" s="62"/>
      <c r="D277" s="63">
        <v>1.5</v>
      </c>
      <c r="E277" s="65"/>
      <c r="F277" s="97" t="str">
        <f>HYPERLINK("https://pbs.twimg.com/profile_images/1923078047525228544/GK_l1uLL_normal.png")</f>
        <v>https://pbs.twimg.com/profile_images/1923078047525228544/GK_l1uLL_normal.png</v>
      </c>
      <c r="G277" s="62"/>
      <c r="H277" s="66"/>
      <c r="I277" s="67"/>
      <c r="J277" s="67"/>
      <c r="K277" s="66" t="s">
        <v>4566</v>
      </c>
      <c r="L277" s="70"/>
      <c r="M277" s="71">
        <v>1028.342529296875</v>
      </c>
      <c r="N277" s="71">
        <v>3634.84814453125</v>
      </c>
      <c r="O277" s="72"/>
      <c r="P277" s="73"/>
      <c r="Q277" s="73"/>
      <c r="R277" s="81"/>
      <c r="S277" s="45">
        <v>1</v>
      </c>
      <c r="T277" s="45">
        <v>1</v>
      </c>
      <c r="U277" s="46">
        <v>0</v>
      </c>
      <c r="V277" s="46">
        <v>0</v>
      </c>
      <c r="W277" s="47"/>
      <c r="X277" s="47"/>
      <c r="Y277" s="47"/>
      <c r="Z277" s="46"/>
      <c r="AA277" s="68">
        <v>277</v>
      </c>
      <c r="AB277"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77" s="69"/>
      <c r="AD277" t="s">
        <v>2925</v>
      </c>
      <c r="AE277" s="77" t="s">
        <v>2581</v>
      </c>
      <c r="AF277">
        <v>76</v>
      </c>
      <c r="AG277">
        <v>160</v>
      </c>
      <c r="AH277">
        <v>9056</v>
      </c>
      <c r="AI277">
        <v>3</v>
      </c>
      <c r="AJ277">
        <v>1346</v>
      </c>
      <c r="AK277">
        <v>467</v>
      </c>
      <c r="AL277" t="b">
        <v>0</v>
      </c>
      <c r="AM277" s="76">
        <v>44376.140532407408</v>
      </c>
      <c r="AN277" t="s">
        <v>3521</v>
      </c>
      <c r="AO277" t="s">
        <v>3848</v>
      </c>
      <c r="AP277" s="79" t="str">
        <f>HYPERLINK("https://t.co/s9x9puEE9o")</f>
        <v>https://t.co/s9x9puEE9o</v>
      </c>
      <c r="AQ277" s="79" t="str">
        <f>HYPERLINK("http://xn--justlikea-owfa278fba2402ipda656caeacaeabae938823a.xn--6ii")</f>
        <v>http://xn--justlikea-owfa278fba2402ipda656caeacaeabae938823a.xn--6ii</v>
      </c>
      <c r="AR277" t="s">
        <v>4152</v>
      </c>
      <c r="AV277">
        <v>1.83653359728241E+18</v>
      </c>
      <c r="AW277" s="79" t="str">
        <f>HYPERLINK("https://t.co/s9x9puEE9o")</f>
        <v>https://t.co/s9x9puEE9o</v>
      </c>
      <c r="AX277" t="b">
        <v>0</v>
      </c>
      <c r="BA277" t="b">
        <v>0</v>
      </c>
      <c r="BB277" t="b">
        <v>0</v>
      </c>
      <c r="BC277" t="b">
        <v>1</v>
      </c>
      <c r="BD277" t="b">
        <v>0</v>
      </c>
      <c r="BE277" t="b">
        <v>1</v>
      </c>
      <c r="BF277" t="b">
        <v>0</v>
      </c>
      <c r="BG277" t="b">
        <v>0</v>
      </c>
      <c r="BH277" s="79" t="str">
        <f>HYPERLINK("https://pbs.twimg.com/profile_banners/1409713742108139522/1747332512")</f>
        <v>https://pbs.twimg.com/profile_banners/1409713742108139522/1747332512</v>
      </c>
      <c r="BJ277" t="s">
        <v>4320</v>
      </c>
      <c r="BK277" t="b">
        <v>0</v>
      </c>
      <c r="BM277" t="s">
        <v>66</v>
      </c>
      <c r="BN277" t="s">
        <v>4322</v>
      </c>
      <c r="BO277" s="79" t="str">
        <f>HYPERLINK("https://twitter.com/nrsefobia")</f>
        <v>https://twitter.com/nrsefobia</v>
      </c>
      <c r="BP277" s="112" t="str">
        <f>REPLACE(INDEX(GroupVertices[Group], MATCH("~"&amp;Vertices[[#This Row],[Vertex]],GroupVertices[Vertex],0)),1,1,"")</f>
        <v>191</v>
      </c>
      <c r="BQ277" s="2"/>
    </row>
    <row r="278" spans="1:69" x14ac:dyDescent="0.25">
      <c r="A278" s="61" t="s">
        <v>346</v>
      </c>
      <c r="B278" s="62"/>
      <c r="C278" s="62"/>
      <c r="D278" s="63">
        <v>1.5</v>
      </c>
      <c r="E278" s="65"/>
      <c r="F278" s="97" t="str">
        <f>HYPERLINK("https://pbs.twimg.com/profile_images/1749224352237645824/GKb77_bn_normal.jpg")</f>
        <v>https://pbs.twimg.com/profile_images/1749224352237645824/GKb77_bn_normal.jpg</v>
      </c>
      <c r="G278" s="62"/>
      <c r="H278" s="66"/>
      <c r="I278" s="67"/>
      <c r="J278" s="67"/>
      <c r="K278" s="66" t="s">
        <v>4567</v>
      </c>
      <c r="L278" s="70"/>
      <c r="M278" s="71">
        <v>7878.24951171875</v>
      </c>
      <c r="N278" s="71">
        <v>8282.400390625</v>
      </c>
      <c r="O278" s="72"/>
      <c r="P278" s="73"/>
      <c r="Q278" s="73"/>
      <c r="R278" s="81"/>
      <c r="S278" s="45">
        <v>0</v>
      </c>
      <c r="T278" s="45">
        <v>1</v>
      </c>
      <c r="U278" s="46">
        <v>0</v>
      </c>
      <c r="V278" s="46">
        <v>2.0960000000000002E-3</v>
      </c>
      <c r="W278" s="47"/>
      <c r="X278" s="47"/>
      <c r="Y278" s="47"/>
      <c r="Z278" s="46"/>
      <c r="AA278" s="68">
        <v>278</v>
      </c>
      <c r="AB278"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78" s="69"/>
      <c r="AD278" t="s">
        <v>2926</v>
      </c>
      <c r="AE278" s="77" t="s">
        <v>3278</v>
      </c>
      <c r="AF278">
        <v>69</v>
      </c>
      <c r="AG278">
        <v>223</v>
      </c>
      <c r="AH278">
        <v>8330</v>
      </c>
      <c r="AI278">
        <v>0</v>
      </c>
      <c r="AJ278">
        <v>2727</v>
      </c>
      <c r="AK278">
        <v>3311</v>
      </c>
      <c r="AL278" t="b">
        <v>0</v>
      </c>
      <c r="AM278" s="76">
        <v>40974.917939814812</v>
      </c>
      <c r="AO278" t="s">
        <v>3849</v>
      </c>
      <c r="AX278" t="b">
        <v>0</v>
      </c>
      <c r="BA278" t="b">
        <v>0</v>
      </c>
      <c r="BB278" t="b">
        <v>1</v>
      </c>
      <c r="BC278" t="b">
        <v>1</v>
      </c>
      <c r="BD278" t="b">
        <v>0</v>
      </c>
      <c r="BE278" t="b">
        <v>1</v>
      </c>
      <c r="BF278" t="b">
        <v>0</v>
      </c>
      <c r="BG278" t="b">
        <v>0</v>
      </c>
      <c r="BH278" s="79" t="str">
        <f>HYPERLINK("https://pbs.twimg.com/profile_banners/516934570/1705882611")</f>
        <v>https://pbs.twimg.com/profile_banners/516934570/1705882611</v>
      </c>
      <c r="BJ278" t="s">
        <v>4320</v>
      </c>
      <c r="BK278" t="b">
        <v>0</v>
      </c>
      <c r="BM278" t="s">
        <v>66</v>
      </c>
      <c r="BN278" t="s">
        <v>4322</v>
      </c>
      <c r="BO278" s="79" t="str">
        <f>HYPERLINK("https://twitter.com/paulagutierreze")</f>
        <v>https://twitter.com/paulagutierreze</v>
      </c>
      <c r="BP278" s="112" t="str">
        <f>REPLACE(INDEX(GroupVertices[Group], MATCH("~"&amp;Vertices[[#This Row],[Vertex]],GroupVertices[Vertex],0)),1,1,"")</f>
        <v>47</v>
      </c>
      <c r="BQ278" s="2"/>
    </row>
    <row r="279" spans="1:69" x14ac:dyDescent="0.25">
      <c r="A279" s="61" t="s">
        <v>618</v>
      </c>
      <c r="B279" s="62"/>
      <c r="C279" s="62"/>
      <c r="D279" s="63">
        <v>1.5</v>
      </c>
      <c r="E279" s="65"/>
      <c r="F279" s="97" t="str">
        <f>HYPERLINK("https://pbs.twimg.com/profile_images/1516960084072534016/UXiiXBm7_normal.png")</f>
        <v>https://pbs.twimg.com/profile_images/1516960084072534016/UXiiXBm7_normal.png</v>
      </c>
      <c r="G279" s="62"/>
      <c r="H279" s="66"/>
      <c r="I279" s="67"/>
      <c r="J279" s="67"/>
      <c r="K279" s="66" t="s">
        <v>4568</v>
      </c>
      <c r="L279" s="70"/>
      <c r="M279" s="71">
        <v>9076.5009765625</v>
      </c>
      <c r="N279" s="71">
        <v>6793.63671875</v>
      </c>
      <c r="O279" s="72"/>
      <c r="P279" s="73"/>
      <c r="Q279" s="73"/>
      <c r="R279" s="81"/>
      <c r="S279" s="45">
        <v>1</v>
      </c>
      <c r="T279" s="45">
        <v>0</v>
      </c>
      <c r="U279" s="46">
        <v>0</v>
      </c>
      <c r="V279" s="46">
        <v>2.0960000000000002E-3</v>
      </c>
      <c r="W279" s="47"/>
      <c r="X279" s="47"/>
      <c r="Y279" s="47"/>
      <c r="Z279" s="46"/>
      <c r="AA279" s="68">
        <v>279</v>
      </c>
      <c r="AB279"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79" s="69"/>
      <c r="AD279" t="s">
        <v>2927</v>
      </c>
      <c r="AE279" s="77" t="s">
        <v>2436</v>
      </c>
      <c r="AF279">
        <v>81010</v>
      </c>
      <c r="AG279">
        <v>1385</v>
      </c>
      <c r="AH279">
        <v>76068</v>
      </c>
      <c r="AI279">
        <v>268</v>
      </c>
      <c r="AJ279">
        <v>491</v>
      </c>
      <c r="AK279">
        <v>23329</v>
      </c>
      <c r="AL279" t="b">
        <v>0</v>
      </c>
      <c r="AM279" s="76">
        <v>44069.746319444443</v>
      </c>
      <c r="AN279" t="s">
        <v>3400</v>
      </c>
      <c r="AO279" t="s">
        <v>3850</v>
      </c>
      <c r="AP279" s="79" t="str">
        <f>HYPERLINK("https://t.co/x2XINJDB8J")</f>
        <v>https://t.co/x2XINJDB8J</v>
      </c>
      <c r="AQ279" s="79" t="str">
        <f>HYPERLINK("http://www.ex-ante.cl")</f>
        <v>http://www.ex-ante.cl</v>
      </c>
      <c r="AR279" t="s">
        <v>4153</v>
      </c>
      <c r="AW279" s="79" t="str">
        <f>HYPERLINK("https://t.co/x2XINJDB8J")</f>
        <v>https://t.co/x2XINJDB8J</v>
      </c>
      <c r="AX279" t="b">
        <v>1</v>
      </c>
      <c r="AZ279" t="b">
        <v>0</v>
      </c>
      <c r="BA279" t="b">
        <v>0</v>
      </c>
      <c r="BB279" t="b">
        <v>0</v>
      </c>
      <c r="BC279" t="b">
        <v>1</v>
      </c>
      <c r="BD279" t="b">
        <v>0</v>
      </c>
      <c r="BE279" t="b">
        <v>0</v>
      </c>
      <c r="BF279" t="b">
        <v>0</v>
      </c>
      <c r="BG279" t="b">
        <v>0</v>
      </c>
      <c r="BH279" s="79" t="str">
        <f>HYPERLINK("https://pbs.twimg.com/profile_banners/1298680144496939008/1650503376")</f>
        <v>https://pbs.twimg.com/profile_banners/1298680144496939008/1650503376</v>
      </c>
      <c r="BJ279" t="s">
        <v>4320</v>
      </c>
      <c r="BK279" t="b">
        <v>0</v>
      </c>
      <c r="BM279" t="s">
        <v>65</v>
      </c>
      <c r="BN279" t="s">
        <v>4322</v>
      </c>
      <c r="BO279" s="79" t="str">
        <f>HYPERLINK("https://twitter.com/exantecl")</f>
        <v>https://twitter.com/exantecl</v>
      </c>
      <c r="BP279" s="112" t="str">
        <f>REPLACE(INDEX(GroupVertices[Group], MATCH("~"&amp;Vertices[[#This Row],[Vertex]],GroupVertices[Vertex],0)),1,1,"")</f>
        <v>47</v>
      </c>
      <c r="BQ279" s="2"/>
    </row>
    <row r="280" spans="1:69" x14ac:dyDescent="0.25">
      <c r="A280" s="61" t="s">
        <v>348</v>
      </c>
      <c r="B280" s="62"/>
      <c r="C280" s="62"/>
      <c r="D280" s="63">
        <v>1.5</v>
      </c>
      <c r="E280" s="65"/>
      <c r="F280" s="97" t="str">
        <f>HYPERLINK("https://pbs.twimg.com/profile_images/1875739706052292608/CpVLKBoU_normal.jpg")</f>
        <v>https://pbs.twimg.com/profile_images/1875739706052292608/CpVLKBoU_normal.jpg</v>
      </c>
      <c r="G280" s="62"/>
      <c r="H280" s="66"/>
      <c r="I280" s="67"/>
      <c r="J280" s="67"/>
      <c r="K280" s="66" t="s">
        <v>4570</v>
      </c>
      <c r="L280" s="70"/>
      <c r="M280" s="71">
        <v>2274.666259765625</v>
      </c>
      <c r="N280" s="71">
        <v>3364.19091796875</v>
      </c>
      <c r="O280" s="72"/>
      <c r="P280" s="73"/>
      <c r="Q280" s="73"/>
      <c r="R280" s="81"/>
      <c r="S280" s="45">
        <v>1</v>
      </c>
      <c r="T280" s="45">
        <v>1</v>
      </c>
      <c r="U280" s="46">
        <v>0</v>
      </c>
      <c r="V280" s="46">
        <v>0</v>
      </c>
      <c r="W280" s="47"/>
      <c r="X280" s="47"/>
      <c r="Y280" s="47"/>
      <c r="Z280" s="46"/>
      <c r="AA280" s="68">
        <v>280</v>
      </c>
      <c r="AB280"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80" s="69"/>
      <c r="AD280" t="s">
        <v>2929</v>
      </c>
      <c r="AE280" s="77" t="s">
        <v>2582</v>
      </c>
      <c r="AF280">
        <v>12452</v>
      </c>
      <c r="AG280">
        <v>572</v>
      </c>
      <c r="AH280">
        <v>23429</v>
      </c>
      <c r="AI280">
        <v>20</v>
      </c>
      <c r="AJ280">
        <v>1538</v>
      </c>
      <c r="AK280">
        <v>9646</v>
      </c>
      <c r="AL280" t="b">
        <v>0</v>
      </c>
      <c r="AM280" s="76">
        <v>43682.674976851849</v>
      </c>
      <c r="AN280" t="s">
        <v>3453</v>
      </c>
      <c r="AO280" t="s">
        <v>3852</v>
      </c>
      <c r="AP280" s="79" t="str">
        <f>HYPERLINK("https://t.co/fMBn9Qtzur")</f>
        <v>https://t.co/fMBn9Qtzur</v>
      </c>
      <c r="AQ280" s="79" t="str">
        <f>HYPERLINK("http://www.antofagastaonline.cl")</f>
        <v>http://www.antofagastaonline.cl</v>
      </c>
      <c r="AR280" t="s">
        <v>1168</v>
      </c>
      <c r="AS280" s="79" t="str">
        <f>HYPERLINK("https://t.co/T69e49U4M0")</f>
        <v>https://t.co/T69e49U4M0</v>
      </c>
      <c r="AT280" s="79" t="str">
        <f>HYPERLINK("https://chat.whatsapp.com/JQTxteNGyfJJ1niwFCQrMb")</f>
        <v>https://chat.whatsapp.com/JQTxteNGyfJJ1niwFCQrMb</v>
      </c>
      <c r="AU280" t="s">
        <v>4299</v>
      </c>
      <c r="AW280" s="79" t="str">
        <f>HYPERLINK("https://t.co/fMBn9Qtzur")</f>
        <v>https://t.co/fMBn9Qtzur</v>
      </c>
      <c r="AX280" t="b">
        <v>1</v>
      </c>
      <c r="BA280" t="b">
        <v>0</v>
      </c>
      <c r="BB280" t="b">
        <v>1</v>
      </c>
      <c r="BC280" t="b">
        <v>1</v>
      </c>
      <c r="BD280" t="b">
        <v>0</v>
      </c>
      <c r="BE280" t="b">
        <v>1</v>
      </c>
      <c r="BF280" t="b">
        <v>0</v>
      </c>
      <c r="BG280" t="b">
        <v>0</v>
      </c>
      <c r="BH280" s="79" t="str">
        <f>HYPERLINK("https://pbs.twimg.com/profile_banners/1158410324007170053/1718919654")</f>
        <v>https://pbs.twimg.com/profile_banners/1158410324007170053/1718919654</v>
      </c>
      <c r="BJ280" t="s">
        <v>4320</v>
      </c>
      <c r="BK280" t="b">
        <v>0</v>
      </c>
      <c r="BM280" t="s">
        <v>66</v>
      </c>
      <c r="BN280" t="s">
        <v>4322</v>
      </c>
      <c r="BO280" s="79" t="str">
        <f>HYPERLINK("https://twitter.com/radioaftaonline")</f>
        <v>https://twitter.com/radioaftaonline</v>
      </c>
      <c r="BP280" s="112" t="str">
        <f>REPLACE(INDEX(GroupVertices[Group], MATCH("~"&amp;Vertices[[#This Row],[Vertex]],GroupVertices[Vertex],0)),1,1,"")</f>
        <v>190</v>
      </c>
      <c r="BQ280" s="2"/>
    </row>
    <row r="281" spans="1:69" x14ac:dyDescent="0.25">
      <c r="A281" s="61" t="s">
        <v>349</v>
      </c>
      <c r="B281" s="62"/>
      <c r="C281" s="62"/>
      <c r="D281" s="63">
        <v>1.5</v>
      </c>
      <c r="E281" s="65"/>
      <c r="F281" s="97" t="str">
        <f>HYPERLINK("https://pbs.twimg.com/profile_images/1898796549066330112/xLi84bhd_normal.jpg")</f>
        <v>https://pbs.twimg.com/profile_images/1898796549066330112/xLi84bhd_normal.jpg</v>
      </c>
      <c r="G281" s="62"/>
      <c r="H281" s="66"/>
      <c r="I281" s="67"/>
      <c r="J281" s="67"/>
      <c r="K281" s="66" t="s">
        <v>4571</v>
      </c>
      <c r="L281" s="70"/>
      <c r="M281" s="71">
        <v>9855.2138671875</v>
      </c>
      <c r="N281" s="71">
        <v>4231.66259765625</v>
      </c>
      <c r="O281" s="72"/>
      <c r="P281" s="73"/>
      <c r="Q281" s="73"/>
      <c r="R281" s="81"/>
      <c r="S281" s="45">
        <v>1</v>
      </c>
      <c r="T281" s="45">
        <v>1</v>
      </c>
      <c r="U281" s="46">
        <v>0</v>
      </c>
      <c r="V281" s="46">
        <v>0</v>
      </c>
      <c r="W281" s="47"/>
      <c r="X281" s="47"/>
      <c r="Y281" s="47"/>
      <c r="Z281" s="46"/>
      <c r="AA281" s="68">
        <v>281</v>
      </c>
      <c r="AB281"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0</v>
      </c>
      <c r="AC281" s="69"/>
      <c r="AD281" t="s">
        <v>2930</v>
      </c>
      <c r="AE281" s="77" t="s">
        <v>2583</v>
      </c>
      <c r="AF281">
        <v>182</v>
      </c>
      <c r="AG281">
        <v>247</v>
      </c>
      <c r="AH281">
        <v>33331</v>
      </c>
      <c r="AI281">
        <v>13</v>
      </c>
      <c r="AJ281">
        <v>22368</v>
      </c>
      <c r="AK281">
        <v>4206</v>
      </c>
      <c r="AL281" t="b">
        <v>0</v>
      </c>
      <c r="AM281" s="76">
        <v>45341.223229166666</v>
      </c>
      <c r="AN281" t="s">
        <v>3523</v>
      </c>
      <c r="AO281" t="s">
        <v>3853</v>
      </c>
      <c r="AP281" s="79" t="str">
        <f>HYPERLINK("https://t.co/y3L9kYgVa9")</f>
        <v>https://t.co/y3L9kYgVa9</v>
      </c>
      <c r="AQ281" s="79" t="str">
        <f>HYPERLINK("http://zeerecita.carrd.co")</f>
        <v>http://zeerecita.carrd.co</v>
      </c>
      <c r="AR281" t="s">
        <v>4154</v>
      </c>
      <c r="AV281">
        <v>1.92021697707264E+18</v>
      </c>
      <c r="AW281" s="79" t="str">
        <f>HYPERLINK("https://t.co/y3L9kYgVa9")</f>
        <v>https://t.co/y3L9kYgVa9</v>
      </c>
      <c r="AX281" t="b">
        <v>0</v>
      </c>
      <c r="BA281" t="b">
        <v>1</v>
      </c>
      <c r="BB281" t="b">
        <v>0</v>
      </c>
      <c r="BC281" t="b">
        <v>1</v>
      </c>
      <c r="BD281" t="b">
        <v>0</v>
      </c>
      <c r="BE281" t="b">
        <v>0</v>
      </c>
      <c r="BF281" t="b">
        <v>0</v>
      </c>
      <c r="BG281" t="b">
        <v>0</v>
      </c>
      <c r="BH281" s="79" t="str">
        <f>HYPERLINK("https://pbs.twimg.com/profile_banners/1759447980132683776/1728439789")</f>
        <v>https://pbs.twimg.com/profile_banners/1759447980132683776/1728439789</v>
      </c>
      <c r="BJ281" t="s">
        <v>4320</v>
      </c>
      <c r="BK281" t="b">
        <v>0</v>
      </c>
      <c r="BM281" t="s">
        <v>66</v>
      </c>
      <c r="BN281" t="s">
        <v>4322</v>
      </c>
      <c r="BO281" s="79" t="str">
        <f>HYPERLINK("https://twitter.com/zeerecitas")</f>
        <v>https://twitter.com/zeerecitas</v>
      </c>
      <c r="BP281" s="112" t="str">
        <f>REPLACE(INDEX(GroupVertices[Group], MATCH("~"&amp;Vertices[[#This Row],[Vertex]],GroupVertices[Vertex],0)),1,1,"")</f>
        <v>159</v>
      </c>
      <c r="BQ281" s="2"/>
    </row>
    <row r="282" spans="1:69" x14ac:dyDescent="0.25">
      <c r="A282" s="61" t="s">
        <v>350</v>
      </c>
      <c r="B282" s="62"/>
      <c r="C282" s="62"/>
      <c r="D282" s="63">
        <v>1.5</v>
      </c>
      <c r="E282" s="65"/>
      <c r="F282" s="97" t="str">
        <f>HYPERLINK("https://pbs.twimg.com/profile_images/1487513852409483267/yDxf-PxN_normal.jpg")</f>
        <v>https://pbs.twimg.com/profile_images/1487513852409483267/yDxf-PxN_normal.jpg</v>
      </c>
      <c r="G282" s="62"/>
      <c r="H282" s="66"/>
      <c r="I282" s="67"/>
      <c r="J282" s="67"/>
      <c r="K282" s="66" t="s">
        <v>4572</v>
      </c>
      <c r="L282" s="70"/>
      <c r="M282" s="71">
        <v>822.70806884765625</v>
      </c>
      <c r="N282" s="71">
        <v>4817.05712890625</v>
      </c>
      <c r="O282" s="72"/>
      <c r="P282" s="73"/>
      <c r="Q282" s="73"/>
      <c r="R282" s="81"/>
      <c r="S282" s="45">
        <v>0</v>
      </c>
      <c r="T282" s="45">
        <v>1</v>
      </c>
      <c r="U282" s="46">
        <v>0</v>
      </c>
      <c r="V282" s="46">
        <v>2.0960000000000002E-3</v>
      </c>
      <c r="W282" s="47"/>
      <c r="X282" s="47"/>
      <c r="Y282" s="47"/>
      <c r="Z282" s="46"/>
      <c r="AA282" s="68">
        <v>282</v>
      </c>
      <c r="AB282"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82" s="69"/>
      <c r="AD282" t="s">
        <v>2931</v>
      </c>
      <c r="AE282" s="77" t="s">
        <v>2584</v>
      </c>
      <c r="AF282">
        <v>304</v>
      </c>
      <c r="AG282">
        <v>801</v>
      </c>
      <c r="AH282">
        <v>4788</v>
      </c>
      <c r="AI282">
        <v>2</v>
      </c>
      <c r="AJ282">
        <v>4464</v>
      </c>
      <c r="AK282">
        <v>7</v>
      </c>
      <c r="AL282" t="b">
        <v>0</v>
      </c>
      <c r="AM282" s="76">
        <v>44590.820902777778</v>
      </c>
      <c r="AO282" t="s">
        <v>3854</v>
      </c>
      <c r="AX282" t="b">
        <v>0</v>
      </c>
      <c r="BA282" t="b">
        <v>0</v>
      </c>
      <c r="BB282" t="b">
        <v>1</v>
      </c>
      <c r="BC282" t="b">
        <v>1</v>
      </c>
      <c r="BD282" t="b">
        <v>0</v>
      </c>
      <c r="BE282" t="b">
        <v>0</v>
      </c>
      <c r="BF282" t="b">
        <v>0</v>
      </c>
      <c r="BG282" t="b">
        <v>0</v>
      </c>
      <c r="BJ282" t="s">
        <v>4320</v>
      </c>
      <c r="BK282" t="b">
        <v>0</v>
      </c>
      <c r="BM282" t="s">
        <v>66</v>
      </c>
      <c r="BN282" t="s">
        <v>4322</v>
      </c>
      <c r="BO282" s="79" t="str">
        <f>HYPERLINK("https://twitter.com/13barras5")</f>
        <v>https://twitter.com/13barras5</v>
      </c>
      <c r="BP282" s="112" t="str">
        <f>REPLACE(INDEX(GroupVertices[Group], MATCH("~"&amp;Vertices[[#This Row],[Vertex]],GroupVertices[Vertex],0)),1,1,"")</f>
        <v>59</v>
      </c>
      <c r="BQ282" s="2"/>
    </row>
    <row r="283" spans="1:69" x14ac:dyDescent="0.25">
      <c r="A283" s="61" t="s">
        <v>619</v>
      </c>
      <c r="B283" s="62"/>
      <c r="C283" s="62"/>
      <c r="D283" s="63">
        <v>1.5</v>
      </c>
      <c r="E283" s="65"/>
      <c r="F283" s="97" t="str">
        <f>HYPERLINK("https://pbs.twimg.com/profile_images/1915529661435543552/-rEO5XWm_normal.jpg")</f>
        <v>https://pbs.twimg.com/profile_images/1915529661435543552/-rEO5XWm_normal.jpg</v>
      </c>
      <c r="G283" s="62"/>
      <c r="H283" s="66"/>
      <c r="I283" s="67"/>
      <c r="J283" s="67"/>
      <c r="K283" s="66" t="s">
        <v>4573</v>
      </c>
      <c r="L283" s="70"/>
      <c r="M283" s="71">
        <v>1930.10693359375</v>
      </c>
      <c r="N283" s="71">
        <v>6765.1435546875</v>
      </c>
      <c r="O283" s="72"/>
      <c r="P283" s="73"/>
      <c r="Q283" s="73"/>
      <c r="R283" s="81"/>
      <c r="S283" s="45">
        <v>1</v>
      </c>
      <c r="T283" s="45">
        <v>0</v>
      </c>
      <c r="U283" s="46">
        <v>0</v>
      </c>
      <c r="V283" s="46">
        <v>2.0960000000000002E-3</v>
      </c>
      <c r="W283" s="47"/>
      <c r="X283" s="47"/>
      <c r="Y283" s="47"/>
      <c r="Z283" s="46"/>
      <c r="AA283" s="68">
        <v>283</v>
      </c>
      <c r="AB283"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83" s="69"/>
      <c r="AD283" t="s">
        <v>2932</v>
      </c>
      <c r="AE283" s="77" t="s">
        <v>2437</v>
      </c>
      <c r="AF283">
        <v>22923</v>
      </c>
      <c r="AG283">
        <v>326</v>
      </c>
      <c r="AH283">
        <v>1209</v>
      </c>
      <c r="AI283">
        <v>237</v>
      </c>
      <c r="AJ283">
        <v>57</v>
      </c>
      <c r="AK283">
        <v>517</v>
      </c>
      <c r="AL283" t="b">
        <v>0</v>
      </c>
      <c r="AM283" s="76">
        <v>45063.75508101852</v>
      </c>
      <c r="AN283" t="s">
        <v>1769</v>
      </c>
      <c r="AO283" t="s">
        <v>3855</v>
      </c>
      <c r="AP283" s="79" t="str">
        <f>HYPERLINK("https://t.co/pJQSCVHovw")</f>
        <v>https://t.co/pJQSCVHovw</v>
      </c>
      <c r="AQ283" s="79" t="str">
        <f>HYPERLINK("https://www.mpr.gob.es/Paginas/index.aspx")</f>
        <v>https://www.mpr.gob.es/Paginas/index.aspx</v>
      </c>
      <c r="AR283" t="s">
        <v>4155</v>
      </c>
      <c r="AW283" s="79" t="str">
        <f>HYPERLINK("https://t.co/pJQSCVHovw")</f>
        <v>https://t.co/pJQSCVHovw</v>
      </c>
      <c r="AX283" t="b">
        <v>0</v>
      </c>
      <c r="AZ283" t="b">
        <v>0</v>
      </c>
      <c r="BA283" t="b">
        <v>0</v>
      </c>
      <c r="BB283" t="b">
        <v>1</v>
      </c>
      <c r="BC283" t="b">
        <v>1</v>
      </c>
      <c r="BD283" t="b">
        <v>0</v>
      </c>
      <c r="BE283" t="b">
        <v>0</v>
      </c>
      <c r="BF283" t="b">
        <v>0</v>
      </c>
      <c r="BG283" t="b">
        <v>0</v>
      </c>
      <c r="BH283" s="79" t="str">
        <f>HYPERLINK("https://pbs.twimg.com/profile_banners/1658896750248173572/1743531047")</f>
        <v>https://pbs.twimg.com/profile_banners/1658896750248173572/1743531047</v>
      </c>
      <c r="BJ283" t="s">
        <v>4320</v>
      </c>
      <c r="BK283" t="b">
        <v>0</v>
      </c>
      <c r="BM283" t="s">
        <v>65</v>
      </c>
      <c r="BN283" t="s">
        <v>4322</v>
      </c>
      <c r="BO283" s="79" t="str">
        <f>HYPERLINK("https://twitter.com/felixbolanosg")</f>
        <v>https://twitter.com/felixbolanosg</v>
      </c>
      <c r="BP283" s="112" t="str">
        <f>REPLACE(INDEX(GroupVertices[Group], MATCH("~"&amp;Vertices[[#This Row],[Vertex]],GroupVertices[Vertex],0)),1,1,"")</f>
        <v>59</v>
      </c>
      <c r="BQ283" s="2"/>
    </row>
    <row r="284" spans="1:69" x14ac:dyDescent="0.25">
      <c r="A284" s="61" t="s">
        <v>351</v>
      </c>
      <c r="B284" s="62"/>
      <c r="C284" s="62"/>
      <c r="D284" s="63">
        <v>1.5</v>
      </c>
      <c r="E284" s="65"/>
      <c r="F284" s="97" t="str">
        <f>HYPERLINK("https://pbs.twimg.com/profile_images/1516600862818377733/B8yBPF_o_normal.jpg")</f>
        <v>https://pbs.twimg.com/profile_images/1516600862818377733/B8yBPF_o_normal.jpg</v>
      </c>
      <c r="G284" s="62"/>
      <c r="H284" s="66"/>
      <c r="I284" s="67"/>
      <c r="J284" s="67"/>
      <c r="K284" s="66" t="s">
        <v>4574</v>
      </c>
      <c r="L284" s="70"/>
      <c r="M284" s="71">
        <v>943.9049072265625</v>
      </c>
      <c r="N284" s="71">
        <v>1643.030517578125</v>
      </c>
      <c r="O284" s="72"/>
      <c r="P284" s="73"/>
      <c r="Q284" s="73"/>
      <c r="R284" s="81"/>
      <c r="S284" s="45">
        <v>1</v>
      </c>
      <c r="T284" s="45">
        <v>1</v>
      </c>
      <c r="U284" s="46">
        <v>0</v>
      </c>
      <c r="V284" s="46">
        <v>0</v>
      </c>
      <c r="W284" s="47"/>
      <c r="X284" s="47"/>
      <c r="Y284" s="47"/>
      <c r="Z284" s="46"/>
      <c r="AA284" s="68">
        <v>284</v>
      </c>
      <c r="AB284"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84" s="69"/>
      <c r="AD284" t="s">
        <v>2933</v>
      </c>
      <c r="AE284" s="77" t="s">
        <v>2585</v>
      </c>
      <c r="AF284">
        <v>429</v>
      </c>
      <c r="AG284">
        <v>1002</v>
      </c>
      <c r="AH284">
        <v>21698</v>
      </c>
      <c r="AI284">
        <v>1</v>
      </c>
      <c r="AJ284">
        <v>8554</v>
      </c>
      <c r="AK284">
        <v>502</v>
      </c>
      <c r="AL284" t="b">
        <v>0</v>
      </c>
      <c r="AM284" s="76">
        <v>42932.885763888888</v>
      </c>
      <c r="AN284" t="s">
        <v>3524</v>
      </c>
      <c r="AV284">
        <v>9.0372041142222003E+17</v>
      </c>
      <c r="AX284" t="b">
        <v>0</v>
      </c>
      <c r="BA284" t="b">
        <v>1</v>
      </c>
      <c r="BB284" t="b">
        <v>0</v>
      </c>
      <c r="BC284" t="b">
        <v>1</v>
      </c>
      <c r="BD284" t="b">
        <v>0</v>
      </c>
      <c r="BE284" t="b">
        <v>1</v>
      </c>
      <c r="BF284" t="b">
        <v>0</v>
      </c>
      <c r="BG284" t="b">
        <v>0</v>
      </c>
      <c r="BJ284" t="s">
        <v>4320</v>
      </c>
      <c r="BK284" t="b">
        <v>0</v>
      </c>
      <c r="BM284" t="s">
        <v>66</v>
      </c>
      <c r="BN284" t="s">
        <v>4322</v>
      </c>
      <c r="BO284" s="79" t="str">
        <f>HYPERLINK("https://twitter.com/paupaumcc")</f>
        <v>https://twitter.com/paupaumcc</v>
      </c>
      <c r="BP284" s="112" t="str">
        <f>REPLACE(INDEX(GroupVertices[Group], MATCH("~"&amp;Vertices[[#This Row],[Vertex]],GroupVertices[Vertex],0)),1,1,"")</f>
        <v>195</v>
      </c>
      <c r="BQ284" s="2"/>
    </row>
    <row r="285" spans="1:69" x14ac:dyDescent="0.25">
      <c r="A285" s="61" t="s">
        <v>352</v>
      </c>
      <c r="B285" s="62"/>
      <c r="C285" s="62"/>
      <c r="D285" s="63">
        <v>1.5</v>
      </c>
      <c r="E285" s="65"/>
      <c r="F285" s="97" t="str">
        <f>HYPERLINK("https://pbs.twimg.com/profile_images/1381157671999565824/JYac8wIo_normal.jpg")</f>
        <v>https://pbs.twimg.com/profile_images/1381157671999565824/JYac8wIo_normal.jpg</v>
      </c>
      <c r="G285" s="62"/>
      <c r="H285" s="66"/>
      <c r="I285" s="67"/>
      <c r="J285" s="67"/>
      <c r="K285" s="66" t="s">
        <v>4575</v>
      </c>
      <c r="L285" s="70"/>
      <c r="M285" s="71">
        <v>4823.25537109375</v>
      </c>
      <c r="N285" s="71">
        <v>4641.82958984375</v>
      </c>
      <c r="O285" s="72"/>
      <c r="P285" s="73"/>
      <c r="Q285" s="73"/>
      <c r="R285" s="81"/>
      <c r="S285" s="45">
        <v>0</v>
      </c>
      <c r="T285" s="45">
        <v>1</v>
      </c>
      <c r="U285" s="46">
        <v>0</v>
      </c>
      <c r="V285" s="46">
        <v>2.0960000000000002E-3</v>
      </c>
      <c r="W285" s="47"/>
      <c r="X285" s="47"/>
      <c r="Y285" s="47"/>
      <c r="Z285" s="46"/>
      <c r="AA285" s="68">
        <v>285</v>
      </c>
      <c r="AB285"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85" s="69"/>
      <c r="AD285" t="s">
        <v>2934</v>
      </c>
      <c r="AE285" s="77" t="s">
        <v>2586</v>
      </c>
      <c r="AF285">
        <v>441</v>
      </c>
      <c r="AG285">
        <v>1508</v>
      </c>
      <c r="AH285">
        <v>4370</v>
      </c>
      <c r="AI285">
        <v>1</v>
      </c>
      <c r="AJ285">
        <v>4064</v>
      </c>
      <c r="AK285">
        <v>78</v>
      </c>
      <c r="AL285" t="b">
        <v>0</v>
      </c>
      <c r="AM285" s="76">
        <v>44297.340219907404</v>
      </c>
      <c r="AX285" t="b">
        <v>0</v>
      </c>
      <c r="BA285" t="b">
        <v>0</v>
      </c>
      <c r="BB285" t="b">
        <v>1</v>
      </c>
      <c r="BC285" t="b">
        <v>1</v>
      </c>
      <c r="BD285" t="b">
        <v>0</v>
      </c>
      <c r="BE285" t="b">
        <v>1</v>
      </c>
      <c r="BF285" t="b">
        <v>0</v>
      </c>
      <c r="BG285" t="b">
        <v>0</v>
      </c>
      <c r="BJ285" t="s">
        <v>4320</v>
      </c>
      <c r="BK285" t="b">
        <v>0</v>
      </c>
      <c r="BM285" t="s">
        <v>66</v>
      </c>
      <c r="BN285" t="s">
        <v>4322</v>
      </c>
      <c r="BO285" s="79" t="str">
        <f>HYPERLINK("https://twitter.com/javierf06127749")</f>
        <v>https://twitter.com/javierf06127749</v>
      </c>
      <c r="BP285" s="112" t="str">
        <f>REPLACE(INDEX(GroupVertices[Group], MATCH("~"&amp;Vertices[[#This Row],[Vertex]],GroupVertices[Vertex],0)),1,1,"")</f>
        <v>44</v>
      </c>
      <c r="BQ285" s="2"/>
    </row>
    <row r="286" spans="1:69" x14ac:dyDescent="0.25">
      <c r="A286" s="61" t="s">
        <v>620</v>
      </c>
      <c r="B286" s="62"/>
      <c r="C286" s="62"/>
      <c r="D286" s="63">
        <v>1.5</v>
      </c>
      <c r="E286" s="65"/>
      <c r="F286" s="97" t="str">
        <f>HYPERLINK("https://pbs.twimg.com/profile_images/1244410833016442881/6bpce7JB_normal.jpg")</f>
        <v>https://pbs.twimg.com/profile_images/1244410833016442881/6bpce7JB_normal.jpg</v>
      </c>
      <c r="G286" s="62"/>
      <c r="H286" s="66"/>
      <c r="I286" s="67"/>
      <c r="J286" s="67"/>
      <c r="K286" s="66" t="s">
        <v>4576</v>
      </c>
      <c r="L286" s="70"/>
      <c r="M286" s="71">
        <v>5295.48583984375</v>
      </c>
      <c r="N286" s="71">
        <v>6292.34228515625</v>
      </c>
      <c r="O286" s="72"/>
      <c r="P286" s="73"/>
      <c r="Q286" s="73"/>
      <c r="R286" s="81"/>
      <c r="S286" s="45">
        <v>1</v>
      </c>
      <c r="T286" s="45">
        <v>0</v>
      </c>
      <c r="U286" s="46">
        <v>0</v>
      </c>
      <c r="V286" s="46">
        <v>2.0960000000000002E-3</v>
      </c>
      <c r="W286" s="47"/>
      <c r="X286" s="47"/>
      <c r="Y286" s="47"/>
      <c r="Z286" s="46"/>
      <c r="AA286" s="68">
        <v>286</v>
      </c>
      <c r="AB286"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86" s="69"/>
      <c r="AD286" t="s">
        <v>2935</v>
      </c>
      <c r="AE286" s="77" t="s">
        <v>2438</v>
      </c>
      <c r="AF286">
        <v>61223</v>
      </c>
      <c r="AG286">
        <v>8734</v>
      </c>
      <c r="AH286">
        <v>121834</v>
      </c>
      <c r="AI286">
        <v>18</v>
      </c>
      <c r="AJ286">
        <v>739695</v>
      </c>
      <c r="AK286">
        <v>12688</v>
      </c>
      <c r="AL286" t="b">
        <v>0</v>
      </c>
      <c r="AM286" s="76">
        <v>43919.661539351851</v>
      </c>
      <c r="AN286" t="s">
        <v>1769</v>
      </c>
      <c r="AO286" t="s">
        <v>3856</v>
      </c>
      <c r="AV286">
        <v>1.69736033580658E+18</v>
      </c>
      <c r="AX286" t="b">
        <v>1</v>
      </c>
      <c r="AZ286" t="b">
        <v>0</v>
      </c>
      <c r="BA286" t="b">
        <v>0</v>
      </c>
      <c r="BB286" t="b">
        <v>1</v>
      </c>
      <c r="BC286" t="b">
        <v>1</v>
      </c>
      <c r="BD286" t="b">
        <v>0</v>
      </c>
      <c r="BE286" t="b">
        <v>1</v>
      </c>
      <c r="BF286" t="b">
        <v>0</v>
      </c>
      <c r="BG286" t="b">
        <v>0</v>
      </c>
      <c r="BH286" s="79" t="str">
        <f>HYPERLINK("https://pbs.twimg.com/profile_banners/1244291337274437632/1585527979")</f>
        <v>https://pbs.twimg.com/profile_banners/1244291337274437632/1585527979</v>
      </c>
      <c r="BJ286" t="s">
        <v>4320</v>
      </c>
      <c r="BK286" t="b">
        <v>0</v>
      </c>
      <c r="BM286" t="s">
        <v>65</v>
      </c>
      <c r="BN286" t="s">
        <v>4322</v>
      </c>
      <c r="BO286" s="79" t="str">
        <f>HYPERLINK("https://twitter.com/tonosvj")</f>
        <v>https://twitter.com/tonosvj</v>
      </c>
      <c r="BP286" s="112" t="str">
        <f>REPLACE(INDEX(GroupVertices[Group], MATCH("~"&amp;Vertices[[#This Row],[Vertex]],GroupVertices[Vertex],0)),1,1,"")</f>
        <v>44</v>
      </c>
      <c r="BQ286" s="2"/>
    </row>
    <row r="287" spans="1:69" x14ac:dyDescent="0.25">
      <c r="A287" s="61" t="s">
        <v>353</v>
      </c>
      <c r="B287" s="62"/>
      <c r="C287" s="62"/>
      <c r="D287" s="63">
        <v>1.5</v>
      </c>
      <c r="E287" s="65"/>
      <c r="F287" s="97" t="str">
        <f>HYPERLINK("https://pbs.twimg.com/profile_images/1645900970864386050/-G4tTmld_normal.jpg")</f>
        <v>https://pbs.twimg.com/profile_images/1645900970864386050/-G4tTmld_normal.jpg</v>
      </c>
      <c r="G287" s="62"/>
      <c r="H287" s="66"/>
      <c r="I287" s="67"/>
      <c r="J287" s="67"/>
      <c r="K287" s="66" t="s">
        <v>4577</v>
      </c>
      <c r="L287" s="70"/>
      <c r="M287" s="71">
        <v>5578.3408203125</v>
      </c>
      <c r="N287" s="71">
        <v>8003.87646484375</v>
      </c>
      <c r="O287" s="72"/>
      <c r="P287" s="73"/>
      <c r="Q287" s="73"/>
      <c r="R287" s="81"/>
      <c r="S287" s="45">
        <v>2</v>
      </c>
      <c r="T287" s="45">
        <v>1</v>
      </c>
      <c r="U287" s="46">
        <v>0</v>
      </c>
      <c r="V287" s="46">
        <v>2.0960000000000002E-3</v>
      </c>
      <c r="W287" s="47"/>
      <c r="X287" s="47"/>
      <c r="Y287" s="47"/>
      <c r="Z287" s="46"/>
      <c r="AA287" s="68">
        <v>287</v>
      </c>
      <c r="AB287"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87" s="69"/>
      <c r="AD287" t="s">
        <v>2936</v>
      </c>
      <c r="AE287" s="77" t="s">
        <v>2587</v>
      </c>
      <c r="AF287">
        <v>180911</v>
      </c>
      <c r="AG287">
        <v>256</v>
      </c>
      <c r="AH287">
        <v>69647</v>
      </c>
      <c r="AI287">
        <v>204</v>
      </c>
      <c r="AJ287">
        <v>500614</v>
      </c>
      <c r="AK287">
        <v>21826</v>
      </c>
      <c r="AL287" t="b">
        <v>0</v>
      </c>
      <c r="AM287" s="76">
        <v>44152.55568287037</v>
      </c>
      <c r="AN287" t="s">
        <v>3525</v>
      </c>
      <c r="AO287" t="s">
        <v>3857</v>
      </c>
      <c r="AV287">
        <v>1.6771785795141701E+18</v>
      </c>
      <c r="AX287" t="b">
        <v>1</v>
      </c>
      <c r="BA287" t="b">
        <v>0</v>
      </c>
      <c r="BB287" t="b">
        <v>0</v>
      </c>
      <c r="BC287" t="b">
        <v>1</v>
      </c>
      <c r="BD287" t="b">
        <v>0</v>
      </c>
      <c r="BE287" t="b">
        <v>1</v>
      </c>
      <c r="BF287" t="b">
        <v>0</v>
      </c>
      <c r="BG287" t="b">
        <v>0</v>
      </c>
      <c r="BH287" s="79" t="str">
        <f>HYPERLINK("https://pbs.twimg.com/profile_banners/1328689321185062917/1658282338")</f>
        <v>https://pbs.twimg.com/profile_banners/1328689321185062917/1658282338</v>
      </c>
      <c r="BJ287" t="s">
        <v>4320</v>
      </c>
      <c r="BK287" t="b">
        <v>0</v>
      </c>
      <c r="BM287" t="s">
        <v>66</v>
      </c>
      <c r="BN287" t="s">
        <v>4322</v>
      </c>
      <c r="BO287" s="79" t="str">
        <f>HYPERLINK("https://twitter.com/rthur013")</f>
        <v>https://twitter.com/rthur013</v>
      </c>
      <c r="BP287" s="112" t="str">
        <f>REPLACE(INDEX(GroupVertices[Group], MATCH("~"&amp;Vertices[[#This Row],[Vertex]],GroupVertices[Vertex],0)),1,1,"")</f>
        <v>74</v>
      </c>
      <c r="BQ287" s="2"/>
    </row>
    <row r="288" spans="1:69" x14ac:dyDescent="0.25">
      <c r="A288" s="61" t="s">
        <v>354</v>
      </c>
      <c r="B288" s="62"/>
      <c r="C288" s="62"/>
      <c r="D288" s="63">
        <v>1.5</v>
      </c>
      <c r="E288" s="65"/>
      <c r="F288" s="97" t="str">
        <f>HYPERLINK("https://pbs.twimg.com/profile_images/1761981527146074112/whaFolLB_normal.jpg")</f>
        <v>https://pbs.twimg.com/profile_images/1761981527146074112/whaFolLB_normal.jpg</v>
      </c>
      <c r="G288" s="62"/>
      <c r="H288" s="66"/>
      <c r="I288" s="67"/>
      <c r="J288" s="67"/>
      <c r="K288" s="66" t="s">
        <v>4578</v>
      </c>
      <c r="L288" s="70"/>
      <c r="M288" s="71">
        <v>4453.26171875</v>
      </c>
      <c r="N288" s="71">
        <v>9398.4814453125</v>
      </c>
      <c r="O288" s="72"/>
      <c r="P288" s="73"/>
      <c r="Q288" s="73"/>
      <c r="R288" s="81"/>
      <c r="S288" s="45">
        <v>0</v>
      </c>
      <c r="T288" s="45">
        <v>1</v>
      </c>
      <c r="U288" s="46">
        <v>0</v>
      </c>
      <c r="V288" s="46">
        <v>2.0960000000000002E-3</v>
      </c>
      <c r="W288" s="47"/>
      <c r="X288" s="47"/>
      <c r="Y288" s="47"/>
      <c r="Z288" s="46"/>
      <c r="AA288" s="68">
        <v>288</v>
      </c>
      <c r="AB288"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88" s="69"/>
      <c r="AD288" t="s">
        <v>2937</v>
      </c>
      <c r="AE288" s="77" t="s">
        <v>2588</v>
      </c>
      <c r="AF288">
        <v>3135</v>
      </c>
      <c r="AG288">
        <v>1866</v>
      </c>
      <c r="AH288">
        <v>32188</v>
      </c>
      <c r="AI288">
        <v>9</v>
      </c>
      <c r="AJ288">
        <v>80987</v>
      </c>
      <c r="AK288">
        <v>18036</v>
      </c>
      <c r="AL288" t="b">
        <v>0</v>
      </c>
      <c r="AM288" s="76">
        <v>42492.221805555557</v>
      </c>
      <c r="AN288" t="s">
        <v>3526</v>
      </c>
      <c r="AO288" t="s">
        <v>3858</v>
      </c>
      <c r="AV288">
        <v>1.07108331961219E+18</v>
      </c>
      <c r="AX288" t="b">
        <v>1</v>
      </c>
      <c r="BA288" t="b">
        <v>1</v>
      </c>
      <c r="BB288" t="b">
        <v>0</v>
      </c>
      <c r="BC288" t="b">
        <v>0</v>
      </c>
      <c r="BD288" t="b">
        <v>0</v>
      </c>
      <c r="BE288" t="b">
        <v>1</v>
      </c>
      <c r="BF288" t="b">
        <v>0</v>
      </c>
      <c r="BG288" t="b">
        <v>0</v>
      </c>
      <c r="BH288" s="79" t="str">
        <f>HYPERLINK("https://pbs.twimg.com/profile_banners/727004541275672576/1708924064")</f>
        <v>https://pbs.twimg.com/profile_banners/727004541275672576/1708924064</v>
      </c>
      <c r="BJ288" t="s">
        <v>4320</v>
      </c>
      <c r="BK288" t="b">
        <v>0</v>
      </c>
      <c r="BM288" t="s">
        <v>66</v>
      </c>
      <c r="BN288" t="s">
        <v>4322</v>
      </c>
      <c r="BO288" s="79" t="str">
        <f>HYPERLINK("https://twitter.com/gabs11_11")</f>
        <v>https://twitter.com/gabs11_11</v>
      </c>
      <c r="BP288" s="112" t="str">
        <f>REPLACE(INDEX(GroupVertices[Group], MATCH("~"&amp;Vertices[[#This Row],[Vertex]],GroupVertices[Vertex],0)),1,1,"")</f>
        <v>74</v>
      </c>
      <c r="BQ288" s="2"/>
    </row>
    <row r="289" spans="1:69" x14ac:dyDescent="0.25">
      <c r="A289" s="61" t="s">
        <v>355</v>
      </c>
      <c r="B289" s="62"/>
      <c r="C289" s="62"/>
      <c r="D289" s="63">
        <v>1.5</v>
      </c>
      <c r="E289" s="65"/>
      <c r="F289" s="97" t="str">
        <f>HYPERLINK("https://pbs.twimg.com/profile_images/1672916979802423296/7PxhUeVI_normal.jpg")</f>
        <v>https://pbs.twimg.com/profile_images/1672916979802423296/7PxhUeVI_normal.jpg</v>
      </c>
      <c r="G289" s="62"/>
      <c r="H289" s="66"/>
      <c r="I289" s="67"/>
      <c r="J289" s="67"/>
      <c r="K289" s="66" t="s">
        <v>4579</v>
      </c>
      <c r="L289" s="70"/>
      <c r="M289" s="71">
        <v>9651.759765625</v>
      </c>
      <c r="N289" s="71">
        <v>2300.10986328125</v>
      </c>
      <c r="O289" s="72"/>
      <c r="P289" s="73"/>
      <c r="Q289" s="73"/>
      <c r="R289" s="81"/>
      <c r="S289" s="45">
        <v>1</v>
      </c>
      <c r="T289" s="45">
        <v>1</v>
      </c>
      <c r="U289" s="46">
        <v>0</v>
      </c>
      <c r="V289" s="46">
        <v>0</v>
      </c>
      <c r="W289" s="47"/>
      <c r="X289" s="47"/>
      <c r="Y289" s="47"/>
      <c r="Z289" s="46"/>
      <c r="AA289" s="68">
        <v>289</v>
      </c>
      <c r="AB289"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89" s="69"/>
      <c r="AD289" t="s">
        <v>2938</v>
      </c>
      <c r="AE289" s="77" t="s">
        <v>3280</v>
      </c>
      <c r="AF289">
        <v>2372</v>
      </c>
      <c r="AG289">
        <v>881</v>
      </c>
      <c r="AH289">
        <v>38258</v>
      </c>
      <c r="AI289">
        <v>27</v>
      </c>
      <c r="AJ289">
        <v>30425</v>
      </c>
      <c r="AK289">
        <v>2752</v>
      </c>
      <c r="AL289" t="b">
        <v>0</v>
      </c>
      <c r="AM289" s="76">
        <v>41519.736238425925</v>
      </c>
      <c r="AN289" t="s">
        <v>3430</v>
      </c>
      <c r="AO289" t="s">
        <v>3859</v>
      </c>
      <c r="AX289" t="b">
        <v>0</v>
      </c>
      <c r="BA289" t="b">
        <v>0</v>
      </c>
      <c r="BB289" t="b">
        <v>1</v>
      </c>
      <c r="BC289" t="b">
        <v>1</v>
      </c>
      <c r="BD289" t="b">
        <v>0</v>
      </c>
      <c r="BE289" t="b">
        <v>1</v>
      </c>
      <c r="BF289" t="b">
        <v>0</v>
      </c>
      <c r="BG289" t="b">
        <v>0</v>
      </c>
      <c r="BH289" s="79" t="str">
        <f>HYPERLINK("https://pbs.twimg.com/profile_banners/1723004564/1456092867")</f>
        <v>https://pbs.twimg.com/profile_banners/1723004564/1456092867</v>
      </c>
      <c r="BJ289" t="s">
        <v>4320</v>
      </c>
      <c r="BK289" t="b">
        <v>0</v>
      </c>
      <c r="BM289" t="s">
        <v>66</v>
      </c>
      <c r="BN289" t="s">
        <v>4322</v>
      </c>
      <c r="BO289" s="79" t="str">
        <f>HYPERLINK("https://twitter.com/elojoeneldedo")</f>
        <v>https://twitter.com/elojoeneldedo</v>
      </c>
      <c r="BP289" s="112" t="str">
        <f>REPLACE(INDEX(GroupVertices[Group], MATCH("~"&amp;Vertices[[#This Row],[Vertex]],GroupVertices[Vertex],0)),1,1,"")</f>
        <v>203</v>
      </c>
      <c r="BQ289" s="2"/>
    </row>
    <row r="290" spans="1:69" x14ac:dyDescent="0.25">
      <c r="A290" s="61" t="s">
        <v>356</v>
      </c>
      <c r="B290" s="62"/>
      <c r="C290" s="62"/>
      <c r="D290" s="63">
        <v>1.5</v>
      </c>
      <c r="E290" s="65"/>
      <c r="F290" s="97" t="str">
        <f>HYPERLINK("https://pbs.twimg.com/profile_images/1101211964414590976/9_pODYmW_normal.png")</f>
        <v>https://pbs.twimg.com/profile_images/1101211964414590976/9_pODYmW_normal.png</v>
      </c>
      <c r="G290" s="62"/>
      <c r="H290" s="66"/>
      <c r="I290" s="67"/>
      <c r="J290" s="67"/>
      <c r="K290" s="66" t="s">
        <v>4580</v>
      </c>
      <c r="L290" s="70"/>
      <c r="M290" s="71">
        <v>2136.47412109375</v>
      </c>
      <c r="N290" s="71">
        <v>5885.822265625</v>
      </c>
      <c r="O290" s="72"/>
      <c r="P290" s="73"/>
      <c r="Q290" s="73"/>
      <c r="R290" s="81"/>
      <c r="S290" s="45">
        <v>0</v>
      </c>
      <c r="T290" s="45">
        <v>1</v>
      </c>
      <c r="U290" s="46">
        <v>0</v>
      </c>
      <c r="V290" s="46">
        <v>2.0960000000000002E-3</v>
      </c>
      <c r="W290" s="47"/>
      <c r="X290" s="47"/>
      <c r="Y290" s="47"/>
      <c r="Z290" s="46"/>
      <c r="AA290" s="68">
        <v>290</v>
      </c>
      <c r="AB290"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90" s="69"/>
      <c r="AD290" t="s">
        <v>2939</v>
      </c>
      <c r="AE290" s="77" t="s">
        <v>2589</v>
      </c>
      <c r="AF290">
        <v>1037</v>
      </c>
      <c r="AG290">
        <v>774</v>
      </c>
      <c r="AH290">
        <v>977</v>
      </c>
      <c r="AI290">
        <v>2</v>
      </c>
      <c r="AJ290">
        <v>307</v>
      </c>
      <c r="AK290">
        <v>655</v>
      </c>
      <c r="AL290" t="b">
        <v>0</v>
      </c>
      <c r="AM290" s="76">
        <v>43495.843854166669</v>
      </c>
      <c r="AN290" t="s">
        <v>3527</v>
      </c>
      <c r="AO290" t="s">
        <v>3860</v>
      </c>
      <c r="AP290" s="79" t="str">
        <f>HYPERLINK("https://t.co/chv4gmJCkC")</f>
        <v>https://t.co/chv4gmJCkC</v>
      </c>
      <c r="AQ290" s="79" t="str">
        <f>HYPERLINK("http://www.reduca.cl")</f>
        <v>http://www.reduca.cl</v>
      </c>
      <c r="AR290" t="s">
        <v>1169</v>
      </c>
      <c r="AV290">
        <v>1.56430643528611E+18</v>
      </c>
      <c r="AW290" s="79" t="str">
        <f>HYPERLINK("https://t.co/chv4gmJCkC")</f>
        <v>https://t.co/chv4gmJCkC</v>
      </c>
      <c r="AX290" t="b">
        <v>0</v>
      </c>
      <c r="BA290" t="b">
        <v>0</v>
      </c>
      <c r="BB290" t="b">
        <v>1</v>
      </c>
      <c r="BC290" t="b">
        <v>1</v>
      </c>
      <c r="BD290" t="b">
        <v>0</v>
      </c>
      <c r="BE290" t="b">
        <v>0</v>
      </c>
      <c r="BF290" t="b">
        <v>0</v>
      </c>
      <c r="BG290" t="b">
        <v>0</v>
      </c>
      <c r="BH290" s="79" t="str">
        <f>HYPERLINK("https://pbs.twimg.com/profile_banners/1090704993752178691/1551384619")</f>
        <v>https://pbs.twimg.com/profile_banners/1090704993752178691/1551384619</v>
      </c>
      <c r="BJ290" t="s">
        <v>4320</v>
      </c>
      <c r="BK290" t="b">
        <v>0</v>
      </c>
      <c r="BM290" t="s">
        <v>66</v>
      </c>
      <c r="BN290" t="s">
        <v>4322</v>
      </c>
      <c r="BO290" s="79" t="str">
        <f>HYPERLINK("https://twitter.com/reduca_cl")</f>
        <v>https://twitter.com/reduca_cl</v>
      </c>
      <c r="BP290" s="112" t="str">
        <f>REPLACE(INDEX(GroupVertices[Group], MATCH("~"&amp;Vertices[[#This Row],[Vertex]],GroupVertices[Vertex],0)),1,1,"")</f>
        <v>100</v>
      </c>
      <c r="BQ290" s="2"/>
    </row>
    <row r="291" spans="1:69" x14ac:dyDescent="0.25">
      <c r="A291" s="61" t="s">
        <v>621</v>
      </c>
      <c r="B291" s="62"/>
      <c r="C291" s="62"/>
      <c r="D291" s="63">
        <v>1.5</v>
      </c>
      <c r="E291" s="65"/>
      <c r="F291" s="97" t="str">
        <f>HYPERLINK("https://pbs.twimg.com/profile_images/1925614282198200320/UkTayduA_normal.jpg")</f>
        <v>https://pbs.twimg.com/profile_images/1925614282198200320/UkTayduA_normal.jpg</v>
      </c>
      <c r="G291" s="62"/>
      <c r="H291" s="66"/>
      <c r="I291" s="67"/>
      <c r="J291" s="67"/>
      <c r="K291" s="66" t="s">
        <v>4581</v>
      </c>
      <c r="L291" s="70"/>
      <c r="M291" s="71">
        <v>786.1448974609375</v>
      </c>
      <c r="N291" s="71">
        <v>3355.302978515625</v>
      </c>
      <c r="O291" s="72"/>
      <c r="P291" s="73"/>
      <c r="Q291" s="73"/>
      <c r="R291" s="81"/>
      <c r="S291" s="45">
        <v>1</v>
      </c>
      <c r="T291" s="45">
        <v>0</v>
      </c>
      <c r="U291" s="46">
        <v>0</v>
      </c>
      <c r="V291" s="46">
        <v>2.0960000000000002E-3</v>
      </c>
      <c r="W291" s="47"/>
      <c r="X291" s="47"/>
      <c r="Y291" s="47"/>
      <c r="Z291" s="46"/>
      <c r="AA291" s="68">
        <v>291</v>
      </c>
      <c r="AB291"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91" s="69"/>
      <c r="AD291" t="s">
        <v>2940</v>
      </c>
      <c r="AE291" s="77" t="s">
        <v>3281</v>
      </c>
      <c r="AF291">
        <v>31035</v>
      </c>
      <c r="AG291">
        <v>4961</v>
      </c>
      <c r="AH291">
        <v>56995</v>
      </c>
      <c r="AI291">
        <v>161</v>
      </c>
      <c r="AJ291">
        <v>1756</v>
      </c>
      <c r="AK291">
        <v>13224</v>
      </c>
      <c r="AL291" t="b">
        <v>0</v>
      </c>
      <c r="AM291" s="76">
        <v>39659.688136574077</v>
      </c>
      <c r="AN291" t="s">
        <v>3527</v>
      </c>
      <c r="AO291" t="s">
        <v>3861</v>
      </c>
      <c r="AP291" s="79" t="str">
        <f>HYPERLINK("https://t.co/VYRp0YPP18")</f>
        <v>https://t.co/VYRp0YPP18</v>
      </c>
      <c r="AQ291" s="79" t="str">
        <f>HYPERLINK("http://www.penalolen.cl")</f>
        <v>http://www.penalolen.cl</v>
      </c>
      <c r="AR291" t="s">
        <v>4156</v>
      </c>
      <c r="AW291" s="79" t="str">
        <f>HYPERLINK("https://t.co/VYRp0YPP18")</f>
        <v>https://t.co/VYRp0YPP18</v>
      </c>
      <c r="AX291" t="b">
        <v>1</v>
      </c>
      <c r="AZ291" t="b">
        <v>0</v>
      </c>
      <c r="BA291" t="b">
        <v>0</v>
      </c>
      <c r="BB291" t="b">
        <v>1</v>
      </c>
      <c r="BC291" t="b">
        <v>0</v>
      </c>
      <c r="BD291" t="b">
        <v>0</v>
      </c>
      <c r="BE291" t="b">
        <v>1</v>
      </c>
      <c r="BF291" t="b">
        <v>0</v>
      </c>
      <c r="BG291" t="b">
        <v>0</v>
      </c>
      <c r="BH291" s="79" t="str">
        <f>HYPERLINK("https://pbs.twimg.com/profile_banners/15662312/1743368792")</f>
        <v>https://pbs.twimg.com/profile_banners/15662312/1743368792</v>
      </c>
      <c r="BJ291" t="s">
        <v>4320</v>
      </c>
      <c r="BK291" t="b">
        <v>0</v>
      </c>
      <c r="BM291" t="s">
        <v>65</v>
      </c>
      <c r="BN291" t="s">
        <v>4322</v>
      </c>
      <c r="BO291" s="79" t="str">
        <f>HYPERLINK("https://twitter.com/penalolen")</f>
        <v>https://twitter.com/penalolen</v>
      </c>
      <c r="BP291" s="112" t="str">
        <f>REPLACE(INDEX(GroupVertices[Group], MATCH("~"&amp;Vertices[[#This Row],[Vertex]],GroupVertices[Vertex],0)),1,1,"")</f>
        <v>100</v>
      </c>
      <c r="BQ291" s="2"/>
    </row>
    <row r="292" spans="1:69" x14ac:dyDescent="0.25">
      <c r="A292" s="61" t="s">
        <v>357</v>
      </c>
      <c r="B292" s="62"/>
      <c r="C292" s="62"/>
      <c r="D292" s="63">
        <v>1.5</v>
      </c>
      <c r="E292" s="65"/>
      <c r="F292" s="97" t="str">
        <f>HYPERLINK("https://pbs.twimg.com/profile_images/1840590689727340544/yn8E7wJd_normal.jpg")</f>
        <v>https://pbs.twimg.com/profile_images/1840590689727340544/yn8E7wJd_normal.jpg</v>
      </c>
      <c r="G292" s="62"/>
      <c r="H292" s="66"/>
      <c r="I292" s="67"/>
      <c r="J292" s="67"/>
      <c r="K292" s="66" t="s">
        <v>4582</v>
      </c>
      <c r="L292" s="70"/>
      <c r="M292" s="71">
        <v>4260.61865234375</v>
      </c>
      <c r="N292" s="71">
        <v>9756.0791015625</v>
      </c>
      <c r="O292" s="72"/>
      <c r="P292" s="73"/>
      <c r="Q292" s="73"/>
      <c r="R292" s="81"/>
      <c r="S292" s="45">
        <v>0</v>
      </c>
      <c r="T292" s="45">
        <v>1</v>
      </c>
      <c r="U292" s="46">
        <v>0</v>
      </c>
      <c r="V292" s="46">
        <v>2.0960000000000002E-3</v>
      </c>
      <c r="W292" s="47"/>
      <c r="X292" s="47"/>
      <c r="Y292" s="47"/>
      <c r="Z292" s="46"/>
      <c r="AA292" s="68">
        <v>292</v>
      </c>
      <c r="AB292"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92" s="69"/>
      <c r="AD292" t="s">
        <v>2941</v>
      </c>
      <c r="AE292" s="77" t="s">
        <v>2590</v>
      </c>
      <c r="AF292">
        <v>54</v>
      </c>
      <c r="AG292">
        <v>49</v>
      </c>
      <c r="AH292">
        <v>14430</v>
      </c>
      <c r="AI292">
        <v>0</v>
      </c>
      <c r="AJ292">
        <v>24321</v>
      </c>
      <c r="AK292">
        <v>1</v>
      </c>
      <c r="AL292" t="b">
        <v>0</v>
      </c>
      <c r="AM292" s="76">
        <v>45477.955671296295</v>
      </c>
      <c r="AX292" t="b">
        <v>0</v>
      </c>
      <c r="BA292" t="b">
        <v>0</v>
      </c>
      <c r="BB292" t="b">
        <v>1</v>
      </c>
      <c r="BC292" t="b">
        <v>1</v>
      </c>
      <c r="BD292" t="b">
        <v>0</v>
      </c>
      <c r="BE292" t="b">
        <v>0</v>
      </c>
      <c r="BF292" t="b">
        <v>0</v>
      </c>
      <c r="BG292" t="b">
        <v>0</v>
      </c>
      <c r="BJ292" t="s">
        <v>4320</v>
      </c>
      <c r="BK292" t="b">
        <v>0</v>
      </c>
      <c r="BM292" t="s">
        <v>66</v>
      </c>
      <c r="BN292" t="s">
        <v>4322</v>
      </c>
      <c r="BO292" s="79" t="str">
        <f>HYPERLINK("https://twitter.com/jm815699")</f>
        <v>https://twitter.com/jm815699</v>
      </c>
      <c r="BP292" s="112" t="str">
        <f>REPLACE(INDEX(GroupVertices[Group], MATCH("~"&amp;Vertices[[#This Row],[Vertex]],GroupVertices[Vertex],0)),1,1,"")</f>
        <v>57</v>
      </c>
      <c r="BQ292" s="2"/>
    </row>
    <row r="293" spans="1:69" x14ac:dyDescent="0.25">
      <c r="A293" s="61" t="s">
        <v>622</v>
      </c>
      <c r="B293" s="62"/>
      <c r="C293" s="62"/>
      <c r="D293" s="63">
        <v>1.5</v>
      </c>
      <c r="E293" s="65"/>
      <c r="F293" s="97" t="str">
        <f>HYPERLINK("https://pbs.twimg.com/profile_images/1589556032757440512/BkmUsxmC_normal.jpg")</f>
        <v>https://pbs.twimg.com/profile_images/1589556032757440512/BkmUsxmC_normal.jpg</v>
      </c>
      <c r="G293" s="62"/>
      <c r="H293" s="66"/>
      <c r="I293" s="67"/>
      <c r="J293" s="67"/>
      <c r="K293" s="66" t="s">
        <v>4583</v>
      </c>
      <c r="L293" s="70"/>
      <c r="M293" s="71">
        <v>4634.3701171875</v>
      </c>
      <c r="N293" s="71">
        <v>9095.0458984375</v>
      </c>
      <c r="O293" s="72"/>
      <c r="P293" s="73"/>
      <c r="Q293" s="73"/>
      <c r="R293" s="81"/>
      <c r="S293" s="45">
        <v>1</v>
      </c>
      <c r="T293" s="45">
        <v>0</v>
      </c>
      <c r="U293" s="46">
        <v>0</v>
      </c>
      <c r="V293" s="46">
        <v>2.0960000000000002E-3</v>
      </c>
      <c r="W293" s="47"/>
      <c r="X293" s="47"/>
      <c r="Y293" s="47"/>
      <c r="Z293" s="46"/>
      <c r="AA293" s="68">
        <v>293</v>
      </c>
      <c r="AB293"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93" s="69"/>
      <c r="AD293" t="s">
        <v>2942</v>
      </c>
      <c r="AE293" s="77" t="s">
        <v>2439</v>
      </c>
      <c r="AF293">
        <v>96120</v>
      </c>
      <c r="AG293">
        <v>5497</v>
      </c>
      <c r="AH293">
        <v>170806</v>
      </c>
      <c r="AI293">
        <v>149</v>
      </c>
      <c r="AJ293">
        <v>173372</v>
      </c>
      <c r="AK293">
        <v>11441</v>
      </c>
      <c r="AL293" t="b">
        <v>0</v>
      </c>
      <c r="AM293" s="76">
        <v>40214.064988425926</v>
      </c>
      <c r="AN293" t="s">
        <v>3415</v>
      </c>
      <c r="AO293" t="s">
        <v>3862</v>
      </c>
      <c r="AP293" s="79" t="str">
        <f>HYPERLINK("https://t.co/3nngy0wMFk")</f>
        <v>https://t.co/3nngy0wMFk</v>
      </c>
      <c r="AQ293" s="79" t="str">
        <f>HYPERLINK("https://conxiones.com/funesta")</f>
        <v>https://conxiones.com/funesta</v>
      </c>
      <c r="AR293" t="s">
        <v>4157</v>
      </c>
      <c r="AV293">
        <v>1.1446140090161201E+18</v>
      </c>
      <c r="AW293" s="79" t="str">
        <f>HYPERLINK("https://t.co/3nngy0wMFk")</f>
        <v>https://t.co/3nngy0wMFk</v>
      </c>
      <c r="AX293" t="b">
        <v>1</v>
      </c>
      <c r="AZ293" t="b">
        <v>0</v>
      </c>
      <c r="BA293" t="b">
        <v>1</v>
      </c>
      <c r="BB293" t="b">
        <v>0</v>
      </c>
      <c r="BC293" t="b">
        <v>0</v>
      </c>
      <c r="BD293" t="b">
        <v>0</v>
      </c>
      <c r="BE293" t="b">
        <v>1</v>
      </c>
      <c r="BF293" t="b">
        <v>0</v>
      </c>
      <c r="BG293" t="b">
        <v>0</v>
      </c>
      <c r="BH293" s="79" t="str">
        <f>HYPERLINK("https://pbs.twimg.com/profile_banners/111469750/1705529354")</f>
        <v>https://pbs.twimg.com/profile_banners/111469750/1705529354</v>
      </c>
      <c r="BJ293" t="s">
        <v>4320</v>
      </c>
      <c r="BK293" t="b">
        <v>0</v>
      </c>
      <c r="BM293" t="s">
        <v>65</v>
      </c>
      <c r="BN293" t="s">
        <v>4322</v>
      </c>
      <c r="BO293" s="79" t="str">
        <f>HYPERLINK("https://twitter.com/funesta")</f>
        <v>https://twitter.com/funesta</v>
      </c>
      <c r="BP293" s="112" t="str">
        <f>REPLACE(INDEX(GroupVertices[Group], MATCH("~"&amp;Vertices[[#This Row],[Vertex]],GroupVertices[Vertex],0)),1,1,"")</f>
        <v>57</v>
      </c>
      <c r="BQ293" s="2"/>
    </row>
    <row r="294" spans="1:69" x14ac:dyDescent="0.25">
      <c r="A294" s="61" t="s">
        <v>358</v>
      </c>
      <c r="B294" s="62"/>
      <c r="C294" s="62"/>
      <c r="D294" s="63">
        <v>1.5</v>
      </c>
      <c r="E294" s="65"/>
      <c r="F294" s="97" t="str">
        <f>HYPERLINK("https://pbs.twimg.com/profile_images/1838558301740572672/9l3Yne36_normal.jpg")</f>
        <v>https://pbs.twimg.com/profile_images/1838558301740572672/9l3Yne36_normal.jpg</v>
      </c>
      <c r="G294" s="62"/>
      <c r="H294" s="66"/>
      <c r="I294" s="67"/>
      <c r="J294" s="67"/>
      <c r="K294" s="66" t="s">
        <v>4584</v>
      </c>
      <c r="L294" s="70"/>
      <c r="M294" s="71">
        <v>5035.3095703125</v>
      </c>
      <c r="N294" s="71">
        <v>1728.989990234375</v>
      </c>
      <c r="O294" s="72"/>
      <c r="P294" s="73"/>
      <c r="Q294" s="73"/>
      <c r="R294" s="81"/>
      <c r="S294" s="45">
        <v>1</v>
      </c>
      <c r="T294" s="45">
        <v>1</v>
      </c>
      <c r="U294" s="46">
        <v>0</v>
      </c>
      <c r="V294" s="46">
        <v>0</v>
      </c>
      <c r="W294" s="47"/>
      <c r="X294" s="47"/>
      <c r="Y294" s="47"/>
      <c r="Z294" s="46"/>
      <c r="AA294" s="68">
        <v>294</v>
      </c>
      <c r="AB294"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94" s="69"/>
      <c r="AD294" t="s">
        <v>2943</v>
      </c>
      <c r="AE294" s="77" t="s">
        <v>3282</v>
      </c>
      <c r="AF294">
        <v>107565</v>
      </c>
      <c r="AG294">
        <v>1</v>
      </c>
      <c r="AH294">
        <v>1640</v>
      </c>
      <c r="AI294">
        <v>211</v>
      </c>
      <c r="AJ294">
        <v>20</v>
      </c>
      <c r="AK294">
        <v>1327</v>
      </c>
      <c r="AL294" t="b">
        <v>0</v>
      </c>
      <c r="AM294" s="76">
        <v>41372.68178240741</v>
      </c>
      <c r="AN294" t="s">
        <v>3528</v>
      </c>
      <c r="AO294" t="s">
        <v>3863</v>
      </c>
      <c r="AP294" s="79" t="str">
        <f>HYPERLINK("https://t.co/g0N2scy1LO")</f>
        <v>https://t.co/g0N2scy1LO</v>
      </c>
      <c r="AQ294" s="79" t="str">
        <f>HYPERLINK("https://ntdo.com/6010fU5aY")</f>
        <v>https://ntdo.com/6010fU5aY</v>
      </c>
      <c r="AR294" t="s">
        <v>4158</v>
      </c>
      <c r="AS294" s="79" t="str">
        <f>HYPERLINK("https://t.co/JdAHI2bnXE")</f>
        <v>https://t.co/JdAHI2bnXE</v>
      </c>
      <c r="AT294" s="79" t="str">
        <f>HYPERLINK("https://ntdo.com/6017fUd")</f>
        <v>https://ntdo.com/6017fUd</v>
      </c>
      <c r="AU294" t="s">
        <v>4300</v>
      </c>
      <c r="AW294" s="79" t="str">
        <f>HYPERLINK("https://t.co/g0N2scy1LO")</f>
        <v>https://t.co/g0N2scy1LO</v>
      </c>
      <c r="AX294" t="b">
        <v>0</v>
      </c>
      <c r="BA294" t="b">
        <v>0</v>
      </c>
      <c r="BB294" t="b">
        <v>1</v>
      </c>
      <c r="BC294" t="b">
        <v>0</v>
      </c>
      <c r="BD294" t="b">
        <v>0</v>
      </c>
      <c r="BE294" t="b">
        <v>0</v>
      </c>
      <c r="BF294" t="b">
        <v>0</v>
      </c>
      <c r="BG294" t="b">
        <v>0</v>
      </c>
      <c r="BH294" s="79" t="str">
        <f>HYPERLINK("https://pbs.twimg.com/profile_banners/1337043620/1727181434")</f>
        <v>https://pbs.twimg.com/profile_banners/1337043620/1727181434</v>
      </c>
      <c r="BJ294" t="s">
        <v>4320</v>
      </c>
      <c r="BK294" t="b">
        <v>0</v>
      </c>
      <c r="BM294" t="s">
        <v>66</v>
      </c>
      <c r="BN294" t="s">
        <v>4322</v>
      </c>
      <c r="BO294" s="79" t="str">
        <f>HYPERLINK("https://twitter.com/ac_canela")</f>
        <v>https://twitter.com/ac_canela</v>
      </c>
      <c r="BP294" s="112" t="str">
        <f>REPLACE(INDEX(GroupVertices[Group], MATCH("~"&amp;Vertices[[#This Row],[Vertex]],GroupVertices[Vertex],0)),1,1,"")</f>
        <v>209</v>
      </c>
      <c r="BQ294" s="2"/>
    </row>
    <row r="295" spans="1:69" x14ac:dyDescent="0.25">
      <c r="A295" s="61" t="s">
        <v>359</v>
      </c>
      <c r="B295" s="62"/>
      <c r="C295" s="62"/>
      <c r="D295" s="63">
        <v>1.5</v>
      </c>
      <c r="E295" s="65"/>
      <c r="F295" s="97" t="str">
        <f>HYPERLINK("https://pbs.twimg.com/profile_images/1248819808642138112/d1onf_3__normal.jpg")</f>
        <v>https://pbs.twimg.com/profile_images/1248819808642138112/d1onf_3__normal.jpg</v>
      </c>
      <c r="G295" s="62"/>
      <c r="H295" s="66"/>
      <c r="I295" s="67"/>
      <c r="J295" s="67"/>
      <c r="K295" s="66" t="s">
        <v>4585</v>
      </c>
      <c r="L295" s="70"/>
      <c r="M295" s="71">
        <v>9212.78515625</v>
      </c>
      <c r="N295" s="71">
        <v>4973.7431640625</v>
      </c>
      <c r="O295" s="72"/>
      <c r="P295" s="73"/>
      <c r="Q295" s="73"/>
      <c r="R295" s="81"/>
      <c r="S295" s="45">
        <v>1</v>
      </c>
      <c r="T295" s="45">
        <v>1</v>
      </c>
      <c r="U295" s="46">
        <v>0</v>
      </c>
      <c r="V295" s="46">
        <v>0</v>
      </c>
      <c r="W295" s="47"/>
      <c r="X295" s="47"/>
      <c r="Y295" s="47"/>
      <c r="Z295" s="46"/>
      <c r="AA295" s="68">
        <v>295</v>
      </c>
      <c r="AB295"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95" s="69"/>
      <c r="AD295" t="s">
        <v>2944</v>
      </c>
      <c r="AE295" s="77" t="s">
        <v>2591</v>
      </c>
      <c r="AF295">
        <v>30</v>
      </c>
      <c r="AG295">
        <v>288</v>
      </c>
      <c r="AH295">
        <v>1381</v>
      </c>
      <c r="AI295">
        <v>1</v>
      </c>
      <c r="AJ295">
        <v>2407</v>
      </c>
      <c r="AK295">
        <v>20</v>
      </c>
      <c r="AL295" t="b">
        <v>0</v>
      </c>
      <c r="AM295" s="76">
        <v>43932.156666666669</v>
      </c>
      <c r="AN295" t="s">
        <v>3529</v>
      </c>
      <c r="AO295" t="s">
        <v>3864</v>
      </c>
      <c r="AV295">
        <v>1.8079796646080399E+18</v>
      </c>
      <c r="AX295" t="b">
        <v>0</v>
      </c>
      <c r="BA295" t="b">
        <v>0</v>
      </c>
      <c r="BB295" t="b">
        <v>1</v>
      </c>
      <c r="BC295" t="b">
        <v>1</v>
      </c>
      <c r="BD295" t="b">
        <v>0</v>
      </c>
      <c r="BE295" t="b">
        <v>1</v>
      </c>
      <c r="BF295" t="b">
        <v>0</v>
      </c>
      <c r="BG295" t="b">
        <v>0</v>
      </c>
      <c r="BH295" s="79" t="str">
        <f>HYPERLINK("https://pbs.twimg.com/profile_banners/1248819394920222722/1718484090")</f>
        <v>https://pbs.twimg.com/profile_banners/1248819394920222722/1718484090</v>
      </c>
      <c r="BJ295" t="s">
        <v>4320</v>
      </c>
      <c r="BK295" t="b">
        <v>0</v>
      </c>
      <c r="BM295" t="s">
        <v>66</v>
      </c>
      <c r="BN295" t="s">
        <v>4322</v>
      </c>
      <c r="BO295" s="79" t="str">
        <f>HYPERLINK("https://twitter.com/c_verasaldivia")</f>
        <v>https://twitter.com/c_verasaldivia</v>
      </c>
      <c r="BP295" s="112" t="str">
        <f>REPLACE(INDEX(GroupVertices[Group], MATCH("~"&amp;Vertices[[#This Row],[Vertex]],GroupVertices[Vertex],0)),1,1,"")</f>
        <v>116</v>
      </c>
      <c r="BQ295" s="2"/>
    </row>
    <row r="296" spans="1:69" x14ac:dyDescent="0.25">
      <c r="A296" s="61" t="s">
        <v>361</v>
      </c>
      <c r="B296" s="62"/>
      <c r="C296" s="62"/>
      <c r="D296" s="63">
        <v>1.5</v>
      </c>
      <c r="E296" s="65"/>
      <c r="F296" s="97" t="str">
        <f>HYPERLINK("https://pbs.twimg.com/profile_images/1530649160/184767_1908800483264_1339386563_2217898_3155795_n_normal.jpg")</f>
        <v>https://pbs.twimg.com/profile_images/1530649160/184767_1908800483264_1339386563_2217898_3155795_n_normal.jpg</v>
      </c>
      <c r="G296" s="62"/>
      <c r="H296" s="66"/>
      <c r="I296" s="67"/>
      <c r="J296" s="67"/>
      <c r="K296" s="66" t="s">
        <v>4587</v>
      </c>
      <c r="L296" s="70"/>
      <c r="M296" s="71">
        <v>7650.68505859375</v>
      </c>
      <c r="N296" s="71">
        <v>2621.599609375</v>
      </c>
      <c r="O296" s="72"/>
      <c r="P296" s="73"/>
      <c r="Q296" s="73"/>
      <c r="R296" s="81"/>
      <c r="S296" s="45">
        <v>1</v>
      </c>
      <c r="T296" s="45">
        <v>1</v>
      </c>
      <c r="U296" s="46">
        <v>0</v>
      </c>
      <c r="V296" s="46">
        <v>0</v>
      </c>
      <c r="W296" s="47"/>
      <c r="X296" s="47"/>
      <c r="Y296" s="47"/>
      <c r="Z296" s="46"/>
      <c r="AA296" s="68">
        <v>296</v>
      </c>
      <c r="AB296"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96" s="69"/>
      <c r="AD296" t="s">
        <v>2946</v>
      </c>
      <c r="AE296" s="77" t="s">
        <v>3284</v>
      </c>
      <c r="AF296">
        <v>1533</v>
      </c>
      <c r="AG296">
        <v>1856</v>
      </c>
      <c r="AH296">
        <v>3869</v>
      </c>
      <c r="AI296">
        <v>0</v>
      </c>
      <c r="AJ296">
        <v>7620</v>
      </c>
      <c r="AK296">
        <v>18</v>
      </c>
      <c r="AL296" t="b">
        <v>0</v>
      </c>
      <c r="AM296" s="76">
        <v>40605.868032407408</v>
      </c>
      <c r="AO296" t="s">
        <v>3866</v>
      </c>
      <c r="AX296" t="b">
        <v>0</v>
      </c>
      <c r="BA296" t="b">
        <v>0</v>
      </c>
      <c r="BB296" t="b">
        <v>1</v>
      </c>
      <c r="BC296" t="b">
        <v>1</v>
      </c>
      <c r="BD296" t="b">
        <v>0</v>
      </c>
      <c r="BE296" t="b">
        <v>1</v>
      </c>
      <c r="BF296" t="b">
        <v>0</v>
      </c>
      <c r="BG296" t="b">
        <v>0</v>
      </c>
      <c r="BJ296" t="s">
        <v>4320</v>
      </c>
      <c r="BK296" t="b">
        <v>0</v>
      </c>
      <c r="BM296" t="s">
        <v>66</v>
      </c>
      <c r="BN296" t="s">
        <v>4322</v>
      </c>
      <c r="BO296" s="79" t="str">
        <f>HYPERLINK("https://twitter.com/pjgs40")</f>
        <v>https://twitter.com/pjgs40</v>
      </c>
      <c r="BP296" s="112" t="str">
        <f>REPLACE(INDEX(GroupVertices[Group], MATCH("~"&amp;Vertices[[#This Row],[Vertex]],GroupVertices[Vertex],0)),1,1,"")</f>
        <v>166</v>
      </c>
      <c r="BQ296" s="2"/>
    </row>
    <row r="297" spans="1:69" x14ac:dyDescent="0.25">
      <c r="A297" s="61" t="s">
        <v>623</v>
      </c>
      <c r="B297" s="62"/>
      <c r="C297" s="62"/>
      <c r="D297" s="63">
        <v>1.5</v>
      </c>
      <c r="E297" s="65"/>
      <c r="F297" s="97" t="str">
        <f>HYPERLINK("https://pbs.twimg.com/profile_images/2361652698/1aathzuwjt15enppz40x_normal.jpeg")</f>
        <v>https://pbs.twimg.com/profile_images/2361652698/1aathzuwjt15enppz40x_normal.jpeg</v>
      </c>
      <c r="G297" s="62"/>
      <c r="H297" s="66"/>
      <c r="I297" s="67"/>
      <c r="J297" s="67"/>
      <c r="K297" s="66" t="s">
        <v>4588</v>
      </c>
      <c r="L297" s="70"/>
      <c r="M297" s="71">
        <v>4918.578125</v>
      </c>
      <c r="N297" s="71">
        <v>547.60076904296875</v>
      </c>
      <c r="O297" s="72"/>
      <c r="P297" s="73"/>
      <c r="Q297" s="73"/>
      <c r="R297" s="81"/>
      <c r="S297" s="45">
        <v>1</v>
      </c>
      <c r="T297" s="45">
        <v>0</v>
      </c>
      <c r="U297" s="46">
        <v>0</v>
      </c>
      <c r="V297" s="46">
        <v>4.7920000000000003E-3</v>
      </c>
      <c r="W297" s="47"/>
      <c r="X297" s="47"/>
      <c r="Y297" s="47"/>
      <c r="Z297" s="46"/>
      <c r="AA297" s="68">
        <v>297</v>
      </c>
      <c r="AB297"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97" s="69"/>
      <c r="AD297" t="s">
        <v>2947</v>
      </c>
      <c r="AE297" s="77" t="s">
        <v>2440</v>
      </c>
      <c r="AF297">
        <v>8036</v>
      </c>
      <c r="AG297">
        <v>7806</v>
      </c>
      <c r="AH297">
        <v>36561</v>
      </c>
      <c r="AI297">
        <v>55</v>
      </c>
      <c r="AJ297">
        <v>2470</v>
      </c>
      <c r="AK297">
        <v>1437</v>
      </c>
      <c r="AL297" t="b">
        <v>0</v>
      </c>
      <c r="AM297" s="76">
        <v>40597.773240740738</v>
      </c>
      <c r="AN297" t="s">
        <v>3530</v>
      </c>
      <c r="AO297" t="s">
        <v>3867</v>
      </c>
      <c r="AP297" s="79" t="str">
        <f>HYPERLINK("https://t.co/vcMfqPG8xZ")</f>
        <v>https://t.co/vcMfqPG8xZ</v>
      </c>
      <c r="AQ297" s="79" t="str">
        <f>HYPERLINK("http://elvecinodeUxue.blogspot.com")</f>
        <v>http://elvecinodeUxue.blogspot.com</v>
      </c>
      <c r="AR297" t="s">
        <v>4159</v>
      </c>
      <c r="AW297" s="79" t="str">
        <f>HYPERLINK("https://t.co/vcMfqPG8xZ")</f>
        <v>https://t.co/vcMfqPG8xZ</v>
      </c>
      <c r="AX297" t="b">
        <v>0</v>
      </c>
      <c r="AZ297" t="b">
        <v>0</v>
      </c>
      <c r="BA297" t="b">
        <v>0</v>
      </c>
      <c r="BB297" t="b">
        <v>1</v>
      </c>
      <c r="BC297" t="b">
        <v>1</v>
      </c>
      <c r="BD297" t="b">
        <v>0</v>
      </c>
      <c r="BE297" t="b">
        <v>1</v>
      </c>
      <c r="BF297" t="b">
        <v>0</v>
      </c>
      <c r="BG297" t="b">
        <v>0</v>
      </c>
      <c r="BH297" s="79" t="str">
        <f>HYPERLINK("https://pbs.twimg.com/profile_banners/256620656/1390432849")</f>
        <v>https://pbs.twimg.com/profile_banners/256620656/1390432849</v>
      </c>
      <c r="BJ297" t="s">
        <v>4320</v>
      </c>
      <c r="BK297" t="b">
        <v>0</v>
      </c>
      <c r="BM297" t="s">
        <v>65</v>
      </c>
      <c r="BN297" t="s">
        <v>4322</v>
      </c>
      <c r="BO297" s="79" t="str">
        <f>HYPERLINK("https://twitter.com/elvecinodeuxue")</f>
        <v>https://twitter.com/elvecinodeuxue</v>
      </c>
      <c r="BP297" s="112" t="str">
        <f>REPLACE(INDEX(GroupVertices[Group], MATCH("~"&amp;Vertices[[#This Row],[Vertex]],GroupVertices[Vertex],0)),1,1,"")</f>
        <v>16</v>
      </c>
      <c r="BQ297" s="2"/>
    </row>
    <row r="298" spans="1:69" x14ac:dyDescent="0.25">
      <c r="A298" s="61" t="s">
        <v>363</v>
      </c>
      <c r="B298" s="62"/>
      <c r="C298" s="62"/>
      <c r="D298" s="63">
        <v>1.5</v>
      </c>
      <c r="E298" s="65"/>
      <c r="F298" s="97" t="str">
        <f>HYPERLINK("https://pbs.twimg.com/profile_images/693006915799011328/pIRQIM-d_normal.jpg")</f>
        <v>https://pbs.twimg.com/profile_images/693006915799011328/pIRQIM-d_normal.jpg</v>
      </c>
      <c r="G298" s="62"/>
      <c r="H298" s="66"/>
      <c r="I298" s="67"/>
      <c r="J298" s="67"/>
      <c r="K298" s="66" t="s">
        <v>4589</v>
      </c>
      <c r="L298" s="70"/>
      <c r="M298" s="71">
        <v>997.09039306640625</v>
      </c>
      <c r="N298" s="71">
        <v>5388.57421875</v>
      </c>
      <c r="O298" s="72"/>
      <c r="P298" s="73"/>
      <c r="Q298" s="73"/>
      <c r="R298" s="81"/>
      <c r="S298" s="45">
        <v>1</v>
      </c>
      <c r="T298" s="45">
        <v>1</v>
      </c>
      <c r="U298" s="46">
        <v>0</v>
      </c>
      <c r="V298" s="46">
        <v>0</v>
      </c>
      <c r="W298" s="47"/>
      <c r="X298" s="47"/>
      <c r="Y298" s="47"/>
      <c r="Z298" s="46"/>
      <c r="AA298" s="68">
        <v>298</v>
      </c>
      <c r="AB298"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98" s="69"/>
      <c r="AD298" t="s">
        <v>2948</v>
      </c>
      <c r="AE298" s="77" t="s">
        <v>2441</v>
      </c>
      <c r="AF298">
        <v>164</v>
      </c>
      <c r="AG298">
        <v>130</v>
      </c>
      <c r="AH298">
        <v>37116</v>
      </c>
      <c r="AI298">
        <v>12</v>
      </c>
      <c r="AJ298">
        <v>11</v>
      </c>
      <c r="AK298">
        <v>807</v>
      </c>
      <c r="AL298" t="b">
        <v>0</v>
      </c>
      <c r="AM298" s="76">
        <v>40874.461180555554</v>
      </c>
      <c r="AN298" t="s">
        <v>3531</v>
      </c>
      <c r="AO298" t="s">
        <v>3868</v>
      </c>
      <c r="AV298">
        <v>6.1595082004410701E+17</v>
      </c>
      <c r="AX298" t="b">
        <v>0</v>
      </c>
      <c r="BA298" t="b">
        <v>0</v>
      </c>
      <c r="BB298" t="b">
        <v>0</v>
      </c>
      <c r="BC298" t="b">
        <v>0</v>
      </c>
      <c r="BD298" t="b">
        <v>0</v>
      </c>
      <c r="BE298" t="b">
        <v>1</v>
      </c>
      <c r="BF298" t="b">
        <v>0</v>
      </c>
      <c r="BG298" t="b">
        <v>0</v>
      </c>
      <c r="BH298" s="79" t="str">
        <f>HYPERLINK("https://pbs.twimg.com/profile_banners/422529654/1358115913")</f>
        <v>https://pbs.twimg.com/profile_banners/422529654/1358115913</v>
      </c>
      <c r="BJ298" t="s">
        <v>4320</v>
      </c>
      <c r="BK298" t="b">
        <v>0</v>
      </c>
      <c r="BM298" t="s">
        <v>66</v>
      </c>
      <c r="BN298" t="s">
        <v>4322</v>
      </c>
      <c r="BO298" s="79" t="str">
        <f>HYPERLINK("https://twitter.com/rc_pinilla")</f>
        <v>https://twitter.com/rc_pinilla</v>
      </c>
      <c r="BP298" s="112" t="str">
        <f>REPLACE(INDEX(GroupVertices[Group], MATCH("~"&amp;Vertices[[#This Row],[Vertex]],GroupVertices[Vertex],0)),1,1,"")</f>
        <v>151</v>
      </c>
      <c r="BQ298" s="2"/>
    </row>
    <row r="299" spans="1:69" x14ac:dyDescent="0.25">
      <c r="A299" s="61" t="s">
        <v>365</v>
      </c>
      <c r="B299" s="62"/>
      <c r="C299" s="62"/>
      <c r="D299" s="63">
        <v>1.5</v>
      </c>
      <c r="E299" s="65"/>
      <c r="F299" s="97" t="str">
        <f>HYPERLINK("https://pbs.twimg.com/profile_images/1284009262788890626/iSgCquuG_normal.jpg")</f>
        <v>https://pbs.twimg.com/profile_images/1284009262788890626/iSgCquuG_normal.jpg</v>
      </c>
      <c r="G299" s="62"/>
      <c r="H299" s="66"/>
      <c r="I299" s="67"/>
      <c r="J299" s="67"/>
      <c r="K299" s="66" t="s">
        <v>4590</v>
      </c>
      <c r="L299" s="70"/>
      <c r="M299" s="71">
        <v>7954.173828125</v>
      </c>
      <c r="N299" s="71">
        <v>6312.95166015625</v>
      </c>
      <c r="O299" s="72"/>
      <c r="P299" s="73"/>
      <c r="Q299" s="73"/>
      <c r="R299" s="81"/>
      <c r="S299" s="45">
        <v>1</v>
      </c>
      <c r="T299" s="45">
        <v>1</v>
      </c>
      <c r="U299" s="46">
        <v>0</v>
      </c>
      <c r="V299" s="46">
        <v>0</v>
      </c>
      <c r="W299" s="47"/>
      <c r="X299" s="47"/>
      <c r="Y299" s="47"/>
      <c r="Z299" s="46"/>
      <c r="AA299" s="68">
        <v>299</v>
      </c>
      <c r="AB299"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299" s="69"/>
      <c r="AD299" t="s">
        <v>2949</v>
      </c>
      <c r="AE299" s="77" t="s">
        <v>3285</v>
      </c>
      <c r="AF299">
        <v>3301</v>
      </c>
      <c r="AG299">
        <v>149</v>
      </c>
      <c r="AH299">
        <v>18121</v>
      </c>
      <c r="AI299">
        <v>19</v>
      </c>
      <c r="AJ299">
        <v>4670</v>
      </c>
      <c r="AK299">
        <v>8170</v>
      </c>
      <c r="AL299" t="b">
        <v>0</v>
      </c>
      <c r="AM299" s="76">
        <v>41103.547465277778</v>
      </c>
      <c r="AN299" t="s">
        <v>3532</v>
      </c>
      <c r="AO299" t="s">
        <v>3869</v>
      </c>
      <c r="AP299" s="79" t="str">
        <f>HYPERLINK("https://t.co/xKq6n1vOwZ")</f>
        <v>https://t.co/xKq6n1vOwZ</v>
      </c>
      <c r="AQ299" s="79" t="str">
        <f>HYPERLINK("http://www.hermandaddesantiago.es")</f>
        <v>http://www.hermandaddesantiago.es</v>
      </c>
      <c r="AR299" t="s">
        <v>4160</v>
      </c>
      <c r="AW299" s="79" t="str">
        <f>HYPERLINK("https://t.co/xKq6n1vOwZ")</f>
        <v>https://t.co/xKq6n1vOwZ</v>
      </c>
      <c r="AX299" t="b">
        <v>0</v>
      </c>
      <c r="BA299" t="b">
        <v>1</v>
      </c>
      <c r="BB299" t="b">
        <v>0</v>
      </c>
      <c r="BC299" t="b">
        <v>0</v>
      </c>
      <c r="BD299" t="b">
        <v>0</v>
      </c>
      <c r="BE299" t="b">
        <v>1</v>
      </c>
      <c r="BF299" t="b">
        <v>0</v>
      </c>
      <c r="BG299" t="b">
        <v>0</v>
      </c>
      <c r="BH299" s="79" t="str">
        <f>HYPERLINK("https://pbs.twimg.com/profile_banners/634560014/1741281950")</f>
        <v>https://pbs.twimg.com/profile_banners/634560014/1741281950</v>
      </c>
      <c r="BJ299" t="s">
        <v>4320</v>
      </c>
      <c r="BK299" t="b">
        <v>0</v>
      </c>
      <c r="BM299" t="s">
        <v>66</v>
      </c>
      <c r="BN299" t="s">
        <v>4322</v>
      </c>
      <c r="BO299" s="79" t="str">
        <f>HYPERLINK("https://twitter.com/hdadsantiago")</f>
        <v>https://twitter.com/hdadsantiago</v>
      </c>
      <c r="BP299" s="112" t="str">
        <f>REPLACE(INDEX(GroupVertices[Group], MATCH("~"&amp;Vertices[[#This Row],[Vertex]],GroupVertices[Vertex],0)),1,1,"")</f>
        <v>186</v>
      </c>
      <c r="BQ299" s="2"/>
    </row>
    <row r="300" spans="1:69" x14ac:dyDescent="0.25">
      <c r="A300" s="61" t="s">
        <v>366</v>
      </c>
      <c r="B300" s="62"/>
      <c r="C300" s="62"/>
      <c r="D300" s="63">
        <v>1.5</v>
      </c>
      <c r="E300" s="65"/>
      <c r="F300" s="97" t="str">
        <f>HYPERLINK("https://pbs.twimg.com/profile_images/1785868081912303616/Fi6DLgDb_normal.jpg")</f>
        <v>https://pbs.twimg.com/profile_images/1785868081912303616/Fi6DLgDb_normal.jpg</v>
      </c>
      <c r="G300" s="62"/>
      <c r="H300" s="66"/>
      <c r="I300" s="67"/>
      <c r="J300" s="67"/>
      <c r="K300" s="66" t="s">
        <v>4591</v>
      </c>
      <c r="L300" s="70"/>
      <c r="M300" s="71">
        <v>8302.5966796875</v>
      </c>
      <c r="N300" s="71">
        <v>6577.57958984375</v>
      </c>
      <c r="O300" s="72"/>
      <c r="P300" s="73"/>
      <c r="Q300" s="73"/>
      <c r="R300" s="81"/>
      <c r="S300" s="45">
        <v>1</v>
      </c>
      <c r="T300" s="45">
        <v>1</v>
      </c>
      <c r="U300" s="46">
        <v>0</v>
      </c>
      <c r="V300" s="46">
        <v>0</v>
      </c>
      <c r="W300" s="47"/>
      <c r="X300" s="47"/>
      <c r="Y300" s="47"/>
      <c r="Z300" s="46"/>
      <c r="AA300" s="68">
        <v>300</v>
      </c>
      <c r="AB300"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00" s="69"/>
      <c r="AD300" t="s">
        <v>2950</v>
      </c>
      <c r="AE300" s="77" t="s">
        <v>3286</v>
      </c>
      <c r="AF300">
        <v>1956085</v>
      </c>
      <c r="AG300">
        <v>1105</v>
      </c>
      <c r="AH300">
        <v>219804</v>
      </c>
      <c r="AI300">
        <v>3324</v>
      </c>
      <c r="AJ300">
        <v>385</v>
      </c>
      <c r="AK300">
        <v>90389</v>
      </c>
      <c r="AL300" t="b">
        <v>0</v>
      </c>
      <c r="AM300" s="76">
        <v>39991.13003472222</v>
      </c>
      <c r="AN300" t="s">
        <v>3410</v>
      </c>
      <c r="AO300" t="s">
        <v>3870</v>
      </c>
      <c r="AP300" s="79" t="str">
        <f>HYPERLINK("https://t.co/kGRUPCMZOw")</f>
        <v>https://t.co/kGRUPCMZOw</v>
      </c>
      <c r="AQ300" s="79" t="str">
        <f>HYPERLINK("http://www.chvnoticias.cl")</f>
        <v>http://www.chvnoticias.cl</v>
      </c>
      <c r="AR300" t="s">
        <v>4161</v>
      </c>
      <c r="AW300" s="79" t="str">
        <f>HYPERLINK("https://t.co/kGRUPCMZOw")</f>
        <v>https://t.co/kGRUPCMZOw</v>
      </c>
      <c r="AX300" t="b">
        <v>1</v>
      </c>
      <c r="BA300" t="b">
        <v>1</v>
      </c>
      <c r="BB300" t="b">
        <v>1</v>
      </c>
      <c r="BC300" t="b">
        <v>0</v>
      </c>
      <c r="BD300" t="b">
        <v>0</v>
      </c>
      <c r="BE300" t="b">
        <v>1</v>
      </c>
      <c r="BF300" t="b">
        <v>0</v>
      </c>
      <c r="BG300" t="b">
        <v>0</v>
      </c>
      <c r="BH300" s="79" t="str">
        <f>HYPERLINK("https://pbs.twimg.com/profile_banners/51326671/1714619186")</f>
        <v>https://pbs.twimg.com/profile_banners/51326671/1714619186</v>
      </c>
      <c r="BJ300" t="s">
        <v>4320</v>
      </c>
      <c r="BK300" t="b">
        <v>0</v>
      </c>
      <c r="BM300" t="s">
        <v>66</v>
      </c>
      <c r="BN300" t="s">
        <v>4322</v>
      </c>
      <c r="BO300" s="79" t="str">
        <f>HYPERLINK("https://twitter.com/chvnoticias")</f>
        <v>https://twitter.com/chvnoticias</v>
      </c>
      <c r="BP300" s="112" t="str">
        <f>REPLACE(INDEX(GroupVertices[Group], MATCH("~"&amp;Vertices[[#This Row],[Vertex]],GroupVertices[Vertex],0)),1,1,"")</f>
        <v>208</v>
      </c>
      <c r="BQ300" s="2"/>
    </row>
    <row r="301" spans="1:69" x14ac:dyDescent="0.25">
      <c r="A301" s="61" t="s">
        <v>367</v>
      </c>
      <c r="B301" s="62"/>
      <c r="C301" s="62"/>
      <c r="D301" s="63">
        <v>1.5</v>
      </c>
      <c r="E301" s="65"/>
      <c r="F301" s="97" t="str">
        <f>HYPERLINK("https://pbs.twimg.com/profile_images/1633062575637254144/EiN7pgvv_normal.jpg")</f>
        <v>https://pbs.twimg.com/profile_images/1633062575637254144/EiN7pgvv_normal.jpg</v>
      </c>
      <c r="G301" s="62"/>
      <c r="H301" s="66"/>
      <c r="I301" s="67"/>
      <c r="J301" s="67"/>
      <c r="K301" s="66" t="s">
        <v>4592</v>
      </c>
      <c r="L301" s="70"/>
      <c r="M301" s="71">
        <v>4592.04833984375</v>
      </c>
      <c r="N301" s="71">
        <v>8030.6728515625</v>
      </c>
      <c r="O301" s="72"/>
      <c r="P301" s="73"/>
      <c r="Q301" s="73"/>
      <c r="R301" s="81"/>
      <c r="S301" s="45">
        <v>1</v>
      </c>
      <c r="T301" s="45">
        <v>2</v>
      </c>
      <c r="U301" s="46">
        <v>0</v>
      </c>
      <c r="V301" s="46">
        <v>2.0960000000000002E-3</v>
      </c>
      <c r="W301" s="47"/>
      <c r="X301" s="47"/>
      <c r="Y301" s="47"/>
      <c r="Z301" s="46"/>
      <c r="AA301" s="68">
        <v>301</v>
      </c>
      <c r="AB301"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01" s="69"/>
      <c r="AD301" t="s">
        <v>2951</v>
      </c>
      <c r="AE301" s="77" t="s">
        <v>2592</v>
      </c>
      <c r="AF301">
        <v>10</v>
      </c>
      <c r="AG301">
        <v>13</v>
      </c>
      <c r="AH301">
        <v>502</v>
      </c>
      <c r="AI301">
        <v>0</v>
      </c>
      <c r="AJ301">
        <v>263</v>
      </c>
      <c r="AK301">
        <v>482</v>
      </c>
      <c r="AL301" t="b">
        <v>0</v>
      </c>
      <c r="AM301" s="76">
        <v>44992.460416666669</v>
      </c>
      <c r="AN301" t="s">
        <v>3533</v>
      </c>
      <c r="AO301" t="s">
        <v>3871</v>
      </c>
      <c r="AP301" s="79" t="str">
        <f>HYPERLINK("https://t.co/YkoxUJhy92")</f>
        <v>https://t.co/YkoxUJhy92</v>
      </c>
      <c r="AQ301" s="79" t="str">
        <f>HYPERLINK("https://allmylinks.com/escuelalosestandartescopiapo")</f>
        <v>https://allmylinks.com/escuelalosestandartescopiapo</v>
      </c>
      <c r="AR301" t="s">
        <v>4162</v>
      </c>
      <c r="AW301" s="79" t="str">
        <f>HYPERLINK("https://t.co/YkoxUJhy92")</f>
        <v>https://t.co/YkoxUJhy92</v>
      </c>
      <c r="AX301" t="b">
        <v>0</v>
      </c>
      <c r="BA301" t="b">
        <v>0</v>
      </c>
      <c r="BB301" t="b">
        <v>1</v>
      </c>
      <c r="BC301" t="b">
        <v>1</v>
      </c>
      <c r="BD301" t="b">
        <v>0</v>
      </c>
      <c r="BE301" t="b">
        <v>0</v>
      </c>
      <c r="BF301" t="b">
        <v>0</v>
      </c>
      <c r="BG301" t="b">
        <v>0</v>
      </c>
      <c r="BH301" s="79" t="str">
        <f>HYPERLINK("https://pbs.twimg.com/profile_banners/1633060113211617286/1741388427")</f>
        <v>https://pbs.twimg.com/profile_banners/1633060113211617286/1741388427</v>
      </c>
      <c r="BJ301" t="s">
        <v>4320</v>
      </c>
      <c r="BK301" t="b">
        <v>0</v>
      </c>
      <c r="BM301" t="s">
        <v>66</v>
      </c>
      <c r="BN301" t="s">
        <v>4322</v>
      </c>
      <c r="BO301" s="79" t="str">
        <f>HYPERLINK("https://twitter.com/estandartese16")</f>
        <v>https://twitter.com/estandartese16</v>
      </c>
      <c r="BP301" s="112" t="str">
        <f>REPLACE(INDEX(GroupVertices[Group], MATCH("~"&amp;Vertices[[#This Row],[Vertex]],GroupVertices[Vertex],0)),1,1,"")</f>
        <v>93</v>
      </c>
      <c r="BQ301" s="2"/>
    </row>
    <row r="302" spans="1:69" x14ac:dyDescent="0.25">
      <c r="A302" s="61" t="s">
        <v>624</v>
      </c>
      <c r="B302" s="62"/>
      <c r="C302" s="62"/>
      <c r="D302" s="63">
        <v>1.5</v>
      </c>
      <c r="E302" s="65"/>
      <c r="F302" s="97" t="str">
        <f>HYPERLINK("https://pbs.twimg.com/profile_images/1915882040353837056/VbhPvueq_normal.jpg")</f>
        <v>https://pbs.twimg.com/profile_images/1915882040353837056/VbhPvueq_normal.jpg</v>
      </c>
      <c r="G302" s="62"/>
      <c r="H302" s="66"/>
      <c r="I302" s="67"/>
      <c r="J302" s="67"/>
      <c r="K302" s="66" t="s">
        <v>4593</v>
      </c>
      <c r="L302" s="70"/>
      <c r="M302" s="71">
        <v>6698.60986328125</v>
      </c>
      <c r="N302" s="71">
        <v>9246.1728515625</v>
      </c>
      <c r="O302" s="72"/>
      <c r="P302" s="73"/>
      <c r="Q302" s="73"/>
      <c r="R302" s="81"/>
      <c r="S302" s="45">
        <v>1</v>
      </c>
      <c r="T302" s="45">
        <v>0</v>
      </c>
      <c r="U302" s="46">
        <v>0</v>
      </c>
      <c r="V302" s="46">
        <v>2.0960000000000002E-3</v>
      </c>
      <c r="W302" s="47"/>
      <c r="X302" s="47"/>
      <c r="Y302" s="47"/>
      <c r="Z302" s="46"/>
      <c r="AA302" s="68">
        <v>302</v>
      </c>
      <c r="AB302"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02" s="69"/>
      <c r="AD302" t="s">
        <v>2952</v>
      </c>
      <c r="AE302" s="77" t="s">
        <v>3287</v>
      </c>
      <c r="AF302">
        <v>79010697</v>
      </c>
      <c r="AG302">
        <v>1151</v>
      </c>
      <c r="AH302">
        <v>60005</v>
      </c>
      <c r="AI302">
        <v>77680</v>
      </c>
      <c r="AJ302">
        <v>6066</v>
      </c>
      <c r="AK302">
        <v>16005</v>
      </c>
      <c r="AL302" t="b">
        <v>0</v>
      </c>
      <c r="AM302" s="76">
        <v>39399.905393518522</v>
      </c>
      <c r="AN302" t="s">
        <v>3534</v>
      </c>
      <c r="AO302" t="s">
        <v>3872</v>
      </c>
      <c r="AP302" s="79" t="str">
        <f>HYPERLINK("https://t.co/WBV5E1Rh1y")</f>
        <v>https://t.co/WBV5E1Rh1y</v>
      </c>
      <c r="AQ302" s="79" t="str">
        <f>HYPERLINK("https://yt.be/3NDRz")</f>
        <v>https://yt.be/3NDRz</v>
      </c>
      <c r="AR302" t="s">
        <v>4163</v>
      </c>
      <c r="AW302" s="79" t="str">
        <f>HYPERLINK("https://t.co/WBV5E1Rh1y")</f>
        <v>https://t.co/WBV5E1Rh1y</v>
      </c>
      <c r="AX302" t="b">
        <v>1</v>
      </c>
      <c r="AZ302" t="b">
        <v>0</v>
      </c>
      <c r="BA302" t="b">
        <v>0</v>
      </c>
      <c r="BB302" t="b">
        <v>1</v>
      </c>
      <c r="BC302" t="b">
        <v>0</v>
      </c>
      <c r="BD302" t="b">
        <v>0</v>
      </c>
      <c r="BE302" t="b">
        <v>1</v>
      </c>
      <c r="BF302" t="b">
        <v>0</v>
      </c>
      <c r="BG302" t="b">
        <v>0</v>
      </c>
      <c r="BH302" s="79" t="str">
        <f>HYPERLINK("https://pbs.twimg.com/profile_banners/10228272/1745416765")</f>
        <v>https://pbs.twimg.com/profile_banners/10228272/1745416765</v>
      </c>
      <c r="BJ302" t="s">
        <v>4321</v>
      </c>
      <c r="BK302" t="b">
        <v>0</v>
      </c>
      <c r="BM302" t="s">
        <v>65</v>
      </c>
      <c r="BN302" t="s">
        <v>4322</v>
      </c>
      <c r="BO302" s="79" t="str">
        <f>HYPERLINK("https://twitter.com/youtube")</f>
        <v>https://twitter.com/youtube</v>
      </c>
      <c r="BP302" s="112" t="str">
        <f>REPLACE(INDEX(GroupVertices[Group], MATCH("~"&amp;Vertices[[#This Row],[Vertex]],GroupVertices[Vertex],0)),1,1,"")</f>
        <v>93</v>
      </c>
      <c r="BQ302" s="2"/>
    </row>
    <row r="303" spans="1:69" x14ac:dyDescent="0.25">
      <c r="A303" s="61" t="s">
        <v>369</v>
      </c>
      <c r="B303" s="62"/>
      <c r="C303" s="62"/>
      <c r="D303" s="63">
        <v>1.5</v>
      </c>
      <c r="E303" s="65"/>
      <c r="F303" s="97" t="str">
        <f>HYPERLINK("https://pbs.twimg.com/profile_images/1504527933406339074/NN3BO3OR_normal.jpg")</f>
        <v>https://pbs.twimg.com/profile_images/1504527933406339074/NN3BO3OR_normal.jpg</v>
      </c>
      <c r="G303" s="62"/>
      <c r="H303" s="66"/>
      <c r="I303" s="67"/>
      <c r="J303" s="67"/>
      <c r="K303" s="66" t="s">
        <v>4597</v>
      </c>
      <c r="L303" s="70"/>
      <c r="M303" s="71">
        <v>8997.287109375</v>
      </c>
      <c r="N303" s="71">
        <v>8423.59765625</v>
      </c>
      <c r="O303" s="72"/>
      <c r="P303" s="73"/>
      <c r="Q303" s="73"/>
      <c r="R303" s="81"/>
      <c r="S303" s="45">
        <v>2</v>
      </c>
      <c r="T303" s="45">
        <v>1</v>
      </c>
      <c r="U303" s="46">
        <v>0</v>
      </c>
      <c r="V303" s="46">
        <v>2.0960000000000002E-3</v>
      </c>
      <c r="W303" s="47"/>
      <c r="X303" s="47"/>
      <c r="Y303" s="47"/>
      <c r="Z303" s="46"/>
      <c r="AA303" s="68">
        <v>303</v>
      </c>
      <c r="AB303"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03" s="69"/>
      <c r="AD303" t="s">
        <v>2956</v>
      </c>
      <c r="AE303" s="77" t="s">
        <v>3291</v>
      </c>
      <c r="AF303">
        <v>9873</v>
      </c>
      <c r="AG303">
        <v>1271</v>
      </c>
      <c r="AH303">
        <v>27393</v>
      </c>
      <c r="AI303">
        <v>37</v>
      </c>
      <c r="AJ303">
        <v>14597</v>
      </c>
      <c r="AK303">
        <v>8175</v>
      </c>
      <c r="AL303" t="b">
        <v>0</v>
      </c>
      <c r="AM303" s="76">
        <v>41835.806400462963</v>
      </c>
      <c r="AN303" t="s">
        <v>3538</v>
      </c>
      <c r="AO303" t="s">
        <v>3876</v>
      </c>
      <c r="AP303" s="79" t="str">
        <f>HYPERLINK("https://t.co/VqkLBSOMIn")</f>
        <v>https://t.co/VqkLBSOMIn</v>
      </c>
      <c r="AQ303" s="79" t="str">
        <f>HYPERLINK("http://biobio.mineduc.cl/")</f>
        <v>http://biobio.mineduc.cl/</v>
      </c>
      <c r="AR303" t="s">
        <v>4166</v>
      </c>
      <c r="AW303" s="79" t="str">
        <f>HYPERLINK("https://t.co/VqkLBSOMIn")</f>
        <v>https://t.co/VqkLBSOMIn</v>
      </c>
      <c r="AX303" t="b">
        <v>0</v>
      </c>
      <c r="BA303" t="b">
        <v>1</v>
      </c>
      <c r="BB303" t="b">
        <v>1</v>
      </c>
      <c r="BC303" t="b">
        <v>0</v>
      </c>
      <c r="BD303" t="b">
        <v>0</v>
      </c>
      <c r="BE303" t="b">
        <v>1</v>
      </c>
      <c r="BF303" t="b">
        <v>0</v>
      </c>
      <c r="BG303" t="b">
        <v>0</v>
      </c>
      <c r="BH303" s="79" t="str">
        <f>HYPERLINK("https://pbs.twimg.com/profile_banners/2649039428/1741353715")</f>
        <v>https://pbs.twimg.com/profile_banners/2649039428/1741353715</v>
      </c>
      <c r="BJ303" t="s">
        <v>4320</v>
      </c>
      <c r="BK303" t="b">
        <v>0</v>
      </c>
      <c r="BM303" t="s">
        <v>66</v>
      </c>
      <c r="BN303" t="s">
        <v>4322</v>
      </c>
      <c r="BO303" s="79" t="str">
        <f>HYPERLINK("https://twitter.com/educbiobio")</f>
        <v>https://twitter.com/educbiobio</v>
      </c>
      <c r="BP303" s="112" t="str">
        <f>REPLACE(INDEX(GroupVertices[Group], MATCH("~"&amp;Vertices[[#This Row],[Vertex]],GroupVertices[Vertex],0)),1,1,"")</f>
        <v>101</v>
      </c>
      <c r="BQ303" s="2"/>
    </row>
    <row r="304" spans="1:69" x14ac:dyDescent="0.25">
      <c r="A304" s="61" t="s">
        <v>370</v>
      </c>
      <c r="B304" s="62"/>
      <c r="C304" s="62"/>
      <c r="D304" s="63">
        <v>1.5</v>
      </c>
      <c r="E304" s="65"/>
      <c r="F304" s="97" t="str">
        <f>HYPERLINK("https://pbs.twimg.com/profile_images/1634285049502748693/MES2vrJI_normal.jpg")</f>
        <v>https://pbs.twimg.com/profile_images/1634285049502748693/MES2vrJI_normal.jpg</v>
      </c>
      <c r="G304" s="62"/>
      <c r="H304" s="66"/>
      <c r="I304" s="67"/>
      <c r="J304" s="67"/>
      <c r="K304" s="66" t="s">
        <v>4598</v>
      </c>
      <c r="L304" s="70"/>
      <c r="M304" s="71">
        <v>9685.6318359375</v>
      </c>
      <c r="N304" s="71">
        <v>6725.73193359375</v>
      </c>
      <c r="O304" s="72"/>
      <c r="P304" s="73"/>
      <c r="Q304" s="73"/>
      <c r="R304" s="81"/>
      <c r="S304" s="45">
        <v>0</v>
      </c>
      <c r="T304" s="45">
        <v>1</v>
      </c>
      <c r="U304" s="46">
        <v>0</v>
      </c>
      <c r="V304" s="46">
        <v>2.0960000000000002E-3</v>
      </c>
      <c r="W304" s="47"/>
      <c r="X304" s="47"/>
      <c r="Y304" s="47"/>
      <c r="Z304" s="46"/>
      <c r="AA304" s="68">
        <v>304</v>
      </c>
      <c r="AB304"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04" s="69"/>
      <c r="AD304" t="s">
        <v>2957</v>
      </c>
      <c r="AE304" s="77" t="s">
        <v>3292</v>
      </c>
      <c r="AF304">
        <v>9115</v>
      </c>
      <c r="AG304">
        <v>971</v>
      </c>
      <c r="AH304">
        <v>24433</v>
      </c>
      <c r="AI304">
        <v>51</v>
      </c>
      <c r="AJ304">
        <v>9220</v>
      </c>
      <c r="AK304">
        <v>9382</v>
      </c>
      <c r="AL304" t="b">
        <v>0</v>
      </c>
      <c r="AM304" s="76">
        <v>40120.822071759256</v>
      </c>
      <c r="AN304" t="s">
        <v>3539</v>
      </c>
      <c r="AO304" t="s">
        <v>3877</v>
      </c>
      <c r="AP304" s="79" t="str">
        <f>HYPERLINK("https://t.co/Hr6SUcnG9m")</f>
        <v>https://t.co/Hr6SUcnG9m</v>
      </c>
      <c r="AQ304" s="79" t="str">
        <f>HYPERLINK("http://www.radioudec.cl")</f>
        <v>http://www.radioudec.cl</v>
      </c>
      <c r="AR304" t="s">
        <v>1176</v>
      </c>
      <c r="AS304" s="79" t="str">
        <f>HYPERLINK("https://t.co/uT5faLnJyU")</f>
        <v>https://t.co/uT5faLnJyU</v>
      </c>
      <c r="AT304" s="79" t="str">
        <f>HYPERLINK("http://radioudec.cl")</f>
        <v>http://radioudec.cl</v>
      </c>
      <c r="AU304" t="s">
        <v>1176</v>
      </c>
      <c r="AW304" s="79" t="str">
        <f>HYPERLINK("https://t.co/Hr6SUcnG9m")</f>
        <v>https://t.co/Hr6SUcnG9m</v>
      </c>
      <c r="AX304" t="b">
        <v>0</v>
      </c>
      <c r="BA304" t="b">
        <v>0</v>
      </c>
      <c r="BB304" t="b">
        <v>1</v>
      </c>
      <c r="BC304" t="b">
        <v>0</v>
      </c>
      <c r="BD304" t="b">
        <v>0</v>
      </c>
      <c r="BE304" t="b">
        <v>1</v>
      </c>
      <c r="BF304" t="b">
        <v>0</v>
      </c>
      <c r="BG304" t="b">
        <v>0</v>
      </c>
      <c r="BH304" s="79" t="str">
        <f>HYPERLINK("https://pbs.twimg.com/profile_banners/87266031/1738164520")</f>
        <v>https://pbs.twimg.com/profile_banners/87266031/1738164520</v>
      </c>
      <c r="BJ304" t="s">
        <v>4320</v>
      </c>
      <c r="BK304" t="b">
        <v>0</v>
      </c>
      <c r="BM304" t="s">
        <v>66</v>
      </c>
      <c r="BN304" t="s">
        <v>4322</v>
      </c>
      <c r="BO304" s="79" t="str">
        <f>HYPERLINK("https://twitter.com/radioudec")</f>
        <v>https://twitter.com/radioudec</v>
      </c>
      <c r="BP304" s="112" t="str">
        <f>REPLACE(INDEX(GroupVertices[Group], MATCH("~"&amp;Vertices[[#This Row],[Vertex]],GroupVertices[Vertex],0)),1,1,"")</f>
        <v>101</v>
      </c>
      <c r="BQ304" s="2"/>
    </row>
    <row r="305" spans="1:69" x14ac:dyDescent="0.25">
      <c r="A305" s="61" t="s">
        <v>372</v>
      </c>
      <c r="B305" s="62"/>
      <c r="C305" s="62"/>
      <c r="D305" s="63">
        <v>1.5</v>
      </c>
      <c r="E305" s="65"/>
      <c r="F305" s="97" t="str">
        <f>HYPERLINK("https://pbs.twimg.com/profile_images/1723791013884424192/ye-KVoF6_normal.jpg")</f>
        <v>https://pbs.twimg.com/profile_images/1723791013884424192/ye-KVoF6_normal.jpg</v>
      </c>
      <c r="G305" s="62"/>
      <c r="H305" s="66"/>
      <c r="I305" s="67"/>
      <c r="J305" s="67"/>
      <c r="K305" s="66" t="s">
        <v>4599</v>
      </c>
      <c r="L305" s="70"/>
      <c r="M305" s="71">
        <v>8142.849609375</v>
      </c>
      <c r="N305" s="71">
        <v>9356.552734375</v>
      </c>
      <c r="O305" s="72"/>
      <c r="P305" s="73"/>
      <c r="Q305" s="73"/>
      <c r="R305" s="81"/>
      <c r="S305" s="45">
        <v>1</v>
      </c>
      <c r="T305" s="45">
        <v>1</v>
      </c>
      <c r="U305" s="46">
        <v>0</v>
      </c>
      <c r="V305" s="46">
        <v>0</v>
      </c>
      <c r="W305" s="47"/>
      <c r="X305" s="47"/>
      <c r="Y305" s="47"/>
      <c r="Z305" s="46"/>
      <c r="AA305" s="68">
        <v>305</v>
      </c>
      <c r="AB305"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05" s="69"/>
      <c r="AD305" t="s">
        <v>2958</v>
      </c>
      <c r="AE305" s="77" t="s">
        <v>2594</v>
      </c>
      <c r="AF305">
        <v>675</v>
      </c>
      <c r="AG305">
        <v>314</v>
      </c>
      <c r="AH305">
        <v>5361</v>
      </c>
      <c r="AI305">
        <v>2</v>
      </c>
      <c r="AJ305">
        <v>51</v>
      </c>
      <c r="AK305">
        <v>270</v>
      </c>
      <c r="AL305" t="b">
        <v>0</v>
      </c>
      <c r="AM305" s="76">
        <v>43122.99082175926</v>
      </c>
      <c r="AO305" t="s">
        <v>3878</v>
      </c>
      <c r="AP305" s="79" t="str">
        <f>HYPERLINK("https://t.co/xMqNsA8lSL")</f>
        <v>https://t.co/xMqNsA8lSL</v>
      </c>
      <c r="AQ305" s="79" t="str">
        <f>HYPERLINK("http://www.coquimbonoticias.cl")</f>
        <v>http://www.coquimbonoticias.cl</v>
      </c>
      <c r="AR305" t="s">
        <v>4167</v>
      </c>
      <c r="AV305">
        <v>1.13284285641312E+18</v>
      </c>
      <c r="AW305" s="79" t="str">
        <f>HYPERLINK("https://t.co/xMqNsA8lSL")</f>
        <v>https://t.co/xMqNsA8lSL</v>
      </c>
      <c r="AX305" t="b">
        <v>0</v>
      </c>
      <c r="BA305" t="b">
        <v>0</v>
      </c>
      <c r="BB305" t="b">
        <v>1</v>
      </c>
      <c r="BC305" t="b">
        <v>1</v>
      </c>
      <c r="BD305" t="b">
        <v>0</v>
      </c>
      <c r="BE305" t="b">
        <v>0</v>
      </c>
      <c r="BF305" t="b">
        <v>0</v>
      </c>
      <c r="BG305" t="b">
        <v>0</v>
      </c>
      <c r="BH305" s="79" t="str">
        <f>HYPERLINK("https://pbs.twimg.com/profile_banners/955587576735334400/1699819178")</f>
        <v>https://pbs.twimg.com/profile_banners/955587576735334400/1699819178</v>
      </c>
      <c r="BJ305" t="s">
        <v>4320</v>
      </c>
      <c r="BK305" t="b">
        <v>0</v>
      </c>
      <c r="BM305" t="s">
        <v>66</v>
      </c>
      <c r="BN305" t="s">
        <v>4322</v>
      </c>
      <c r="BO305" s="79" t="str">
        <f>HYPERLINK("https://twitter.com/coquimbonoticia")</f>
        <v>https://twitter.com/coquimbonoticia</v>
      </c>
      <c r="BP305" s="112" t="str">
        <f>REPLACE(INDEX(GroupVertices[Group], MATCH("~"&amp;Vertices[[#This Row],[Vertex]],GroupVertices[Vertex],0)),1,1,"")</f>
        <v>132</v>
      </c>
      <c r="BQ305" s="2"/>
    </row>
    <row r="306" spans="1:69" x14ac:dyDescent="0.25">
      <c r="A306" s="61" t="s">
        <v>627</v>
      </c>
      <c r="B306" s="62"/>
      <c r="C306" s="62"/>
      <c r="D306" s="63">
        <v>1.5</v>
      </c>
      <c r="E306" s="65"/>
      <c r="F306" s="97" t="str">
        <f>HYPERLINK("https://pbs.twimg.com/profile_images/1929635674908499968/Kzvr2MgN_normal.jpg")</f>
        <v>https://pbs.twimg.com/profile_images/1929635674908499968/Kzvr2MgN_normal.jpg</v>
      </c>
      <c r="G306" s="62"/>
      <c r="H306" s="66"/>
      <c r="I306" s="67"/>
      <c r="J306" s="67"/>
      <c r="K306" s="66" t="s">
        <v>4601</v>
      </c>
      <c r="L306" s="70"/>
      <c r="M306" s="71">
        <v>5656.18408203125</v>
      </c>
      <c r="N306" s="71">
        <v>7679.439453125</v>
      </c>
      <c r="O306" s="72"/>
      <c r="P306" s="73"/>
      <c r="Q306" s="73"/>
      <c r="R306" s="81"/>
      <c r="S306" s="45">
        <v>1</v>
      </c>
      <c r="T306" s="45">
        <v>0</v>
      </c>
      <c r="U306" s="46">
        <v>0</v>
      </c>
      <c r="V306" s="46">
        <v>4.7920000000000003E-3</v>
      </c>
      <c r="W306" s="47"/>
      <c r="X306" s="47"/>
      <c r="Y306" s="47"/>
      <c r="Z306" s="46"/>
      <c r="AA306" s="68">
        <v>306</v>
      </c>
      <c r="AB306"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06" s="69"/>
      <c r="AD306" t="s">
        <v>2960</v>
      </c>
      <c r="AE306" s="77" t="s">
        <v>3293</v>
      </c>
      <c r="AF306">
        <v>759</v>
      </c>
      <c r="AG306">
        <v>758</v>
      </c>
      <c r="AH306">
        <v>29915</v>
      </c>
      <c r="AI306">
        <v>1</v>
      </c>
      <c r="AJ306">
        <v>60407</v>
      </c>
      <c r="AK306">
        <v>3849</v>
      </c>
      <c r="AL306" t="b">
        <v>0</v>
      </c>
      <c r="AM306" s="76">
        <v>44517.325208333335</v>
      </c>
      <c r="AN306" t="s">
        <v>3541</v>
      </c>
      <c r="AO306" t="s">
        <v>3880</v>
      </c>
      <c r="AX306" t="b">
        <v>0</v>
      </c>
      <c r="AZ306" t="b">
        <v>0</v>
      </c>
      <c r="BA306" t="b">
        <v>0</v>
      </c>
      <c r="BB306" t="b">
        <v>1</v>
      </c>
      <c r="BC306" t="b">
        <v>1</v>
      </c>
      <c r="BD306" t="b">
        <v>0</v>
      </c>
      <c r="BE306" t="b">
        <v>0</v>
      </c>
      <c r="BF306" t="b">
        <v>0</v>
      </c>
      <c r="BG306" t="b">
        <v>0</v>
      </c>
      <c r="BH306" s="79" t="str">
        <f>HYPERLINK("https://pbs.twimg.com/profile_banners/1460877274773966848/1748855155")</f>
        <v>https://pbs.twimg.com/profile_banners/1460877274773966848/1748855155</v>
      </c>
      <c r="BJ306" t="s">
        <v>4320</v>
      </c>
      <c r="BK306" t="b">
        <v>0</v>
      </c>
      <c r="BM306" t="s">
        <v>65</v>
      </c>
      <c r="BN306" t="s">
        <v>4322</v>
      </c>
      <c r="BO306" s="79" t="str">
        <f>HYPERLINK("https://twitter.com/vanika96177525")</f>
        <v>https://twitter.com/vanika96177525</v>
      </c>
      <c r="BP306" s="112" t="str">
        <f>REPLACE(INDEX(GroupVertices[Group], MATCH("~"&amp;Vertices[[#This Row],[Vertex]],GroupVertices[Vertex],0)),1,1,"")</f>
        <v>11</v>
      </c>
      <c r="BQ306" s="2"/>
    </row>
    <row r="307" spans="1:69" x14ac:dyDescent="0.25">
      <c r="A307" s="61" t="s">
        <v>628</v>
      </c>
      <c r="B307" s="62"/>
      <c r="C307" s="62"/>
      <c r="D307" s="63">
        <v>1.5</v>
      </c>
      <c r="E307" s="65"/>
      <c r="F307" s="97" t="str">
        <f>HYPERLINK("https://pbs.twimg.com/profile_images/1866167354524045312/t-L-rAKT_normal.jpg")</f>
        <v>https://pbs.twimg.com/profile_images/1866167354524045312/t-L-rAKT_normal.jpg</v>
      </c>
      <c r="G307" s="62"/>
      <c r="H307" s="66"/>
      <c r="I307" s="67"/>
      <c r="J307" s="67"/>
      <c r="K307" s="66" t="s">
        <v>4602</v>
      </c>
      <c r="L307" s="70"/>
      <c r="M307" s="71">
        <v>6352.064453125</v>
      </c>
      <c r="N307" s="71">
        <v>7905.38525390625</v>
      </c>
      <c r="O307" s="72"/>
      <c r="P307" s="73"/>
      <c r="Q307" s="73"/>
      <c r="R307" s="81"/>
      <c r="S307" s="45">
        <v>1</v>
      </c>
      <c r="T307" s="45">
        <v>0</v>
      </c>
      <c r="U307" s="46">
        <v>0</v>
      </c>
      <c r="V307" s="46">
        <v>4.7920000000000003E-3</v>
      </c>
      <c r="W307" s="47"/>
      <c r="X307" s="47"/>
      <c r="Y307" s="47"/>
      <c r="Z307" s="46"/>
      <c r="AA307" s="68">
        <v>307</v>
      </c>
      <c r="AB307"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07" s="69"/>
      <c r="AD307" t="s">
        <v>2961</v>
      </c>
      <c r="AE307" s="77" t="s">
        <v>2442</v>
      </c>
      <c r="AF307">
        <v>25</v>
      </c>
      <c r="AG307">
        <v>106</v>
      </c>
      <c r="AH307">
        <v>1092</v>
      </c>
      <c r="AI307">
        <v>0</v>
      </c>
      <c r="AJ307">
        <v>1881</v>
      </c>
      <c r="AK307">
        <v>41</v>
      </c>
      <c r="AL307" t="b">
        <v>0</v>
      </c>
      <c r="AM307" s="76">
        <v>45080.562094907407</v>
      </c>
      <c r="AO307" t="s">
        <v>3881</v>
      </c>
      <c r="AX307" t="b">
        <v>0</v>
      </c>
      <c r="AZ307" t="b">
        <v>0</v>
      </c>
      <c r="BA307" t="b">
        <v>0</v>
      </c>
      <c r="BB307" t="b">
        <v>1</v>
      </c>
      <c r="BC307" t="b">
        <v>1</v>
      </c>
      <c r="BD307" t="b">
        <v>0</v>
      </c>
      <c r="BE307" t="b">
        <v>0</v>
      </c>
      <c r="BF307" t="b">
        <v>0</v>
      </c>
      <c r="BG307" t="b">
        <v>0</v>
      </c>
      <c r="BH307" s="79" t="str">
        <f>HYPERLINK("https://pbs.twimg.com/profile_banners/1664987499800805376/1687860926")</f>
        <v>https://pbs.twimg.com/profile_banners/1664987499800805376/1687860926</v>
      </c>
      <c r="BJ307" t="s">
        <v>4320</v>
      </c>
      <c r="BK307" t="b">
        <v>0</v>
      </c>
      <c r="BM307" t="s">
        <v>65</v>
      </c>
      <c r="BN307" t="s">
        <v>4322</v>
      </c>
      <c r="BO307" s="79" t="str">
        <f>HYPERLINK("https://twitter.com/yomisma19710043")</f>
        <v>https://twitter.com/yomisma19710043</v>
      </c>
      <c r="BP307" s="112" t="str">
        <f>REPLACE(INDEX(GroupVertices[Group], MATCH("~"&amp;Vertices[[#This Row],[Vertex]],GroupVertices[Vertex],0)),1,1,"")</f>
        <v>11</v>
      </c>
      <c r="BQ307" s="2"/>
    </row>
    <row r="308" spans="1:69" x14ac:dyDescent="0.25">
      <c r="A308" s="61" t="s">
        <v>629</v>
      </c>
      <c r="B308" s="62"/>
      <c r="C308" s="62"/>
      <c r="D308" s="63">
        <v>1.5</v>
      </c>
      <c r="E308" s="65"/>
      <c r="F308" s="97" t="str">
        <f>HYPERLINK("https://pbs.twimg.com/profile_images/1924386462084055040/HYRchGt0_normal.jpg")</f>
        <v>https://pbs.twimg.com/profile_images/1924386462084055040/HYRchGt0_normal.jpg</v>
      </c>
      <c r="G308" s="62"/>
      <c r="H308" s="66"/>
      <c r="I308" s="67"/>
      <c r="J308" s="67"/>
      <c r="K308" s="66" t="s">
        <v>4603</v>
      </c>
      <c r="L308" s="70"/>
      <c r="M308" s="71">
        <v>7933.18505859375</v>
      </c>
      <c r="N308" s="71">
        <v>4946.03857421875</v>
      </c>
      <c r="O308" s="72"/>
      <c r="P308" s="73"/>
      <c r="Q308" s="73"/>
      <c r="R308" s="81"/>
      <c r="S308" s="45">
        <v>1</v>
      </c>
      <c r="T308" s="45">
        <v>0</v>
      </c>
      <c r="U308" s="46">
        <v>0</v>
      </c>
      <c r="V308" s="46">
        <v>4.7920000000000003E-3</v>
      </c>
      <c r="W308" s="47"/>
      <c r="X308" s="47"/>
      <c r="Y308" s="47"/>
      <c r="Z308" s="46"/>
      <c r="AA308" s="68">
        <v>308</v>
      </c>
      <c r="AB308"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08" s="69"/>
      <c r="AD308" t="s">
        <v>2962</v>
      </c>
      <c r="AE308" s="77" t="s">
        <v>3294</v>
      </c>
      <c r="AF308">
        <v>28387</v>
      </c>
      <c r="AG308">
        <v>17893</v>
      </c>
      <c r="AH308">
        <v>6208</v>
      </c>
      <c r="AI308">
        <v>0</v>
      </c>
      <c r="AJ308">
        <v>72704</v>
      </c>
      <c r="AK308">
        <v>2924</v>
      </c>
      <c r="AL308" t="b">
        <v>0</v>
      </c>
      <c r="AM308" s="76">
        <v>44614.674131944441</v>
      </c>
      <c r="AO308" t="s">
        <v>3882</v>
      </c>
      <c r="AX308" t="b">
        <v>0</v>
      </c>
      <c r="AZ308" t="b">
        <v>0</v>
      </c>
      <c r="BA308" t="b">
        <v>0</v>
      </c>
      <c r="BB308" t="b">
        <v>1</v>
      </c>
      <c r="BC308" t="b">
        <v>1</v>
      </c>
      <c r="BD308" t="b">
        <v>0</v>
      </c>
      <c r="BE308" t="b">
        <v>1</v>
      </c>
      <c r="BF308" t="b">
        <v>0</v>
      </c>
      <c r="BG308" t="b">
        <v>0</v>
      </c>
      <c r="BH308" s="79" t="str">
        <f>HYPERLINK("https://pbs.twimg.com/profile_banners/1496155476974882827/1747644435")</f>
        <v>https://pbs.twimg.com/profile_banners/1496155476974882827/1747644435</v>
      </c>
      <c r="BJ308" t="s">
        <v>4320</v>
      </c>
      <c r="BK308" t="b">
        <v>0</v>
      </c>
      <c r="BM308" t="s">
        <v>65</v>
      </c>
      <c r="BN308" t="s">
        <v>4322</v>
      </c>
      <c r="BO308" s="79" t="str">
        <f>HYPERLINK("https://twitter.com/comentemostele")</f>
        <v>https://twitter.com/comentemostele</v>
      </c>
      <c r="BP308" s="112" t="str">
        <f>REPLACE(INDEX(GroupVertices[Group], MATCH("~"&amp;Vertices[[#This Row],[Vertex]],GroupVertices[Vertex],0)),1,1,"")</f>
        <v>11</v>
      </c>
      <c r="BQ308" s="2"/>
    </row>
    <row r="309" spans="1:69" x14ac:dyDescent="0.25">
      <c r="A309" s="61" t="s">
        <v>630</v>
      </c>
      <c r="B309" s="62"/>
      <c r="C309" s="62"/>
      <c r="D309" s="63">
        <v>1.5</v>
      </c>
      <c r="E309" s="65"/>
      <c r="F309" s="97" t="str">
        <f>HYPERLINK("https://pbs.twimg.com/profile_images/1621808132799209473/G0VhHQi7_normal.jpg")</f>
        <v>https://pbs.twimg.com/profile_images/1621808132799209473/G0VhHQi7_normal.jpg</v>
      </c>
      <c r="G309" s="62"/>
      <c r="H309" s="66"/>
      <c r="I309" s="67"/>
      <c r="J309" s="67"/>
      <c r="K309" s="66" t="s">
        <v>4604</v>
      </c>
      <c r="L309" s="70"/>
      <c r="M309" s="71">
        <v>8808.5244140625</v>
      </c>
      <c r="N309" s="71">
        <v>3722.049560546875</v>
      </c>
      <c r="O309" s="72"/>
      <c r="P309" s="73"/>
      <c r="Q309" s="73"/>
      <c r="R309" s="81"/>
      <c r="S309" s="45">
        <v>1</v>
      </c>
      <c r="T309" s="45">
        <v>0</v>
      </c>
      <c r="U309" s="46">
        <v>0</v>
      </c>
      <c r="V309" s="46">
        <v>4.7920000000000003E-3</v>
      </c>
      <c r="W309" s="47"/>
      <c r="X309" s="47"/>
      <c r="Y309" s="47"/>
      <c r="Z309" s="46"/>
      <c r="AA309" s="68">
        <v>309</v>
      </c>
      <c r="AB309"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09" s="69"/>
      <c r="AD309" t="s">
        <v>2963</v>
      </c>
      <c r="AE309" s="77" t="s">
        <v>2443</v>
      </c>
      <c r="AF309">
        <v>860</v>
      </c>
      <c r="AG309">
        <v>1303</v>
      </c>
      <c r="AH309">
        <v>32229</v>
      </c>
      <c r="AI309">
        <v>4</v>
      </c>
      <c r="AJ309">
        <v>47784</v>
      </c>
      <c r="AK309">
        <v>303</v>
      </c>
      <c r="AL309" t="b">
        <v>0</v>
      </c>
      <c r="AM309" s="76">
        <v>43073.720300925925</v>
      </c>
      <c r="AO309" t="s">
        <v>3883</v>
      </c>
      <c r="AV309">
        <v>1.5313716354034601E+18</v>
      </c>
      <c r="AX309" t="b">
        <v>0</v>
      </c>
      <c r="AZ309" t="b">
        <v>0</v>
      </c>
      <c r="BA309" t="b">
        <v>0</v>
      </c>
      <c r="BB309" t="b">
        <v>1</v>
      </c>
      <c r="BC309" t="b">
        <v>1</v>
      </c>
      <c r="BD309" t="b">
        <v>0</v>
      </c>
      <c r="BE309" t="b">
        <v>1</v>
      </c>
      <c r="BF309" t="b">
        <v>0</v>
      </c>
      <c r="BG309" t="b">
        <v>0</v>
      </c>
      <c r="BH309" s="79" t="str">
        <f>HYPERLINK("https://pbs.twimg.com/profile_banners/937732539502026752/1524491735")</f>
        <v>https://pbs.twimg.com/profile_banners/937732539502026752/1524491735</v>
      </c>
      <c r="BJ309" t="s">
        <v>4320</v>
      </c>
      <c r="BK309" t="b">
        <v>0</v>
      </c>
      <c r="BM309" t="s">
        <v>65</v>
      </c>
      <c r="BN309" t="s">
        <v>4322</v>
      </c>
      <c r="BO309" s="79" t="str">
        <f>HYPERLINK("https://twitter.com/poropinar1")</f>
        <v>https://twitter.com/poropinar1</v>
      </c>
      <c r="BP309" s="112" t="str">
        <f>REPLACE(INDEX(GroupVertices[Group], MATCH("~"&amp;Vertices[[#This Row],[Vertex]],GroupVertices[Vertex],0)),1,1,"")</f>
        <v>11</v>
      </c>
      <c r="BQ309" s="2"/>
    </row>
    <row r="310" spans="1:69" x14ac:dyDescent="0.25">
      <c r="A310" s="61" t="s">
        <v>374</v>
      </c>
      <c r="B310" s="62"/>
      <c r="C310" s="62"/>
      <c r="D310" s="63">
        <v>1.5</v>
      </c>
      <c r="E310" s="65"/>
      <c r="F310" s="97" t="str">
        <f>HYPERLINK("https://pbs.twimg.com/profile_images/1466106216623529996/YzYqQbXo_normal.png")</f>
        <v>https://pbs.twimg.com/profile_images/1466106216623529996/YzYqQbXo_normal.png</v>
      </c>
      <c r="G310" s="62"/>
      <c r="H310" s="66"/>
      <c r="I310" s="67"/>
      <c r="J310" s="67"/>
      <c r="K310" s="66" t="s">
        <v>4605</v>
      </c>
      <c r="L310" s="70"/>
      <c r="M310" s="71">
        <v>6167.44921875</v>
      </c>
      <c r="N310" s="71">
        <v>884.06719970703125</v>
      </c>
      <c r="O310" s="72"/>
      <c r="P310" s="73"/>
      <c r="Q310" s="73"/>
      <c r="R310" s="81"/>
      <c r="S310" s="45">
        <v>0</v>
      </c>
      <c r="T310" s="45">
        <v>1</v>
      </c>
      <c r="U310" s="46">
        <v>0</v>
      </c>
      <c r="V310" s="46">
        <v>2.0960000000000002E-3</v>
      </c>
      <c r="W310" s="47"/>
      <c r="X310" s="47"/>
      <c r="Y310" s="47"/>
      <c r="Z310" s="46"/>
      <c r="AA310" s="68">
        <v>310</v>
      </c>
      <c r="AB310"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10" s="69"/>
      <c r="AD310" t="s">
        <v>2964</v>
      </c>
      <c r="AE310" s="77" t="s">
        <v>2596</v>
      </c>
      <c r="AF310">
        <v>264</v>
      </c>
      <c r="AG310">
        <v>1006</v>
      </c>
      <c r="AH310">
        <v>4992</v>
      </c>
      <c r="AI310">
        <v>1</v>
      </c>
      <c r="AJ310">
        <v>338</v>
      </c>
      <c r="AK310">
        <v>1232</v>
      </c>
      <c r="AL310" t="b">
        <v>0</v>
      </c>
      <c r="AM310" s="76">
        <v>44531.753877314812</v>
      </c>
      <c r="AX310" t="b">
        <v>0</v>
      </c>
      <c r="BA310" t="b">
        <v>1</v>
      </c>
      <c r="BB310" t="b">
        <v>1</v>
      </c>
      <c r="BC310" t="b">
        <v>1</v>
      </c>
      <c r="BD310" t="b">
        <v>0</v>
      </c>
      <c r="BE310" t="b">
        <v>0</v>
      </c>
      <c r="BF310" t="b">
        <v>0</v>
      </c>
      <c r="BG310" t="b">
        <v>0</v>
      </c>
      <c r="BJ310" t="s">
        <v>4320</v>
      </c>
      <c r="BK310" t="b">
        <v>0</v>
      </c>
      <c r="BM310" t="s">
        <v>66</v>
      </c>
      <c r="BN310" t="s">
        <v>4322</v>
      </c>
      <c r="BO310" s="79" t="str">
        <f>HYPERLINK("https://twitter.com/mulachroberto")</f>
        <v>https://twitter.com/mulachroberto</v>
      </c>
      <c r="BP310" s="112" t="str">
        <f>REPLACE(INDEX(GroupVertices[Group], MATCH("~"&amp;Vertices[[#This Row],[Vertex]],GroupVertices[Vertex],0)),1,1,"")</f>
        <v>62</v>
      </c>
      <c r="BQ310" s="2"/>
    </row>
    <row r="311" spans="1:69" x14ac:dyDescent="0.25">
      <c r="A311" s="61" t="s">
        <v>631</v>
      </c>
      <c r="B311" s="62"/>
      <c r="C311" s="62"/>
      <c r="D311" s="63">
        <v>1.5</v>
      </c>
      <c r="E311" s="65"/>
      <c r="F311" s="97" t="str">
        <f>HYPERLINK("https://pbs.twimg.com/profile_images/1399024289165320198/9WZa8ZGe_normal.jpg")</f>
        <v>https://pbs.twimg.com/profile_images/1399024289165320198/9WZa8ZGe_normal.jpg</v>
      </c>
      <c r="G311" s="62"/>
      <c r="H311" s="66"/>
      <c r="I311" s="67"/>
      <c r="J311" s="67"/>
      <c r="K311" s="66" t="s">
        <v>4606</v>
      </c>
      <c r="L311" s="70"/>
      <c r="M311" s="71">
        <v>7930.2451171875</v>
      </c>
      <c r="N311" s="71">
        <v>780.9681396484375</v>
      </c>
      <c r="O311" s="72"/>
      <c r="P311" s="73"/>
      <c r="Q311" s="73"/>
      <c r="R311" s="81"/>
      <c r="S311" s="45">
        <v>1</v>
      </c>
      <c r="T311" s="45">
        <v>0</v>
      </c>
      <c r="U311" s="46">
        <v>0</v>
      </c>
      <c r="V311" s="46">
        <v>2.0960000000000002E-3</v>
      </c>
      <c r="W311" s="47"/>
      <c r="X311" s="47"/>
      <c r="Y311" s="47"/>
      <c r="Z311" s="46"/>
      <c r="AA311" s="68">
        <v>311</v>
      </c>
      <c r="AB311"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11" s="69"/>
      <c r="AD311" t="s">
        <v>2965</v>
      </c>
      <c r="AE311" s="77" t="s">
        <v>2444</v>
      </c>
      <c r="AF311">
        <v>142429</v>
      </c>
      <c r="AG311">
        <v>7558</v>
      </c>
      <c r="AH311">
        <v>33053</v>
      </c>
      <c r="AI311">
        <v>584</v>
      </c>
      <c r="AJ311">
        <v>10954</v>
      </c>
      <c r="AK311">
        <v>11215</v>
      </c>
      <c r="AL311" t="b">
        <v>0</v>
      </c>
      <c r="AM311" s="76">
        <v>40382.714513888888</v>
      </c>
      <c r="AN311" t="s">
        <v>3410</v>
      </c>
      <c r="AO311" t="s">
        <v>3884</v>
      </c>
      <c r="AX311" t="b">
        <v>1</v>
      </c>
      <c r="AZ311" t="b">
        <v>0</v>
      </c>
      <c r="BA311" t="b">
        <v>0</v>
      </c>
      <c r="BB311" t="b">
        <v>1</v>
      </c>
      <c r="BC311" t="b">
        <v>1</v>
      </c>
      <c r="BD311" t="b">
        <v>0</v>
      </c>
      <c r="BE311" t="b">
        <v>1</v>
      </c>
      <c r="BF311" t="b">
        <v>0</v>
      </c>
      <c r="BG311" t="b">
        <v>0</v>
      </c>
      <c r="BH311" s="79" t="str">
        <f>HYPERLINK("https://pbs.twimg.com/profile_banners/169979854/1726975304")</f>
        <v>https://pbs.twimg.com/profile_banners/169979854/1726975304</v>
      </c>
      <c r="BJ311" t="s">
        <v>4320</v>
      </c>
      <c r="BK311" t="b">
        <v>0</v>
      </c>
      <c r="BM311" t="s">
        <v>65</v>
      </c>
      <c r="BN311" t="s">
        <v>4322</v>
      </c>
      <c r="BO311" s="79" t="str">
        <f>HYPERLINK("https://twitter.com/hugo_gutierrez_")</f>
        <v>https://twitter.com/hugo_gutierrez_</v>
      </c>
      <c r="BP311" s="112" t="str">
        <f>REPLACE(INDEX(GroupVertices[Group], MATCH("~"&amp;Vertices[[#This Row],[Vertex]],GroupVertices[Vertex],0)),1,1,"")</f>
        <v>62</v>
      </c>
      <c r="BQ311" s="2"/>
    </row>
    <row r="312" spans="1:69" x14ac:dyDescent="0.25">
      <c r="A312" s="61" t="s">
        <v>632</v>
      </c>
      <c r="B312" s="62"/>
      <c r="C312" s="62"/>
      <c r="D312" s="63">
        <v>1.5</v>
      </c>
      <c r="E312" s="65"/>
      <c r="F312" s="97" t="str">
        <f>HYPERLINK("https://pbs.twimg.com/profile_images/1868714223401902080/BmzV45kx_normal.jpg")</f>
        <v>https://pbs.twimg.com/profile_images/1868714223401902080/BmzV45kx_normal.jpg</v>
      </c>
      <c r="G312" s="62"/>
      <c r="H312" s="66"/>
      <c r="I312" s="67"/>
      <c r="J312" s="67"/>
      <c r="K312" s="66" t="s">
        <v>4608</v>
      </c>
      <c r="L312" s="70"/>
      <c r="M312" s="71">
        <v>2476.714111328125</v>
      </c>
      <c r="N312" s="71">
        <v>593.0706787109375</v>
      </c>
      <c r="O312" s="72"/>
      <c r="P312" s="73"/>
      <c r="Q312" s="73"/>
      <c r="R312" s="81"/>
      <c r="S312" s="45">
        <v>1</v>
      </c>
      <c r="T312" s="45">
        <v>0</v>
      </c>
      <c r="U312" s="46">
        <v>0</v>
      </c>
      <c r="V312" s="46">
        <v>2.7950000000000002E-3</v>
      </c>
      <c r="W312" s="47"/>
      <c r="X312" s="47"/>
      <c r="Y312" s="47"/>
      <c r="Z312" s="46"/>
      <c r="AA312" s="68">
        <v>312</v>
      </c>
      <c r="AB312"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12" s="69"/>
      <c r="AD312" t="s">
        <v>2967</v>
      </c>
      <c r="AE312" s="77" t="s">
        <v>3295</v>
      </c>
      <c r="AF312">
        <v>17160</v>
      </c>
      <c r="AG312">
        <v>3489</v>
      </c>
      <c r="AH312">
        <v>13954</v>
      </c>
      <c r="AI312">
        <v>126</v>
      </c>
      <c r="AJ312">
        <v>1303</v>
      </c>
      <c r="AK312">
        <v>1973</v>
      </c>
      <c r="AL312" t="b">
        <v>0</v>
      </c>
      <c r="AM312" s="76">
        <v>40240.014201388891</v>
      </c>
      <c r="AN312" t="s">
        <v>3542</v>
      </c>
      <c r="AO312" t="s">
        <v>3886</v>
      </c>
      <c r="AP312" s="79" t="str">
        <f>HYPERLINK("https://t.co/IeQdC0FzRn")</f>
        <v>https://t.co/IeQdC0FzRn</v>
      </c>
      <c r="AQ312" s="79" t="str">
        <f>HYPERLINK("http://www.udd.cl/")</f>
        <v>http://www.udd.cl/</v>
      </c>
      <c r="AR312" t="s">
        <v>4168</v>
      </c>
      <c r="AW312" s="79" t="str">
        <f>HYPERLINK("https://t.co/IeQdC0FzRn")</f>
        <v>https://t.co/IeQdC0FzRn</v>
      </c>
      <c r="AX312" t="b">
        <v>0</v>
      </c>
      <c r="AZ312" t="b">
        <v>0</v>
      </c>
      <c r="BA312" t="b">
        <v>1</v>
      </c>
      <c r="BB312" t="b">
        <v>1</v>
      </c>
      <c r="BC312" t="b">
        <v>0</v>
      </c>
      <c r="BD312" t="b">
        <v>0</v>
      </c>
      <c r="BE312" t="b">
        <v>1</v>
      </c>
      <c r="BF312" t="b">
        <v>0</v>
      </c>
      <c r="BG312" t="b">
        <v>0</v>
      </c>
      <c r="BH312" s="79" t="str">
        <f>HYPERLINK("https://pbs.twimg.com/profile_banners/119211398/1734368773")</f>
        <v>https://pbs.twimg.com/profile_banners/119211398/1734368773</v>
      </c>
      <c r="BJ312" t="s">
        <v>4320</v>
      </c>
      <c r="BK312" t="b">
        <v>0</v>
      </c>
      <c r="BM312" t="s">
        <v>65</v>
      </c>
      <c r="BN312" t="s">
        <v>4322</v>
      </c>
      <c r="BO312" s="79" t="str">
        <f>HYPERLINK("https://twitter.com/udd_cl")</f>
        <v>https://twitter.com/udd_cl</v>
      </c>
      <c r="BP312" s="112" t="str">
        <f>REPLACE(INDEX(GroupVertices[Group], MATCH("~"&amp;Vertices[[#This Row],[Vertex]],GroupVertices[Vertex],0)),1,1,"")</f>
        <v>37</v>
      </c>
      <c r="BQ312" s="2"/>
    </row>
    <row r="313" spans="1:69" x14ac:dyDescent="0.25">
      <c r="A313" s="61" t="s">
        <v>633</v>
      </c>
      <c r="B313" s="62"/>
      <c r="C313" s="62"/>
      <c r="D313" s="63">
        <v>1.5</v>
      </c>
      <c r="E313" s="65"/>
      <c r="F313" s="97" t="str">
        <f>HYPERLINK("https://pbs.twimg.com/profile_images/1768281288648040449/9hflZehz_normal.jpg")</f>
        <v>https://pbs.twimg.com/profile_images/1768281288648040449/9hflZehz_normal.jpg</v>
      </c>
      <c r="G313" s="62"/>
      <c r="H313" s="66"/>
      <c r="I313" s="67"/>
      <c r="J313" s="67"/>
      <c r="K313" s="66" t="s">
        <v>4609</v>
      </c>
      <c r="L313" s="70"/>
      <c r="M313" s="71">
        <v>4681.59765625</v>
      </c>
      <c r="N313" s="71">
        <v>693.0699462890625</v>
      </c>
      <c r="O313" s="72"/>
      <c r="P313" s="73"/>
      <c r="Q313" s="73"/>
      <c r="R313" s="81"/>
      <c r="S313" s="45">
        <v>1</v>
      </c>
      <c r="T313" s="45">
        <v>0</v>
      </c>
      <c r="U313" s="46">
        <v>0</v>
      </c>
      <c r="V313" s="46">
        <v>2.7950000000000002E-3</v>
      </c>
      <c r="W313" s="47"/>
      <c r="X313" s="47"/>
      <c r="Y313" s="47"/>
      <c r="Z313" s="46"/>
      <c r="AA313" s="68">
        <v>313</v>
      </c>
      <c r="AB313"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13" s="69"/>
      <c r="AD313" t="s">
        <v>2968</v>
      </c>
      <c r="AE313" s="77" t="s">
        <v>2445</v>
      </c>
      <c r="AF313">
        <v>13220</v>
      </c>
      <c r="AG313">
        <v>2202</v>
      </c>
      <c r="AH313">
        <v>3542</v>
      </c>
      <c r="AI313">
        <v>32</v>
      </c>
      <c r="AJ313">
        <v>832</v>
      </c>
      <c r="AK313">
        <v>1610</v>
      </c>
      <c r="AL313" t="b">
        <v>0</v>
      </c>
      <c r="AM313" s="76">
        <v>44523.853622685187</v>
      </c>
      <c r="AN313" t="s">
        <v>3400</v>
      </c>
      <c r="AO313" t="s">
        <v>3887</v>
      </c>
      <c r="AP313" s="79" t="str">
        <f>HYPERLINK("https://t.co/f2NNsdC6nK")</f>
        <v>https://t.co/f2NNsdC6nK</v>
      </c>
      <c r="AQ313" s="79" t="str">
        <f>HYPERLINK("http://www.pivotes.cl")</f>
        <v>http://www.pivotes.cl</v>
      </c>
      <c r="AR313" t="s">
        <v>4169</v>
      </c>
      <c r="AV313">
        <v>1.90707624226607E+18</v>
      </c>
      <c r="AW313" s="79" t="str">
        <f>HYPERLINK("https://t.co/f2NNsdC6nK")</f>
        <v>https://t.co/f2NNsdC6nK</v>
      </c>
      <c r="AX313" t="b">
        <v>1</v>
      </c>
      <c r="AZ313" t="b">
        <v>0</v>
      </c>
      <c r="BA313" t="b">
        <v>0</v>
      </c>
      <c r="BB313" t="b">
        <v>1</v>
      </c>
      <c r="BC313" t="b">
        <v>1</v>
      </c>
      <c r="BD313" t="b">
        <v>0</v>
      </c>
      <c r="BE313" t="b">
        <v>1</v>
      </c>
      <c r="BF313" t="b">
        <v>0</v>
      </c>
      <c r="BG313" t="b">
        <v>0</v>
      </c>
      <c r="BH313" s="79" t="str">
        <f>HYPERLINK("https://pbs.twimg.com/profile_banners/1463243191994527744/1710425674")</f>
        <v>https://pbs.twimg.com/profile_banners/1463243191994527744/1710425674</v>
      </c>
      <c r="BJ313" t="s">
        <v>4320</v>
      </c>
      <c r="BK313" t="b">
        <v>0</v>
      </c>
      <c r="BM313" t="s">
        <v>65</v>
      </c>
      <c r="BN313" t="s">
        <v>4322</v>
      </c>
      <c r="BO313" s="79" t="str">
        <f>HYPERLINK("https://twitter.com/pivotes_cl")</f>
        <v>https://twitter.com/pivotes_cl</v>
      </c>
      <c r="BP313" s="112" t="str">
        <f>REPLACE(INDEX(GroupVertices[Group], MATCH("~"&amp;Vertices[[#This Row],[Vertex]],GroupVertices[Vertex],0)),1,1,"")</f>
        <v>37</v>
      </c>
      <c r="BQ313" s="2"/>
    </row>
    <row r="314" spans="1:69" x14ac:dyDescent="0.25">
      <c r="A314" s="61" t="s">
        <v>634</v>
      </c>
      <c r="B314" s="62"/>
      <c r="C314" s="62"/>
      <c r="D314" s="63">
        <v>1.5</v>
      </c>
      <c r="E314" s="65"/>
      <c r="F314" s="97" t="str">
        <f>HYPERLINK("https://pbs.twimg.com/profile_images/1915073376856522752/qzqVk2Sp_normal.jpg")</f>
        <v>https://pbs.twimg.com/profile_images/1915073376856522752/qzqVk2Sp_normal.jpg</v>
      </c>
      <c r="G314" s="62"/>
      <c r="H314" s="66"/>
      <c r="I314" s="67"/>
      <c r="J314" s="67"/>
      <c r="K314" s="66" t="s">
        <v>4611</v>
      </c>
      <c r="L314" s="70"/>
      <c r="M314" s="71">
        <v>644.8931884765625</v>
      </c>
      <c r="N314" s="71">
        <v>7359.4267578125</v>
      </c>
      <c r="O314" s="72"/>
      <c r="P314" s="73"/>
      <c r="Q314" s="73"/>
      <c r="R314" s="81"/>
      <c r="S314" s="45">
        <v>1</v>
      </c>
      <c r="T314" s="45">
        <v>0</v>
      </c>
      <c r="U314" s="46">
        <v>0</v>
      </c>
      <c r="V314" s="46">
        <v>3.774E-3</v>
      </c>
      <c r="W314" s="47"/>
      <c r="X314" s="47"/>
      <c r="Y314" s="47"/>
      <c r="Z314" s="46"/>
      <c r="AA314" s="68">
        <v>314</v>
      </c>
      <c r="AB314"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14" s="69"/>
      <c r="AD314" t="s">
        <v>2970</v>
      </c>
      <c r="AE314" s="77" t="s">
        <v>3297</v>
      </c>
      <c r="AF314">
        <v>216637</v>
      </c>
      <c r="AG314">
        <v>7335</v>
      </c>
      <c r="AH314">
        <v>69949</v>
      </c>
      <c r="AI314">
        <v>930</v>
      </c>
      <c r="AJ314">
        <v>181019</v>
      </c>
      <c r="AK314">
        <v>7222</v>
      </c>
      <c r="AL314" t="b">
        <v>0</v>
      </c>
      <c r="AM314" s="76">
        <v>40123.686701388891</v>
      </c>
      <c r="AN314" t="s">
        <v>3415</v>
      </c>
      <c r="AO314" t="s">
        <v>3889</v>
      </c>
      <c r="AP314" s="79" t="str">
        <f>HYPERLINK("https://t.co/lQnGpcydOb")</f>
        <v>https://t.co/lQnGpcydOb</v>
      </c>
      <c r="AQ314" s="79" t="str">
        <f>HYPERLINK("http://elchamuco.com.mx")</f>
        <v>http://elchamuco.com.mx</v>
      </c>
      <c r="AR314" t="s">
        <v>4170</v>
      </c>
      <c r="AV314">
        <v>1.86294190957808E+18</v>
      </c>
      <c r="AW314" s="79" t="str">
        <f>HYPERLINK("https://t.co/lQnGpcydOb")</f>
        <v>https://t.co/lQnGpcydOb</v>
      </c>
      <c r="AX314" t="b">
        <v>1</v>
      </c>
      <c r="AZ314" t="b">
        <v>0</v>
      </c>
      <c r="BA314" t="b">
        <v>0</v>
      </c>
      <c r="BB314" t="b">
        <v>0</v>
      </c>
      <c r="BC314" t="b">
        <v>0</v>
      </c>
      <c r="BD314" t="b">
        <v>0</v>
      </c>
      <c r="BE314" t="b">
        <v>1</v>
      </c>
      <c r="BF314" t="b">
        <v>0</v>
      </c>
      <c r="BG314" t="b">
        <v>0</v>
      </c>
      <c r="BH314" s="79" t="str">
        <f>HYPERLINK("https://pbs.twimg.com/profile_banners/87976010/1747838262")</f>
        <v>https://pbs.twimg.com/profile_banners/87976010/1747838262</v>
      </c>
      <c r="BJ314" t="s">
        <v>4320</v>
      </c>
      <c r="BK314" t="b">
        <v>0</v>
      </c>
      <c r="BM314" t="s">
        <v>65</v>
      </c>
      <c r="BN314" t="s">
        <v>4322</v>
      </c>
      <c r="BO314" s="79" t="str">
        <f>HYPERLINK("https://twitter.com/monerorape")</f>
        <v>https://twitter.com/monerorape</v>
      </c>
      <c r="BP314" s="112" t="str">
        <f>REPLACE(INDEX(GroupVertices[Group], MATCH("~"&amp;Vertices[[#This Row],[Vertex]],GroupVertices[Vertex],0)),1,1,"")</f>
        <v>28</v>
      </c>
      <c r="BQ314" s="2"/>
    </row>
    <row r="315" spans="1:69" x14ac:dyDescent="0.25">
      <c r="A315" s="61" t="s">
        <v>635</v>
      </c>
      <c r="B315" s="62"/>
      <c r="C315" s="62"/>
      <c r="D315" s="63">
        <v>1.5</v>
      </c>
      <c r="E315" s="65"/>
      <c r="F315" s="97" t="str">
        <f>HYPERLINK("https://pbs.twimg.com/profile_images/1856803693972393986/bSiMAs9c_normal.jpg")</f>
        <v>https://pbs.twimg.com/profile_images/1856803693972393986/bSiMAs9c_normal.jpg</v>
      </c>
      <c r="G315" s="62"/>
      <c r="H315" s="66"/>
      <c r="I315" s="67"/>
      <c r="J315" s="67"/>
      <c r="K315" s="66" t="s">
        <v>4612</v>
      </c>
      <c r="L315" s="70"/>
      <c r="M315" s="71">
        <v>5526.58447265625</v>
      </c>
      <c r="N315" s="71">
        <v>6593.298828125</v>
      </c>
      <c r="O315" s="72"/>
      <c r="P315" s="73"/>
      <c r="Q315" s="73"/>
      <c r="R315" s="81"/>
      <c r="S315" s="45">
        <v>1</v>
      </c>
      <c r="T315" s="45">
        <v>0</v>
      </c>
      <c r="U315" s="46">
        <v>0</v>
      </c>
      <c r="V315" s="46">
        <v>3.774E-3</v>
      </c>
      <c r="W315" s="47"/>
      <c r="X315" s="47"/>
      <c r="Y315" s="47"/>
      <c r="Z315" s="46"/>
      <c r="AA315" s="68">
        <v>315</v>
      </c>
      <c r="AB315"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15" s="69"/>
      <c r="AD315" t="s">
        <v>2971</v>
      </c>
      <c r="AE315" s="77" t="s">
        <v>3298</v>
      </c>
      <c r="AF315">
        <v>18608</v>
      </c>
      <c r="AG315">
        <v>322</v>
      </c>
      <c r="AH315">
        <v>273559</v>
      </c>
      <c r="AI315">
        <v>273</v>
      </c>
      <c r="AJ315">
        <v>1785</v>
      </c>
      <c r="AK315">
        <v>88233</v>
      </c>
      <c r="AL315" t="b">
        <v>0</v>
      </c>
      <c r="AM315" s="76">
        <v>42090.752002314817</v>
      </c>
      <c r="AN315" t="s">
        <v>3544</v>
      </c>
      <c r="AO315" t="s">
        <v>3890</v>
      </c>
      <c r="AP315" s="79" t="str">
        <f>HYPERLINK("https://t.co/dhzOuISJWS")</f>
        <v>https://t.co/dhzOuISJWS</v>
      </c>
      <c r="AQ315" s="79" t="str">
        <f>HYPERLINK("http://www.ntrguadalajara.com")</f>
        <v>http://www.ntrguadalajara.com</v>
      </c>
      <c r="AR315" t="s">
        <v>4171</v>
      </c>
      <c r="AW315" s="79" t="str">
        <f>HYPERLINK("https://t.co/dhzOuISJWS")</f>
        <v>https://t.co/dhzOuISJWS</v>
      </c>
      <c r="AX315" t="b">
        <v>1</v>
      </c>
      <c r="AZ315" t="b">
        <v>0</v>
      </c>
      <c r="BA315" t="b">
        <v>1</v>
      </c>
      <c r="BB315" t="b">
        <v>1</v>
      </c>
      <c r="BC315" t="b">
        <v>0</v>
      </c>
      <c r="BD315" t="b">
        <v>0</v>
      </c>
      <c r="BE315" t="b">
        <v>1</v>
      </c>
      <c r="BF315" t="b">
        <v>0</v>
      </c>
      <c r="BG315" t="b">
        <v>1</v>
      </c>
      <c r="BH315" s="79" t="str">
        <f>HYPERLINK("https://pbs.twimg.com/profile_banners/3121878377/1704734151")</f>
        <v>https://pbs.twimg.com/profile_banners/3121878377/1704734151</v>
      </c>
      <c r="BJ315" t="s">
        <v>4320</v>
      </c>
      <c r="BK315" t="b">
        <v>0</v>
      </c>
      <c r="BM315" t="s">
        <v>65</v>
      </c>
      <c r="BN315" t="s">
        <v>4322</v>
      </c>
      <c r="BO315" s="79" t="str">
        <f>HYPERLINK("https://twitter.com/ntrguadalajara")</f>
        <v>https://twitter.com/ntrguadalajara</v>
      </c>
      <c r="BP315" s="112" t="str">
        <f>REPLACE(INDEX(GroupVertices[Group], MATCH("~"&amp;Vertices[[#This Row],[Vertex]],GroupVertices[Vertex],0)),1,1,"")</f>
        <v>28</v>
      </c>
      <c r="BQ315" s="2"/>
    </row>
    <row r="316" spans="1:69" x14ac:dyDescent="0.25">
      <c r="A316" s="61" t="s">
        <v>636</v>
      </c>
      <c r="B316" s="62"/>
      <c r="C316" s="62"/>
      <c r="D316" s="63">
        <v>1.5</v>
      </c>
      <c r="E316" s="65"/>
      <c r="F316" s="97" t="str">
        <f>HYPERLINK("https://pbs.twimg.com/profile_images/1927792235292024832/ZQAY6zJW_normal.jpg")</f>
        <v>https://pbs.twimg.com/profile_images/1927792235292024832/ZQAY6zJW_normal.jpg</v>
      </c>
      <c r="G316" s="62"/>
      <c r="H316" s="66"/>
      <c r="I316" s="67"/>
      <c r="J316" s="67"/>
      <c r="K316" s="66" t="s">
        <v>4613</v>
      </c>
      <c r="L316" s="70"/>
      <c r="M316" s="71">
        <v>4759.654296875</v>
      </c>
      <c r="N316" s="71">
        <v>9058.5556640625</v>
      </c>
      <c r="O316" s="72"/>
      <c r="P316" s="73"/>
      <c r="Q316" s="73"/>
      <c r="R316" s="81"/>
      <c r="S316" s="45">
        <v>1</v>
      </c>
      <c r="T316" s="45">
        <v>0</v>
      </c>
      <c r="U316" s="46">
        <v>0</v>
      </c>
      <c r="V316" s="46">
        <v>3.774E-3</v>
      </c>
      <c r="W316" s="47"/>
      <c r="X316" s="47"/>
      <c r="Y316" s="47"/>
      <c r="Z316" s="46"/>
      <c r="AA316" s="68">
        <v>316</v>
      </c>
      <c r="AB316"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16" s="69"/>
      <c r="AD316" t="s">
        <v>2972</v>
      </c>
      <c r="AE316" s="77" t="s">
        <v>2446</v>
      </c>
      <c r="AF316">
        <v>359784</v>
      </c>
      <c r="AG316">
        <v>4326</v>
      </c>
      <c r="AH316">
        <v>103904</v>
      </c>
      <c r="AI316">
        <v>2199</v>
      </c>
      <c r="AJ316">
        <v>771</v>
      </c>
      <c r="AK316">
        <v>5861</v>
      </c>
      <c r="AL316" t="b">
        <v>0</v>
      </c>
      <c r="AM316" s="76">
        <v>39997.279386574075</v>
      </c>
      <c r="AN316" t="s">
        <v>3545</v>
      </c>
      <c r="AO316" t="s">
        <v>3891</v>
      </c>
      <c r="AP316" s="79" t="str">
        <f>HYPERLINK("https://t.co/QCCzqOmi9y")</f>
        <v>https://t.co/QCCzqOmi9y</v>
      </c>
      <c r="AQ316" s="79" t="str">
        <f>HYPERLINK("http://www.monerohernandez.com.mx")</f>
        <v>http://www.monerohernandez.com.mx</v>
      </c>
      <c r="AR316" t="s">
        <v>4172</v>
      </c>
      <c r="AW316" s="79" t="str">
        <f>HYPERLINK("https://t.co/QCCzqOmi9y")</f>
        <v>https://t.co/QCCzqOmi9y</v>
      </c>
      <c r="AX316" t="b">
        <v>0</v>
      </c>
      <c r="AZ316" t="b">
        <v>0</v>
      </c>
      <c r="BA316" t="b">
        <v>0</v>
      </c>
      <c r="BB316" t="b">
        <v>1</v>
      </c>
      <c r="BC316" t="b">
        <v>0</v>
      </c>
      <c r="BD316" t="b">
        <v>0</v>
      </c>
      <c r="BE316" t="b">
        <v>0</v>
      </c>
      <c r="BF316" t="b">
        <v>0</v>
      </c>
      <c r="BG316" t="b">
        <v>0</v>
      </c>
      <c r="BH316" s="79" t="str">
        <f>HYPERLINK("https://pbs.twimg.com/profile_banners/53316590/1748456545")</f>
        <v>https://pbs.twimg.com/profile_banners/53316590/1748456545</v>
      </c>
      <c r="BJ316" t="s">
        <v>4320</v>
      </c>
      <c r="BK316" t="b">
        <v>0</v>
      </c>
      <c r="BM316" t="s">
        <v>65</v>
      </c>
      <c r="BN316" t="s">
        <v>4322</v>
      </c>
      <c r="BO316" s="79" t="str">
        <f>HYPERLINK("https://twitter.com/monerohernandez")</f>
        <v>https://twitter.com/monerohernandez</v>
      </c>
      <c r="BP316" s="112" t="str">
        <f>REPLACE(INDEX(GroupVertices[Group], MATCH("~"&amp;Vertices[[#This Row],[Vertex]],GroupVertices[Vertex],0)),1,1,"")</f>
        <v>28</v>
      </c>
      <c r="BQ316" s="2"/>
    </row>
    <row r="317" spans="1:69" x14ac:dyDescent="0.25">
      <c r="A317" s="61" t="s">
        <v>377</v>
      </c>
      <c r="B317" s="62"/>
      <c r="C317" s="62"/>
      <c r="D317" s="63">
        <v>1.5</v>
      </c>
      <c r="E317" s="65"/>
      <c r="F317" s="97" t="str">
        <f>HYPERLINK("https://pbs.twimg.com/profile_images/1247544606268575745/EqWteYCg_normal.jpg")</f>
        <v>https://pbs.twimg.com/profile_images/1247544606268575745/EqWteYCg_normal.jpg</v>
      </c>
      <c r="G317" s="62"/>
      <c r="H317" s="66"/>
      <c r="I317" s="67"/>
      <c r="J317" s="67"/>
      <c r="K317" s="66" t="s">
        <v>4614</v>
      </c>
      <c r="L317" s="70"/>
      <c r="M317" s="71">
        <v>6242.4443359375</v>
      </c>
      <c r="N317" s="71">
        <v>9566.10546875</v>
      </c>
      <c r="O317" s="72"/>
      <c r="P317" s="73"/>
      <c r="Q317" s="73"/>
      <c r="R317" s="81"/>
      <c r="S317" s="45">
        <v>0</v>
      </c>
      <c r="T317" s="45">
        <v>1</v>
      </c>
      <c r="U317" s="46">
        <v>0</v>
      </c>
      <c r="V317" s="46">
        <v>2.0960000000000002E-3</v>
      </c>
      <c r="W317" s="47"/>
      <c r="X317" s="47"/>
      <c r="Y317" s="47"/>
      <c r="Z317" s="46"/>
      <c r="AA317" s="68">
        <v>317</v>
      </c>
      <c r="AB317"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17" s="69"/>
      <c r="AD317" t="s">
        <v>2973</v>
      </c>
      <c r="AE317" s="77" t="s">
        <v>3299</v>
      </c>
      <c r="AF317">
        <v>8729</v>
      </c>
      <c r="AG317">
        <v>646</v>
      </c>
      <c r="AH317">
        <v>16549</v>
      </c>
      <c r="AI317">
        <v>161</v>
      </c>
      <c r="AJ317">
        <v>2150</v>
      </c>
      <c r="AK317">
        <v>91</v>
      </c>
      <c r="AL317" t="b">
        <v>0</v>
      </c>
      <c r="AM317" s="76">
        <v>40999.644872685189</v>
      </c>
      <c r="AN317" t="s">
        <v>3546</v>
      </c>
      <c r="AO317" t="s">
        <v>3892</v>
      </c>
      <c r="AP317" s="79" t="str">
        <f>HYPERLINK("http://t.co/Ze1jUyssYs")</f>
        <v>http://t.co/Ze1jUyssYs</v>
      </c>
      <c r="AQ317" s="79" t="str">
        <f>HYPERLINK("http://www.olimerca.com")</f>
        <v>http://www.olimerca.com</v>
      </c>
      <c r="AR317" t="s">
        <v>1178</v>
      </c>
      <c r="AV317">
        <v>1.03697690826792E+18</v>
      </c>
      <c r="AW317" s="79" t="str">
        <f>HYPERLINK("http://t.co/Ze1jUyssYs")</f>
        <v>http://t.co/Ze1jUyssYs</v>
      </c>
      <c r="AX317" t="b">
        <v>0</v>
      </c>
      <c r="BA317" t="b">
        <v>0</v>
      </c>
      <c r="BB317" t="b">
        <v>1</v>
      </c>
      <c r="BC317" t="b">
        <v>0</v>
      </c>
      <c r="BD317" t="b">
        <v>0</v>
      </c>
      <c r="BE317" t="b">
        <v>1</v>
      </c>
      <c r="BF317" t="b">
        <v>0</v>
      </c>
      <c r="BG317" t="b">
        <v>0</v>
      </c>
      <c r="BH317" s="79" t="str">
        <f>HYPERLINK("https://pbs.twimg.com/profile_banners/541828362/1586274937")</f>
        <v>https://pbs.twimg.com/profile_banners/541828362/1586274937</v>
      </c>
      <c r="BJ317" t="s">
        <v>4320</v>
      </c>
      <c r="BK317" t="b">
        <v>0</v>
      </c>
      <c r="BM317" t="s">
        <v>66</v>
      </c>
      <c r="BN317" t="s">
        <v>4322</v>
      </c>
      <c r="BO317" s="79" t="str">
        <f>HYPERLINK("https://twitter.com/revistaolimerca")</f>
        <v>https://twitter.com/revistaolimerca</v>
      </c>
      <c r="BP317" s="112" t="str">
        <f>REPLACE(INDEX(GroupVertices[Group], MATCH("~"&amp;Vertices[[#This Row],[Vertex]],GroupVertices[Vertex],0)),1,1,"")</f>
        <v>94</v>
      </c>
      <c r="BQ317" s="2"/>
    </row>
    <row r="318" spans="1:69" x14ac:dyDescent="0.25">
      <c r="A318" s="61" t="s">
        <v>637</v>
      </c>
      <c r="B318" s="62"/>
      <c r="C318" s="62"/>
      <c r="D318" s="63">
        <v>1.5</v>
      </c>
      <c r="E318" s="65"/>
      <c r="F318" s="97" t="str">
        <f>HYPERLINK("https://pbs.twimg.com/profile_images/948845481916059649/MdzMDyyA_normal.jpg")</f>
        <v>https://pbs.twimg.com/profile_images/948845481916059649/MdzMDyyA_normal.jpg</v>
      </c>
      <c r="G318" s="62"/>
      <c r="H318" s="66"/>
      <c r="I318" s="67"/>
      <c r="J318" s="67"/>
      <c r="K318" s="66" t="s">
        <v>4615</v>
      </c>
      <c r="L318" s="70"/>
      <c r="M318" s="71">
        <v>7319.9345703125</v>
      </c>
      <c r="N318" s="71">
        <v>9447.150390625</v>
      </c>
      <c r="O318" s="72"/>
      <c r="P318" s="73"/>
      <c r="Q318" s="73"/>
      <c r="R318" s="81"/>
      <c r="S318" s="45">
        <v>1</v>
      </c>
      <c r="T318" s="45">
        <v>0</v>
      </c>
      <c r="U318" s="46">
        <v>0</v>
      </c>
      <c r="V318" s="46">
        <v>2.0960000000000002E-3</v>
      </c>
      <c r="W318" s="47"/>
      <c r="X318" s="47"/>
      <c r="Y318" s="47"/>
      <c r="Z318" s="46"/>
      <c r="AA318" s="68">
        <v>318</v>
      </c>
      <c r="AB318"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18" s="69"/>
      <c r="AD318" t="s">
        <v>2974</v>
      </c>
      <c r="AE318" s="77" t="s">
        <v>3300</v>
      </c>
      <c r="AF318">
        <v>5620</v>
      </c>
      <c r="AG318">
        <v>709</v>
      </c>
      <c r="AH318">
        <v>26317</v>
      </c>
      <c r="AI318">
        <v>117</v>
      </c>
      <c r="AJ318">
        <v>23507</v>
      </c>
      <c r="AK318">
        <v>3308</v>
      </c>
      <c r="AL318" t="b">
        <v>0</v>
      </c>
      <c r="AM318" s="76">
        <v>41309.662766203706</v>
      </c>
      <c r="AN318" t="s">
        <v>3547</v>
      </c>
      <c r="AO318" t="s">
        <v>3893</v>
      </c>
      <c r="AP318" s="79" t="str">
        <f>HYPERLINK("https://t.co/iYJpDG9vBm")</f>
        <v>https://t.co/iYJpDG9vBm</v>
      </c>
      <c r="AQ318" s="79" t="str">
        <f>HYPERLINK("http://www.asajasevilla.es")</f>
        <v>http://www.asajasevilla.es</v>
      </c>
      <c r="AR318" t="s">
        <v>4173</v>
      </c>
      <c r="AV318">
        <v>1.83963928789089E+18</v>
      </c>
      <c r="AW318" s="79" t="str">
        <f>HYPERLINK("https://t.co/iYJpDG9vBm")</f>
        <v>https://t.co/iYJpDG9vBm</v>
      </c>
      <c r="AX318" t="b">
        <v>0</v>
      </c>
      <c r="AZ318" t="b">
        <v>0</v>
      </c>
      <c r="BA318" t="b">
        <v>0</v>
      </c>
      <c r="BB318" t="b">
        <v>1</v>
      </c>
      <c r="BC318" t="b">
        <v>0</v>
      </c>
      <c r="BD318" t="b">
        <v>0</v>
      </c>
      <c r="BE318" t="b">
        <v>1</v>
      </c>
      <c r="BF318" t="b">
        <v>0</v>
      </c>
      <c r="BG318" t="b">
        <v>0</v>
      </c>
      <c r="BH318" s="79" t="str">
        <f>HYPERLINK("https://pbs.twimg.com/profile_banners/1148369462/1401354909")</f>
        <v>https://pbs.twimg.com/profile_banners/1148369462/1401354909</v>
      </c>
      <c r="BJ318" t="s">
        <v>4320</v>
      </c>
      <c r="BK318" t="b">
        <v>0</v>
      </c>
      <c r="BM318" t="s">
        <v>65</v>
      </c>
      <c r="BN318" t="s">
        <v>4322</v>
      </c>
      <c r="BO318" s="79" t="str">
        <f>HYPERLINK("https://twitter.com/asajasevilla")</f>
        <v>https://twitter.com/asajasevilla</v>
      </c>
      <c r="BP318" s="112" t="str">
        <f>REPLACE(INDEX(GroupVertices[Group], MATCH("~"&amp;Vertices[[#This Row],[Vertex]],GroupVertices[Vertex],0)),1,1,"")</f>
        <v>94</v>
      </c>
      <c r="BQ318" s="2"/>
    </row>
    <row r="319" spans="1:69" x14ac:dyDescent="0.25">
      <c r="A319" s="61" t="s">
        <v>378</v>
      </c>
      <c r="B319" s="62"/>
      <c r="C319" s="62"/>
      <c r="D319" s="63">
        <v>1.5</v>
      </c>
      <c r="E319" s="65"/>
      <c r="F319" s="97" t="str">
        <f>HYPERLINK("https://pbs.twimg.com/profile_images/1674606467201085448/kfi16quK_normal.jpg")</f>
        <v>https://pbs.twimg.com/profile_images/1674606467201085448/kfi16quK_normal.jpg</v>
      </c>
      <c r="G319" s="62"/>
      <c r="H319" s="66"/>
      <c r="I319" s="67"/>
      <c r="J319" s="67"/>
      <c r="K319" s="66" t="s">
        <v>4616</v>
      </c>
      <c r="L319" s="70"/>
      <c r="M319" s="71">
        <v>7418.05859375</v>
      </c>
      <c r="N319" s="71">
        <v>242.92098999023438</v>
      </c>
      <c r="O319" s="72"/>
      <c r="P319" s="73"/>
      <c r="Q319" s="73"/>
      <c r="R319" s="81"/>
      <c r="S319" s="45">
        <v>0</v>
      </c>
      <c r="T319" s="45">
        <v>1</v>
      </c>
      <c r="U319" s="46">
        <v>0</v>
      </c>
      <c r="V319" s="46">
        <v>3.1449999999999998E-3</v>
      </c>
      <c r="W319" s="47"/>
      <c r="X319" s="47"/>
      <c r="Y319" s="47"/>
      <c r="Z319" s="46"/>
      <c r="AA319" s="68">
        <v>319</v>
      </c>
      <c r="AB319"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19" s="69"/>
      <c r="AD319" t="s">
        <v>2975</v>
      </c>
      <c r="AE319" s="77" t="s">
        <v>3301</v>
      </c>
      <c r="AF319">
        <v>1709</v>
      </c>
      <c r="AG319">
        <v>1682</v>
      </c>
      <c r="AH319">
        <v>102169</v>
      </c>
      <c r="AI319">
        <v>3</v>
      </c>
      <c r="AJ319">
        <v>125345</v>
      </c>
      <c r="AK319">
        <v>3183</v>
      </c>
      <c r="AL319" t="b">
        <v>0</v>
      </c>
      <c r="AM319" s="76">
        <v>42073.082013888888</v>
      </c>
      <c r="AN319" t="s">
        <v>3400</v>
      </c>
      <c r="AO319" t="s">
        <v>3894</v>
      </c>
      <c r="AV319">
        <v>1.49433240312016E+18</v>
      </c>
      <c r="AX319" t="b">
        <v>0</v>
      </c>
      <c r="BA319" t="b">
        <v>0</v>
      </c>
      <c r="BB319" t="b">
        <v>0</v>
      </c>
      <c r="BC319" t="b">
        <v>0</v>
      </c>
      <c r="BD319" t="b">
        <v>0</v>
      </c>
      <c r="BE319" t="b">
        <v>1</v>
      </c>
      <c r="BF319" t="b">
        <v>0</v>
      </c>
      <c r="BG319" t="b">
        <v>0</v>
      </c>
      <c r="BH319" s="79" t="str">
        <f>HYPERLINK("https://pbs.twimg.com/profile_banners/3082942179/1683988689")</f>
        <v>https://pbs.twimg.com/profile_banners/3082942179/1683988689</v>
      </c>
      <c r="BJ319" t="s">
        <v>4320</v>
      </c>
      <c r="BK319" t="b">
        <v>0</v>
      </c>
      <c r="BM319" t="s">
        <v>66</v>
      </c>
      <c r="BN319" t="s">
        <v>4322</v>
      </c>
      <c r="BO319" s="79" t="str">
        <f>HYPERLINK("https://twitter.com/cuchito2023")</f>
        <v>https://twitter.com/cuchito2023</v>
      </c>
      <c r="BP319" s="112" t="str">
        <f>REPLACE(INDEX(GroupVertices[Group], MATCH("~"&amp;Vertices[[#This Row],[Vertex]],GroupVertices[Vertex],0)),1,1,"")</f>
        <v>29</v>
      </c>
      <c r="BQ319" s="2"/>
    </row>
    <row r="320" spans="1:69" x14ac:dyDescent="0.25">
      <c r="A320" s="61" t="s">
        <v>379</v>
      </c>
      <c r="B320" s="62"/>
      <c r="C320" s="62"/>
      <c r="D320" s="63">
        <v>1.5</v>
      </c>
      <c r="E320" s="65"/>
      <c r="F320" s="97" t="str">
        <f>HYPERLINK("https://pbs.twimg.com/profile_images/1657646001451159553/1U3T8bT9_normal.jpg")</f>
        <v>https://pbs.twimg.com/profile_images/1657646001451159553/1U3T8bT9_normal.jpg</v>
      </c>
      <c r="G320" s="62"/>
      <c r="H320" s="66"/>
      <c r="I320" s="67"/>
      <c r="J320" s="67"/>
      <c r="K320" s="66" t="s">
        <v>4617</v>
      </c>
      <c r="L320" s="70"/>
      <c r="M320" s="71">
        <v>907.71258544921875</v>
      </c>
      <c r="N320" s="71">
        <v>7036.54296875</v>
      </c>
      <c r="O320" s="72"/>
      <c r="P320" s="73"/>
      <c r="Q320" s="73"/>
      <c r="R320" s="81"/>
      <c r="S320" s="45">
        <v>1</v>
      </c>
      <c r="T320" s="45">
        <v>1</v>
      </c>
      <c r="U320" s="46">
        <v>0</v>
      </c>
      <c r="V320" s="46">
        <v>0</v>
      </c>
      <c r="W320" s="47"/>
      <c r="X320" s="47"/>
      <c r="Y320" s="47"/>
      <c r="Z320" s="46"/>
      <c r="AA320" s="68">
        <v>320</v>
      </c>
      <c r="AB320"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20" s="69"/>
      <c r="AD320" t="s">
        <v>2976</v>
      </c>
      <c r="AE320" s="77" t="s">
        <v>2598</v>
      </c>
      <c r="AF320">
        <v>170</v>
      </c>
      <c r="AG320">
        <v>124</v>
      </c>
      <c r="AH320">
        <v>12688</v>
      </c>
      <c r="AI320">
        <v>2</v>
      </c>
      <c r="AJ320">
        <v>38</v>
      </c>
      <c r="AK320">
        <v>4930</v>
      </c>
      <c r="AL320" t="b">
        <v>0</v>
      </c>
      <c r="AM320" s="76">
        <v>42817.132048611114</v>
      </c>
      <c r="AN320" t="s">
        <v>3548</v>
      </c>
      <c r="AO320" t="s">
        <v>3895</v>
      </c>
      <c r="AP320" s="79" t="str">
        <f>HYPERLINK("https://t.co/dj8nNDO90u")</f>
        <v>https://t.co/dj8nNDO90u</v>
      </c>
      <c r="AQ320" s="79" t="str">
        <f>HYPERLINK("http://www.elresumen.cl")</f>
        <v>http://www.elresumen.cl</v>
      </c>
      <c r="AR320" t="s">
        <v>1179</v>
      </c>
      <c r="AW320" s="79" t="str">
        <f>HYPERLINK("https://t.co/dj8nNDO90u")</f>
        <v>https://t.co/dj8nNDO90u</v>
      </c>
      <c r="AX320" t="b">
        <v>0</v>
      </c>
      <c r="BA320" t="b">
        <v>0</v>
      </c>
      <c r="BB320" t="b">
        <v>1</v>
      </c>
      <c r="BC320" t="b">
        <v>0</v>
      </c>
      <c r="BD320" t="b">
        <v>0</v>
      </c>
      <c r="BE320" t="b">
        <v>1</v>
      </c>
      <c r="BF320" t="b">
        <v>0</v>
      </c>
      <c r="BG320" t="b">
        <v>0</v>
      </c>
      <c r="BH320" s="79" t="str">
        <f>HYPERLINK("https://pbs.twimg.com/profile_banners/844748072160776192/1694394196")</f>
        <v>https://pbs.twimg.com/profile_banners/844748072160776192/1694394196</v>
      </c>
      <c r="BJ320" t="s">
        <v>4320</v>
      </c>
      <c r="BK320" t="b">
        <v>0</v>
      </c>
      <c r="BM320" t="s">
        <v>66</v>
      </c>
      <c r="BN320" t="s">
        <v>4322</v>
      </c>
      <c r="BO320" s="79" t="str">
        <f>HYPERLINK("https://twitter.com/elresumencl")</f>
        <v>https://twitter.com/elresumencl</v>
      </c>
      <c r="BP320" s="112" t="str">
        <f>REPLACE(INDEX(GroupVertices[Group], MATCH("~"&amp;Vertices[[#This Row],[Vertex]],GroupVertices[Vertex],0)),1,1,"")</f>
        <v>165</v>
      </c>
      <c r="BQ320" s="2"/>
    </row>
    <row r="321" spans="1:69" x14ac:dyDescent="0.25">
      <c r="A321" s="61" t="s">
        <v>380</v>
      </c>
      <c r="B321" s="62"/>
      <c r="C321" s="62"/>
      <c r="D321" s="63">
        <v>1.5</v>
      </c>
      <c r="E321" s="65"/>
      <c r="F321" s="97" t="str">
        <f>HYPERLINK("https://pbs.twimg.com/profile_images/1820010642742394881/57DTFRCy_normal.jpg")</f>
        <v>https://pbs.twimg.com/profile_images/1820010642742394881/57DTFRCy_normal.jpg</v>
      </c>
      <c r="G321" s="62"/>
      <c r="H321" s="66"/>
      <c r="I321" s="67"/>
      <c r="J321" s="67"/>
      <c r="K321" s="66" t="s">
        <v>4618</v>
      </c>
      <c r="L321" s="70"/>
      <c r="M321" s="71">
        <v>7707.755859375</v>
      </c>
      <c r="N321" s="71">
        <v>1200.6680908203125</v>
      </c>
      <c r="O321" s="72"/>
      <c r="P321" s="73"/>
      <c r="Q321" s="73"/>
      <c r="R321" s="81"/>
      <c r="S321" s="45">
        <v>1</v>
      </c>
      <c r="T321" s="45">
        <v>1</v>
      </c>
      <c r="U321" s="46">
        <v>0</v>
      </c>
      <c r="V321" s="46">
        <v>0</v>
      </c>
      <c r="W321" s="47"/>
      <c r="X321" s="47"/>
      <c r="Y321" s="47"/>
      <c r="Z321" s="46"/>
      <c r="AA321" s="68">
        <v>321</v>
      </c>
      <c r="AB321"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21" s="69"/>
      <c r="AD321" t="s">
        <v>2977</v>
      </c>
      <c r="AE321" s="77" t="s">
        <v>2599</v>
      </c>
      <c r="AF321">
        <v>4</v>
      </c>
      <c r="AG321">
        <v>46</v>
      </c>
      <c r="AH321">
        <v>573</v>
      </c>
      <c r="AI321">
        <v>0</v>
      </c>
      <c r="AJ321">
        <v>58</v>
      </c>
      <c r="AK321">
        <v>5</v>
      </c>
      <c r="AL321" t="b">
        <v>0</v>
      </c>
      <c r="AM321" s="76">
        <v>45357.602858796294</v>
      </c>
      <c r="AX321" t="b">
        <v>0</v>
      </c>
      <c r="BA321" t="b">
        <v>0</v>
      </c>
      <c r="BB321" t="b">
        <v>1</v>
      </c>
      <c r="BC321" t="b">
        <v>1</v>
      </c>
      <c r="BD321" t="b">
        <v>0</v>
      </c>
      <c r="BE321" t="b">
        <v>0</v>
      </c>
      <c r="BF321" t="b">
        <v>0</v>
      </c>
      <c r="BG321" t="b">
        <v>0</v>
      </c>
      <c r="BH321" s="79" t="str">
        <f>HYPERLINK("https://pbs.twimg.com/profile_banners/1765383747178754048/1728388741")</f>
        <v>https://pbs.twimg.com/profile_banners/1765383747178754048/1728388741</v>
      </c>
      <c r="BJ321" t="s">
        <v>4320</v>
      </c>
      <c r="BK321" t="b">
        <v>0</v>
      </c>
      <c r="BM321" t="s">
        <v>66</v>
      </c>
      <c r="BN321" t="s">
        <v>4322</v>
      </c>
      <c r="BO321" s="79" t="str">
        <f>HYPERLINK("https://twitter.com/aallvaaroo05")</f>
        <v>https://twitter.com/aallvaaroo05</v>
      </c>
      <c r="BP321" s="112" t="str">
        <f>REPLACE(INDEX(GroupVertices[Group], MATCH("~"&amp;Vertices[[#This Row],[Vertex]],GroupVertices[Vertex],0)),1,1,"")</f>
        <v>136</v>
      </c>
      <c r="BQ321" s="2"/>
    </row>
    <row r="322" spans="1:69" x14ac:dyDescent="0.25">
      <c r="A322" s="61" t="s">
        <v>381</v>
      </c>
      <c r="B322" s="62"/>
      <c r="C322" s="62"/>
      <c r="D322" s="63">
        <v>1.5</v>
      </c>
      <c r="E322" s="65"/>
      <c r="F322" s="97" t="str">
        <f>HYPERLINK("https://pbs.twimg.com/profile_images/1571621574167482371/fdX2fHgh_normal.jpg")</f>
        <v>https://pbs.twimg.com/profile_images/1571621574167482371/fdX2fHgh_normal.jpg</v>
      </c>
      <c r="G322" s="62"/>
      <c r="H322" s="66"/>
      <c r="I322" s="67"/>
      <c r="J322" s="67"/>
      <c r="K322" s="66" t="s">
        <v>4619</v>
      </c>
      <c r="L322" s="70"/>
      <c r="M322" s="71">
        <v>8530.8837890625</v>
      </c>
      <c r="N322" s="71">
        <v>4414.515625</v>
      </c>
      <c r="O322" s="72"/>
      <c r="P322" s="73"/>
      <c r="Q322" s="73"/>
      <c r="R322" s="81"/>
      <c r="S322" s="45">
        <v>0</v>
      </c>
      <c r="T322" s="45">
        <v>1</v>
      </c>
      <c r="U322" s="46">
        <v>0</v>
      </c>
      <c r="V322" s="46">
        <v>2.0960000000000002E-3</v>
      </c>
      <c r="W322" s="47"/>
      <c r="X322" s="47"/>
      <c r="Y322" s="47"/>
      <c r="Z322" s="46"/>
      <c r="AA322" s="68">
        <v>322</v>
      </c>
      <c r="AB322"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22" s="69"/>
      <c r="AD322" t="s">
        <v>2978</v>
      </c>
      <c r="AE322" s="77" t="s">
        <v>3302</v>
      </c>
      <c r="AF322">
        <v>491</v>
      </c>
      <c r="AG322">
        <v>578</v>
      </c>
      <c r="AH322">
        <v>10992</v>
      </c>
      <c r="AI322">
        <v>1</v>
      </c>
      <c r="AJ322">
        <v>31162</v>
      </c>
      <c r="AK322">
        <v>127</v>
      </c>
      <c r="AL322" t="b">
        <v>0</v>
      </c>
      <c r="AM322" s="76">
        <v>41046.798217592594</v>
      </c>
      <c r="AX322" t="b">
        <v>0</v>
      </c>
      <c r="BA322" t="b">
        <v>0</v>
      </c>
      <c r="BB322" t="b">
        <v>0</v>
      </c>
      <c r="BC322" t="b">
        <v>1</v>
      </c>
      <c r="BD322" t="b">
        <v>0</v>
      </c>
      <c r="BE322" t="b">
        <v>1</v>
      </c>
      <c r="BF322" t="b">
        <v>0</v>
      </c>
      <c r="BG322" t="b">
        <v>0</v>
      </c>
      <c r="BJ322" t="s">
        <v>4320</v>
      </c>
      <c r="BK322" t="b">
        <v>0</v>
      </c>
      <c r="BM322" t="s">
        <v>66</v>
      </c>
      <c r="BN322" t="s">
        <v>4322</v>
      </c>
      <c r="BO322" s="79" t="str">
        <f>HYPERLINK("https://twitter.com/beadelariera")</f>
        <v>https://twitter.com/beadelariera</v>
      </c>
      <c r="BP322" s="112" t="str">
        <f>REPLACE(INDEX(GroupVertices[Group], MATCH("~"&amp;Vertices[[#This Row],[Vertex]],GroupVertices[Vertex],0)),1,1,"")</f>
        <v>43</v>
      </c>
      <c r="BQ322" s="2"/>
    </row>
    <row r="323" spans="1:69" x14ac:dyDescent="0.25">
      <c r="A323" s="61" t="s">
        <v>638</v>
      </c>
      <c r="B323" s="62"/>
      <c r="C323" s="62"/>
      <c r="D323" s="63">
        <v>1.5</v>
      </c>
      <c r="E323" s="65"/>
      <c r="F323" s="97" t="str">
        <f>HYPERLINK("https://pbs.twimg.com/profile_images/1852325064462487552/fDYxSPcg_normal.jpg")</f>
        <v>https://pbs.twimg.com/profile_images/1852325064462487552/fDYxSPcg_normal.jpg</v>
      </c>
      <c r="G323" s="62"/>
      <c r="H323" s="66"/>
      <c r="I323" s="67"/>
      <c r="J323" s="67"/>
      <c r="K323" s="66" t="s">
        <v>4620</v>
      </c>
      <c r="L323" s="70"/>
      <c r="M323" s="71">
        <v>7129.1298828125</v>
      </c>
      <c r="N323" s="71">
        <v>3172.47998046875</v>
      </c>
      <c r="O323" s="72"/>
      <c r="P323" s="73"/>
      <c r="Q323" s="73"/>
      <c r="R323" s="81"/>
      <c r="S323" s="45">
        <v>1</v>
      </c>
      <c r="T323" s="45">
        <v>0</v>
      </c>
      <c r="U323" s="46">
        <v>0</v>
      </c>
      <c r="V323" s="46">
        <v>2.0960000000000002E-3</v>
      </c>
      <c r="W323" s="47"/>
      <c r="X323" s="47"/>
      <c r="Y323" s="47"/>
      <c r="Z323" s="46"/>
      <c r="AA323" s="68">
        <v>323</v>
      </c>
      <c r="AB323"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23" s="69"/>
      <c r="AD323" t="s">
        <v>2979</v>
      </c>
      <c r="AE323" s="77" t="s">
        <v>2448</v>
      </c>
      <c r="AF323">
        <v>35599</v>
      </c>
      <c r="AG323">
        <v>1229</v>
      </c>
      <c r="AH323">
        <v>11014</v>
      </c>
      <c r="AI323">
        <v>461</v>
      </c>
      <c r="AJ323">
        <v>18344</v>
      </c>
      <c r="AK323">
        <v>2252</v>
      </c>
      <c r="AL323" t="b">
        <v>0</v>
      </c>
      <c r="AM323" s="76">
        <v>43281.562152777777</v>
      </c>
      <c r="AN323" t="s">
        <v>1769</v>
      </c>
      <c r="AO323" t="s">
        <v>3896</v>
      </c>
      <c r="AV323">
        <v>1.8947029141927199E+18</v>
      </c>
      <c r="AX323" t="b">
        <v>0</v>
      </c>
      <c r="AZ323" t="b">
        <v>0</v>
      </c>
      <c r="BA323" t="b">
        <v>0</v>
      </c>
      <c r="BB323" t="b">
        <v>1</v>
      </c>
      <c r="BC323" t="b">
        <v>1</v>
      </c>
      <c r="BD323" t="b">
        <v>0</v>
      </c>
      <c r="BE323" t="b">
        <v>1</v>
      </c>
      <c r="BF323" t="b">
        <v>0</v>
      </c>
      <c r="BG323" t="b">
        <v>0</v>
      </c>
      <c r="BH323" s="79" t="str">
        <f>HYPERLINK("https://pbs.twimg.com/profile_banners/1013051904396595200/1741593752")</f>
        <v>https://pbs.twimg.com/profile_banners/1013051904396595200/1741593752</v>
      </c>
      <c r="BJ323" t="s">
        <v>4320</v>
      </c>
      <c r="BK323" t="b">
        <v>0</v>
      </c>
      <c r="BM323" t="s">
        <v>65</v>
      </c>
      <c r="BN323" t="s">
        <v>4322</v>
      </c>
      <c r="BO323" s="79" t="str">
        <f>HYPERLINK("https://twitter.com/marotoreyes")</f>
        <v>https://twitter.com/marotoreyes</v>
      </c>
      <c r="BP323" s="112" t="str">
        <f>REPLACE(INDEX(GroupVertices[Group], MATCH("~"&amp;Vertices[[#This Row],[Vertex]],GroupVertices[Vertex],0)),1,1,"")</f>
        <v>43</v>
      </c>
      <c r="BQ323" s="2"/>
    </row>
    <row r="324" spans="1:69" x14ac:dyDescent="0.25">
      <c r="A324" s="61" t="s">
        <v>382</v>
      </c>
      <c r="B324" s="62"/>
      <c r="C324" s="62"/>
      <c r="D324" s="63">
        <v>1.5</v>
      </c>
      <c r="E324" s="65"/>
      <c r="F324" s="97" t="str">
        <f>HYPERLINK("https://pbs.twimg.com/profile_images/1683879479246983168/OSF6c737_normal.jpg")</f>
        <v>https://pbs.twimg.com/profile_images/1683879479246983168/OSF6c737_normal.jpg</v>
      </c>
      <c r="G324" s="62"/>
      <c r="H324" s="66"/>
      <c r="I324" s="67"/>
      <c r="J324" s="67"/>
      <c r="K324" s="66" t="s">
        <v>4621</v>
      </c>
      <c r="L324" s="70"/>
      <c r="M324" s="71">
        <v>1264.818359375</v>
      </c>
      <c r="N324" s="71">
        <v>5548.3623046875</v>
      </c>
      <c r="O324" s="72"/>
      <c r="P324" s="73"/>
      <c r="Q324" s="73"/>
      <c r="R324" s="81"/>
      <c r="S324" s="45">
        <v>1</v>
      </c>
      <c r="T324" s="45">
        <v>1</v>
      </c>
      <c r="U324" s="46">
        <v>0</v>
      </c>
      <c r="V324" s="46">
        <v>0</v>
      </c>
      <c r="W324" s="47"/>
      <c r="X324" s="47"/>
      <c r="Y324" s="47"/>
      <c r="Z324" s="46"/>
      <c r="AA324" s="68">
        <v>324</v>
      </c>
      <c r="AB324"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24" s="69"/>
      <c r="AD324" t="s">
        <v>2980</v>
      </c>
      <c r="AE324" s="77" t="s">
        <v>3303</v>
      </c>
      <c r="AF324">
        <v>6940</v>
      </c>
      <c r="AG324">
        <v>320</v>
      </c>
      <c r="AH324">
        <v>10183</v>
      </c>
      <c r="AI324">
        <v>22</v>
      </c>
      <c r="AJ324">
        <v>4987</v>
      </c>
      <c r="AK324">
        <v>5270</v>
      </c>
      <c r="AL324" t="b">
        <v>0</v>
      </c>
      <c r="AM324" s="76">
        <v>41841.935300925928</v>
      </c>
      <c r="AN324" t="s">
        <v>3549</v>
      </c>
      <c r="AO324" t="s">
        <v>3897</v>
      </c>
      <c r="AP324" s="79" t="str">
        <f>HYPERLINK("https://t.co/MouNOQDyG9")</f>
        <v>https://t.co/MouNOQDyG9</v>
      </c>
      <c r="AQ324" s="79" t="str">
        <f>HYPERLINK("http://losrios.mineduc.cl/")</f>
        <v>http://losrios.mineduc.cl/</v>
      </c>
      <c r="AR324" t="s">
        <v>4174</v>
      </c>
      <c r="AW324" s="79" t="str">
        <f>HYPERLINK("https://t.co/MouNOQDyG9")</f>
        <v>https://t.co/MouNOQDyG9</v>
      </c>
      <c r="AX324" t="b">
        <v>0</v>
      </c>
      <c r="BA324" t="b">
        <v>0</v>
      </c>
      <c r="BB324" t="b">
        <v>1</v>
      </c>
      <c r="BC324" t="b">
        <v>1</v>
      </c>
      <c r="BD324" t="b">
        <v>0</v>
      </c>
      <c r="BE324" t="b">
        <v>1</v>
      </c>
      <c r="BF324" t="b">
        <v>0</v>
      </c>
      <c r="BG324" t="b">
        <v>0</v>
      </c>
      <c r="BH324" s="79" t="str">
        <f>HYPERLINK("https://pbs.twimg.com/profile_banners/2667356420/1740405138")</f>
        <v>https://pbs.twimg.com/profile_banners/2667356420/1740405138</v>
      </c>
      <c r="BJ324" t="s">
        <v>4320</v>
      </c>
      <c r="BK324" t="b">
        <v>0</v>
      </c>
      <c r="BM324" t="s">
        <v>66</v>
      </c>
      <c r="BN324" t="s">
        <v>4322</v>
      </c>
      <c r="BO324" s="79" t="str">
        <f>HYPERLINK("https://twitter.com/seremieducrios")</f>
        <v>https://twitter.com/seremieducrios</v>
      </c>
      <c r="BP324" s="112" t="str">
        <f>REPLACE(INDEX(GroupVertices[Group], MATCH("~"&amp;Vertices[[#This Row],[Vertex]],GroupVertices[Vertex],0)),1,1,"")</f>
        <v>197</v>
      </c>
      <c r="BQ324" s="2"/>
    </row>
    <row r="325" spans="1:69" x14ac:dyDescent="0.25">
      <c r="A325" s="61" t="s">
        <v>383</v>
      </c>
      <c r="B325" s="62"/>
      <c r="C325" s="62"/>
      <c r="D325" s="63">
        <v>1.5</v>
      </c>
      <c r="E325" s="65"/>
      <c r="F325" s="97" t="str">
        <f>HYPERLINK("https://pbs.twimg.com/profile_images/1876267748461776896/bx4-y-J8_normal.jpg")</f>
        <v>https://pbs.twimg.com/profile_images/1876267748461776896/bx4-y-J8_normal.jpg</v>
      </c>
      <c r="G325" s="62"/>
      <c r="H325" s="66"/>
      <c r="I325" s="67"/>
      <c r="J325" s="67"/>
      <c r="K325" s="66" t="s">
        <v>4622</v>
      </c>
      <c r="L325" s="70"/>
      <c r="M325" s="71">
        <v>1717.5128173828125</v>
      </c>
      <c r="N325" s="71">
        <v>9630.5966796875</v>
      </c>
      <c r="O325" s="72"/>
      <c r="P325" s="73"/>
      <c r="Q325" s="73"/>
      <c r="R325" s="81"/>
      <c r="S325" s="45">
        <v>0</v>
      </c>
      <c r="T325" s="45">
        <v>1</v>
      </c>
      <c r="U325" s="46">
        <v>0</v>
      </c>
      <c r="V325" s="46">
        <v>2.0960000000000002E-3</v>
      </c>
      <c r="W325" s="47"/>
      <c r="X325" s="47"/>
      <c r="Y325" s="47"/>
      <c r="Z325" s="46"/>
      <c r="AA325" s="68">
        <v>325</v>
      </c>
      <c r="AB325"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25" s="69"/>
      <c r="AD325" t="s">
        <v>2981</v>
      </c>
      <c r="AE325" s="77" t="s">
        <v>2600</v>
      </c>
      <c r="AF325">
        <v>8091</v>
      </c>
      <c r="AG325">
        <v>7038</v>
      </c>
      <c r="AH325">
        <v>35468</v>
      </c>
      <c r="AI325">
        <v>13</v>
      </c>
      <c r="AJ325">
        <v>33560</v>
      </c>
      <c r="AK325">
        <v>19070</v>
      </c>
      <c r="AL325" t="b">
        <v>0</v>
      </c>
      <c r="AM325" s="76">
        <v>44545.902673611112</v>
      </c>
      <c r="AN325" t="s">
        <v>3510</v>
      </c>
      <c r="AO325" t="s">
        <v>3898</v>
      </c>
      <c r="AP325" s="79" t="str">
        <f>HYPERLINK("https://t.co/91JlDRnLr7")</f>
        <v>https://t.co/91JlDRnLr7</v>
      </c>
      <c r="AQ325" s="79" t="str">
        <f>HYPERLINK("http://www.decada80.com")</f>
        <v>http://www.decada80.com</v>
      </c>
      <c r="AR325" t="s">
        <v>4175</v>
      </c>
      <c r="AS325" s="79" t="str">
        <f>HYPERLINK("https://t.co/ey43prlV9R")</f>
        <v>https://t.co/ey43prlV9R</v>
      </c>
      <c r="AT325" s="79" t="str">
        <f>HYPERLINK("https://www.instagram.com/ladecada_80/")</f>
        <v>https://www.instagram.com/ladecada_80/</v>
      </c>
      <c r="AU325" t="s">
        <v>4302</v>
      </c>
      <c r="AV325">
        <v>1.8806018083952599E+18</v>
      </c>
      <c r="AW325" s="79" t="str">
        <f>HYPERLINK("https://t.co/91JlDRnLr7")</f>
        <v>https://t.co/91JlDRnLr7</v>
      </c>
      <c r="AX325" t="b">
        <v>0</v>
      </c>
      <c r="BA325" t="b">
        <v>0</v>
      </c>
      <c r="BB325" t="b">
        <v>0</v>
      </c>
      <c r="BC325" t="b">
        <v>1</v>
      </c>
      <c r="BD325" t="b">
        <v>0</v>
      </c>
      <c r="BE325" t="b">
        <v>1</v>
      </c>
      <c r="BF325" t="b">
        <v>0</v>
      </c>
      <c r="BG325" t="b">
        <v>0</v>
      </c>
      <c r="BH325" s="79" t="str">
        <f>HYPERLINK("https://pbs.twimg.com/profile_banners/1471233503673176065/1736172066")</f>
        <v>https://pbs.twimg.com/profile_banners/1471233503673176065/1736172066</v>
      </c>
      <c r="BJ325" t="s">
        <v>4320</v>
      </c>
      <c r="BK325" t="b">
        <v>0</v>
      </c>
      <c r="BM325" t="s">
        <v>66</v>
      </c>
      <c r="BN325" t="s">
        <v>4322</v>
      </c>
      <c r="BO325" s="79" t="str">
        <f>HYPERLINK("https://twitter.com/ladecada_80")</f>
        <v>https://twitter.com/ladecada_80</v>
      </c>
      <c r="BP325" s="112" t="str">
        <f>REPLACE(INDEX(GroupVertices[Group], MATCH("~"&amp;Vertices[[#This Row],[Vertex]],GroupVertices[Vertex],0)),1,1,"")</f>
        <v>72</v>
      </c>
      <c r="BQ325" s="2"/>
    </row>
    <row r="326" spans="1:69" x14ac:dyDescent="0.25">
      <c r="A326" s="61" t="s">
        <v>639</v>
      </c>
      <c r="B326" s="62"/>
      <c r="C326" s="62"/>
      <c r="D326" s="63">
        <v>1.5</v>
      </c>
      <c r="E326" s="65"/>
      <c r="F326" s="97" t="str">
        <f>HYPERLINK("https://pbs.twimg.com/profile_images/1604442032478502913/fEXZSAct_normal.jpg")</f>
        <v>https://pbs.twimg.com/profile_images/1604442032478502913/fEXZSAct_normal.jpg</v>
      </c>
      <c r="G326" s="62"/>
      <c r="H326" s="66"/>
      <c r="I326" s="67"/>
      <c r="J326" s="67"/>
      <c r="K326" s="66" t="s">
        <v>4623</v>
      </c>
      <c r="L326" s="70"/>
      <c r="M326" s="71">
        <v>3729.958740234375</v>
      </c>
      <c r="N326" s="71">
        <v>6977.0556640625</v>
      </c>
      <c r="O326" s="72"/>
      <c r="P326" s="73"/>
      <c r="Q326" s="73"/>
      <c r="R326" s="81"/>
      <c r="S326" s="45">
        <v>1</v>
      </c>
      <c r="T326" s="45">
        <v>0</v>
      </c>
      <c r="U326" s="46">
        <v>0</v>
      </c>
      <c r="V326" s="46">
        <v>2.0960000000000002E-3</v>
      </c>
      <c r="W326" s="47"/>
      <c r="X326" s="47"/>
      <c r="Y326" s="47"/>
      <c r="Z326" s="46"/>
      <c r="AA326" s="68">
        <v>326</v>
      </c>
      <c r="AB326"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26" s="69"/>
      <c r="AD326" t="s">
        <v>2982</v>
      </c>
      <c r="AE326" s="77" t="s">
        <v>2449</v>
      </c>
      <c r="AF326">
        <v>656</v>
      </c>
      <c r="AG326">
        <v>581</v>
      </c>
      <c r="AH326">
        <v>39510</v>
      </c>
      <c r="AI326">
        <v>3</v>
      </c>
      <c r="AJ326">
        <v>68176</v>
      </c>
      <c r="AK326">
        <v>7811</v>
      </c>
      <c r="AL326" t="b">
        <v>0</v>
      </c>
      <c r="AM326" s="76">
        <v>43424.595381944448</v>
      </c>
      <c r="AO326" t="s">
        <v>3899</v>
      </c>
      <c r="AX326" t="b">
        <v>0</v>
      </c>
      <c r="AZ326" t="b">
        <v>0</v>
      </c>
      <c r="BA326" t="b">
        <v>0</v>
      </c>
      <c r="BB326" t="b">
        <v>0</v>
      </c>
      <c r="BC326" t="b">
        <v>1</v>
      </c>
      <c r="BD326" t="b">
        <v>0</v>
      </c>
      <c r="BE326" t="b">
        <v>1</v>
      </c>
      <c r="BF326" t="b">
        <v>0</v>
      </c>
      <c r="BG326" t="b">
        <v>0</v>
      </c>
      <c r="BH326" s="79" t="str">
        <f>HYPERLINK("https://pbs.twimg.com/profile_banners/1064885410571137025/1661440368")</f>
        <v>https://pbs.twimg.com/profile_banners/1064885410571137025/1661440368</v>
      </c>
      <c r="BJ326" t="s">
        <v>4320</v>
      </c>
      <c r="BK326" t="b">
        <v>0</v>
      </c>
      <c r="BM326" t="s">
        <v>65</v>
      </c>
      <c r="BN326" t="s">
        <v>4322</v>
      </c>
      <c r="BO326" s="79" t="str">
        <f>HYPERLINK("https://twitter.com/ladymmaia")</f>
        <v>https://twitter.com/ladymmaia</v>
      </c>
      <c r="BP326" s="112" t="str">
        <f>REPLACE(INDEX(GroupVertices[Group], MATCH("~"&amp;Vertices[[#This Row],[Vertex]],GroupVertices[Vertex],0)),1,1,"")</f>
        <v>72</v>
      </c>
      <c r="BQ326" s="2"/>
    </row>
    <row r="327" spans="1:69" x14ac:dyDescent="0.25">
      <c r="A327" s="61" t="s">
        <v>384</v>
      </c>
      <c r="B327" s="62"/>
      <c r="C327" s="62"/>
      <c r="D327" s="63">
        <v>1.5</v>
      </c>
      <c r="E327" s="65"/>
      <c r="F327" s="97" t="str">
        <f>HYPERLINK("https://pbs.twimg.com/profile_images/1780010075655929857/qYwgl1I8_normal.jpg")</f>
        <v>https://pbs.twimg.com/profile_images/1780010075655929857/qYwgl1I8_normal.jpg</v>
      </c>
      <c r="G327" s="62"/>
      <c r="H327" s="66"/>
      <c r="I327" s="67"/>
      <c r="J327" s="67"/>
      <c r="K327" s="66" t="s">
        <v>4624</v>
      </c>
      <c r="L327" s="70"/>
      <c r="M327" s="71">
        <v>5149.35302734375</v>
      </c>
      <c r="N327" s="71">
        <v>3368.86181640625</v>
      </c>
      <c r="O327" s="72"/>
      <c r="P327" s="73"/>
      <c r="Q327" s="73"/>
      <c r="R327" s="81"/>
      <c r="S327" s="45">
        <v>0</v>
      </c>
      <c r="T327" s="45">
        <v>1</v>
      </c>
      <c r="U327" s="46">
        <v>0</v>
      </c>
      <c r="V327" s="46">
        <v>2.0960000000000002E-3</v>
      </c>
      <c r="W327" s="47"/>
      <c r="X327" s="47"/>
      <c r="Y327" s="47"/>
      <c r="Z327" s="46"/>
      <c r="AA327" s="68">
        <v>327</v>
      </c>
      <c r="AB327"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27" s="69"/>
      <c r="AD327" t="s">
        <v>2983</v>
      </c>
      <c r="AE327" s="77" t="s">
        <v>3304</v>
      </c>
      <c r="AF327">
        <v>125789</v>
      </c>
      <c r="AG327">
        <v>6275</v>
      </c>
      <c r="AH327">
        <v>134824</v>
      </c>
      <c r="AI327">
        <v>290</v>
      </c>
      <c r="AJ327">
        <v>18635</v>
      </c>
      <c r="AK327">
        <v>44730</v>
      </c>
      <c r="AL327" t="b">
        <v>0</v>
      </c>
      <c r="AM327" s="76">
        <v>40240.969965277778</v>
      </c>
      <c r="AN327" t="s">
        <v>3413</v>
      </c>
      <c r="AO327" t="s">
        <v>3900</v>
      </c>
      <c r="AP327" s="79" t="str">
        <f>HYPERLINK("https://t.co/sOoBgRAK3A")</f>
        <v>https://t.co/sOoBgRAK3A</v>
      </c>
      <c r="AQ327" s="79" t="str">
        <f>HYPERLINK("http://www.radiofestival.cl")</f>
        <v>http://www.radiofestival.cl</v>
      </c>
      <c r="AR327" t="s">
        <v>1180</v>
      </c>
      <c r="AW327" s="79" t="str">
        <f>HYPERLINK("https://t.co/sOoBgRAK3A")</f>
        <v>https://t.co/sOoBgRAK3A</v>
      </c>
      <c r="AX327" t="b">
        <v>0</v>
      </c>
      <c r="BA327" t="b">
        <v>1</v>
      </c>
      <c r="BB327" t="b">
        <v>1</v>
      </c>
      <c r="BC327" t="b">
        <v>0</v>
      </c>
      <c r="BD327" t="b">
        <v>0</v>
      </c>
      <c r="BE327" t="b">
        <v>1</v>
      </c>
      <c r="BF327" t="b">
        <v>0</v>
      </c>
      <c r="BG327" t="b">
        <v>0</v>
      </c>
      <c r="BH327" s="79" t="str">
        <f>HYPERLINK("https://pbs.twimg.com/profile_banners/119535717/1739625465")</f>
        <v>https://pbs.twimg.com/profile_banners/119535717/1739625465</v>
      </c>
      <c r="BJ327" t="s">
        <v>4320</v>
      </c>
      <c r="BK327" t="b">
        <v>0</v>
      </c>
      <c r="BM327" t="s">
        <v>66</v>
      </c>
      <c r="BN327" t="s">
        <v>4322</v>
      </c>
      <c r="BO327" s="79" t="str">
        <f>HYPERLINK("https://twitter.com/radio_festival")</f>
        <v>https://twitter.com/radio_festival</v>
      </c>
      <c r="BP327" s="112" t="str">
        <f>REPLACE(INDEX(GroupVertices[Group], MATCH("~"&amp;Vertices[[#This Row],[Vertex]],GroupVertices[Vertex],0)),1,1,"")</f>
        <v>105</v>
      </c>
      <c r="BQ327" s="2"/>
    </row>
    <row r="328" spans="1:69" x14ac:dyDescent="0.25">
      <c r="A328" s="61" t="s">
        <v>640</v>
      </c>
      <c r="B328" s="62"/>
      <c r="C328" s="62"/>
      <c r="D328" s="63">
        <v>1.5</v>
      </c>
      <c r="E328" s="65"/>
      <c r="F328" s="97" t="str">
        <f>HYPERLINK("https://pbs.twimg.com/profile_images/1785684788386336768/JcVmjMy9_normal.jpg")</f>
        <v>https://pbs.twimg.com/profile_images/1785684788386336768/JcVmjMy9_normal.jpg</v>
      </c>
      <c r="G328" s="62"/>
      <c r="H328" s="66"/>
      <c r="I328" s="67"/>
      <c r="J328" s="67"/>
      <c r="K328" s="66" t="s">
        <v>4625</v>
      </c>
      <c r="L328" s="70"/>
      <c r="M328" s="71">
        <v>5860.14501953125</v>
      </c>
      <c r="N328" s="71">
        <v>5396.81884765625</v>
      </c>
      <c r="O328" s="72"/>
      <c r="P328" s="73"/>
      <c r="Q328" s="73"/>
      <c r="R328" s="81"/>
      <c r="S328" s="45">
        <v>1</v>
      </c>
      <c r="T328" s="45">
        <v>0</v>
      </c>
      <c r="U328" s="46">
        <v>0</v>
      </c>
      <c r="V328" s="46">
        <v>2.0960000000000002E-3</v>
      </c>
      <c r="W328" s="47"/>
      <c r="X328" s="47"/>
      <c r="Y328" s="47"/>
      <c r="Z328" s="46"/>
      <c r="AA328" s="68">
        <v>328</v>
      </c>
      <c r="AB328"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28" s="69"/>
      <c r="AD328" t="s">
        <v>2984</v>
      </c>
      <c r="AE328" s="77" t="s">
        <v>3305</v>
      </c>
      <c r="AF328">
        <v>12708</v>
      </c>
      <c r="AG328">
        <v>1204</v>
      </c>
      <c r="AH328">
        <v>52778</v>
      </c>
      <c r="AI328">
        <v>53</v>
      </c>
      <c r="AJ328">
        <v>23345</v>
      </c>
      <c r="AK328">
        <v>4929</v>
      </c>
      <c r="AL328" t="b">
        <v>0</v>
      </c>
      <c r="AM328" s="76">
        <v>41361.88490740741</v>
      </c>
      <c r="AN328" t="s">
        <v>3413</v>
      </c>
      <c r="AO328" t="s">
        <v>3901</v>
      </c>
      <c r="AP328" s="79" t="str">
        <f>HYPERLINK("https://t.co/78BEmo0XZp")</f>
        <v>https://t.co/78BEmo0XZp</v>
      </c>
      <c r="AQ328" s="79" t="str">
        <f>HYPERLINK("http://valparaiso.mineduc.cl/")</f>
        <v>http://valparaiso.mineduc.cl/</v>
      </c>
      <c r="AR328" t="s">
        <v>4176</v>
      </c>
      <c r="AW328" s="79" t="str">
        <f>HYPERLINK("https://t.co/78BEmo0XZp")</f>
        <v>https://t.co/78BEmo0XZp</v>
      </c>
      <c r="AX328" t="b">
        <v>0</v>
      </c>
      <c r="AZ328" t="b">
        <v>0</v>
      </c>
      <c r="BA328" t="b">
        <v>1</v>
      </c>
      <c r="BB328" t="b">
        <v>1</v>
      </c>
      <c r="BC328" t="b">
        <v>0</v>
      </c>
      <c r="BD328" t="b">
        <v>0</v>
      </c>
      <c r="BE328" t="b">
        <v>1</v>
      </c>
      <c r="BF328" t="b">
        <v>0</v>
      </c>
      <c r="BG328" t="b">
        <v>0</v>
      </c>
      <c r="BH328" s="79" t="str">
        <f>HYPERLINK("https://pbs.twimg.com/profile_banners/1311722040/1741719470")</f>
        <v>https://pbs.twimg.com/profile_banners/1311722040/1741719470</v>
      </c>
      <c r="BJ328" t="s">
        <v>4320</v>
      </c>
      <c r="BK328" t="b">
        <v>0</v>
      </c>
      <c r="BM328" t="s">
        <v>65</v>
      </c>
      <c r="BN328" t="s">
        <v>4322</v>
      </c>
      <c r="BO328" s="79" t="str">
        <f>HYPERLINK("https://twitter.com/seremi_educ_v")</f>
        <v>https://twitter.com/seremi_educ_v</v>
      </c>
      <c r="BP328" s="112" t="str">
        <f>REPLACE(INDEX(GroupVertices[Group], MATCH("~"&amp;Vertices[[#This Row],[Vertex]],GroupVertices[Vertex],0)),1,1,"")</f>
        <v>105</v>
      </c>
      <c r="BQ328" s="2"/>
    </row>
    <row r="329" spans="1:69" x14ac:dyDescent="0.25">
      <c r="A329" s="61" t="s">
        <v>641</v>
      </c>
      <c r="B329" s="62"/>
      <c r="C329" s="62"/>
      <c r="D329" s="63">
        <v>1.5</v>
      </c>
      <c r="E329" s="65"/>
      <c r="F329" s="97" t="str">
        <f>HYPERLINK("https://pbs.twimg.com/profile_images/1807766723157741568/IOEi_fuA_normal.jpg")</f>
        <v>https://pbs.twimg.com/profile_images/1807766723157741568/IOEi_fuA_normal.jpg</v>
      </c>
      <c r="G329" s="62"/>
      <c r="H329" s="66"/>
      <c r="I329" s="67"/>
      <c r="J329" s="67"/>
      <c r="K329" s="66" t="s">
        <v>4627</v>
      </c>
      <c r="L329" s="70"/>
      <c r="M329" s="71">
        <v>818.39227294921875</v>
      </c>
      <c r="N329" s="71">
        <v>5815.98779296875</v>
      </c>
      <c r="O329" s="72"/>
      <c r="P329" s="73"/>
      <c r="Q329" s="73"/>
      <c r="R329" s="81"/>
      <c r="S329" s="45">
        <v>1</v>
      </c>
      <c r="T329" s="45">
        <v>0</v>
      </c>
      <c r="U329" s="46">
        <v>0</v>
      </c>
      <c r="V329" s="46">
        <v>3.774E-3</v>
      </c>
      <c r="W329" s="47"/>
      <c r="X329" s="47"/>
      <c r="Y329" s="47"/>
      <c r="Z329" s="46"/>
      <c r="AA329" s="68">
        <v>329</v>
      </c>
      <c r="AB329"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29" s="69"/>
      <c r="AD329" t="s">
        <v>2986</v>
      </c>
      <c r="AE329" s="77" t="s">
        <v>3307</v>
      </c>
      <c r="AF329">
        <v>1327236</v>
      </c>
      <c r="AG329">
        <v>556</v>
      </c>
      <c r="AH329">
        <v>170588</v>
      </c>
      <c r="AI329">
        <v>2982</v>
      </c>
      <c r="AJ329">
        <v>87</v>
      </c>
      <c r="AK329">
        <v>74522</v>
      </c>
      <c r="AL329" t="b">
        <v>0</v>
      </c>
      <c r="AM329" s="76">
        <v>40077.97084490741</v>
      </c>
      <c r="AN329" t="s">
        <v>3415</v>
      </c>
      <c r="AO329" t="s">
        <v>3903</v>
      </c>
      <c r="AP329" s="79" t="str">
        <f>HYPERLINK("https://t.co/0pXkyKCTpr")</f>
        <v>https://t.co/0pXkyKCTpr</v>
      </c>
      <c r="AQ329" s="79" t="str">
        <f>HYPERLINK("https://www.ine.mx/")</f>
        <v>https://www.ine.mx/</v>
      </c>
      <c r="AR329" t="s">
        <v>4177</v>
      </c>
      <c r="AW329" s="79" t="str">
        <f>HYPERLINK("https://t.co/0pXkyKCTpr")</f>
        <v>https://t.co/0pXkyKCTpr</v>
      </c>
      <c r="AX329" t="b">
        <v>1</v>
      </c>
      <c r="AZ329" t="b">
        <v>0</v>
      </c>
      <c r="BA329" t="b">
        <v>1</v>
      </c>
      <c r="BB329" t="b">
        <v>1</v>
      </c>
      <c r="BC329" t="b">
        <v>0</v>
      </c>
      <c r="BD329" t="b">
        <v>0</v>
      </c>
      <c r="BE329" t="b">
        <v>1</v>
      </c>
      <c r="BF329" t="b">
        <v>0</v>
      </c>
      <c r="BG329" t="b">
        <v>0</v>
      </c>
      <c r="BH329" s="79" t="str">
        <f>HYPERLINK("https://pbs.twimg.com/profile_banners/76178329/1748842828")</f>
        <v>https://pbs.twimg.com/profile_banners/76178329/1748842828</v>
      </c>
      <c r="BJ329" t="s">
        <v>4320</v>
      </c>
      <c r="BK329" t="b">
        <v>0</v>
      </c>
      <c r="BM329" t="s">
        <v>65</v>
      </c>
      <c r="BN329" t="s">
        <v>4322</v>
      </c>
      <c r="BO329" s="79" t="str">
        <f>HYPERLINK("https://twitter.com/inemexico")</f>
        <v>https://twitter.com/inemexico</v>
      </c>
      <c r="BP329" s="112" t="str">
        <f>REPLACE(INDEX(GroupVertices[Group], MATCH("~"&amp;Vertices[[#This Row],[Vertex]],GroupVertices[Vertex],0)),1,1,"")</f>
        <v>21</v>
      </c>
      <c r="BQ329" s="2"/>
    </row>
    <row r="330" spans="1:69" x14ac:dyDescent="0.25">
      <c r="A330" s="61" t="s">
        <v>642</v>
      </c>
      <c r="B330" s="62"/>
      <c r="C330" s="62"/>
      <c r="D330" s="63">
        <v>1.5</v>
      </c>
      <c r="E330" s="65"/>
      <c r="F330" s="97" t="str">
        <f>HYPERLINK("https://pbs.twimg.com/profile_images/1468273654446313472/fcqOmSLB_normal.png")</f>
        <v>https://pbs.twimg.com/profile_images/1468273654446313472/fcqOmSLB_normal.png</v>
      </c>
      <c r="G330" s="62"/>
      <c r="H330" s="66"/>
      <c r="I330" s="67"/>
      <c r="J330" s="67"/>
      <c r="K330" s="66" t="s">
        <v>4628</v>
      </c>
      <c r="L330" s="70"/>
      <c r="M330" s="71">
        <v>5957.63720703125</v>
      </c>
      <c r="N330" s="71">
        <v>2700.760498046875</v>
      </c>
      <c r="O330" s="72"/>
      <c r="P330" s="73"/>
      <c r="Q330" s="73"/>
      <c r="R330" s="81"/>
      <c r="S330" s="45">
        <v>1</v>
      </c>
      <c r="T330" s="45">
        <v>0</v>
      </c>
      <c r="U330" s="46">
        <v>0</v>
      </c>
      <c r="V330" s="46">
        <v>3.774E-3</v>
      </c>
      <c r="W330" s="47"/>
      <c r="X330" s="47"/>
      <c r="Y330" s="47"/>
      <c r="Z330" s="46"/>
      <c r="AA330" s="68">
        <v>330</v>
      </c>
      <c r="AB330"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30" s="69"/>
      <c r="AD330" t="s">
        <v>2987</v>
      </c>
      <c r="AE330" s="77" t="s">
        <v>3308</v>
      </c>
      <c r="AF330">
        <v>43209</v>
      </c>
      <c r="AG330">
        <v>1210</v>
      </c>
      <c r="AH330">
        <v>21419</v>
      </c>
      <c r="AI330">
        <v>337</v>
      </c>
      <c r="AJ330">
        <v>4918</v>
      </c>
      <c r="AK330">
        <v>4998</v>
      </c>
      <c r="AL330" t="b">
        <v>0</v>
      </c>
      <c r="AM330" s="76">
        <v>39889.752071759256</v>
      </c>
      <c r="AN330" t="s">
        <v>3550</v>
      </c>
      <c r="AO330" t="s">
        <v>3904</v>
      </c>
      <c r="AP330" s="79" t="str">
        <f>HYPERLINK("https://t.co/7aM6ZuZOms")</f>
        <v>https://t.co/7aM6ZuZOms</v>
      </c>
      <c r="AQ330" s="79" t="str">
        <f>HYPERLINK("http://www.ine.com")</f>
        <v>http://www.ine.com</v>
      </c>
      <c r="AR330" t="s">
        <v>4178</v>
      </c>
      <c r="AW330" s="79" t="str">
        <f>HYPERLINK("https://t.co/7aM6ZuZOms")</f>
        <v>https://t.co/7aM6ZuZOms</v>
      </c>
      <c r="AX330" t="b">
        <v>0</v>
      </c>
      <c r="AZ330" t="b">
        <v>0</v>
      </c>
      <c r="BA330" t="b">
        <v>1</v>
      </c>
      <c r="BB330" t="b">
        <v>1</v>
      </c>
      <c r="BC330" t="b">
        <v>0</v>
      </c>
      <c r="BD330" t="b">
        <v>0</v>
      </c>
      <c r="BE330" t="b">
        <v>0</v>
      </c>
      <c r="BF330" t="b">
        <v>0</v>
      </c>
      <c r="BG330" t="b">
        <v>0</v>
      </c>
      <c r="BH330" s="79" t="str">
        <f>HYPERLINK("https://pbs.twimg.com/profile_banners/24922691/1692736648")</f>
        <v>https://pbs.twimg.com/profile_banners/24922691/1692736648</v>
      </c>
      <c r="BJ330" t="s">
        <v>4320</v>
      </c>
      <c r="BK330" t="b">
        <v>0</v>
      </c>
      <c r="BM330" t="s">
        <v>65</v>
      </c>
      <c r="BN330" t="s">
        <v>4322</v>
      </c>
      <c r="BO330" s="79" t="str">
        <f>HYPERLINK("https://twitter.com/ine")</f>
        <v>https://twitter.com/ine</v>
      </c>
      <c r="BP330" s="112" t="str">
        <f>REPLACE(INDEX(GroupVertices[Group], MATCH("~"&amp;Vertices[[#This Row],[Vertex]],GroupVertices[Vertex],0)),1,1,"")</f>
        <v>21</v>
      </c>
      <c r="BQ330" s="2"/>
    </row>
    <row r="331" spans="1:69" x14ac:dyDescent="0.25">
      <c r="A331" s="61" t="s">
        <v>643</v>
      </c>
      <c r="B331" s="62"/>
      <c r="C331" s="62"/>
      <c r="D331" s="63">
        <v>1.5</v>
      </c>
      <c r="E331" s="65"/>
      <c r="F331" s="97" t="str">
        <f>HYPERLINK("https://pbs.twimg.com/profile_images/1581486711045070850/r8PU8Qbc_normal.jpg")</f>
        <v>https://pbs.twimg.com/profile_images/1581486711045070850/r8PU8Qbc_normal.jpg</v>
      </c>
      <c r="G331" s="62"/>
      <c r="H331" s="66"/>
      <c r="I331" s="67"/>
      <c r="J331" s="67"/>
      <c r="K331" s="66" t="s">
        <v>4629</v>
      </c>
      <c r="L331" s="70"/>
      <c r="M331" s="71">
        <v>5604.86328125</v>
      </c>
      <c r="N331" s="71">
        <v>8934.0078125</v>
      </c>
      <c r="O331" s="72"/>
      <c r="P331" s="73"/>
      <c r="Q331" s="73"/>
      <c r="R331" s="81"/>
      <c r="S331" s="45">
        <v>1</v>
      </c>
      <c r="T331" s="45">
        <v>0</v>
      </c>
      <c r="U331" s="46">
        <v>0</v>
      </c>
      <c r="V331" s="46">
        <v>3.774E-3</v>
      </c>
      <c r="W331" s="47"/>
      <c r="X331" s="47"/>
      <c r="Y331" s="47"/>
      <c r="Z331" s="46"/>
      <c r="AA331" s="68">
        <v>331</v>
      </c>
      <c r="AB331"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31" s="69"/>
      <c r="AD331" t="s">
        <v>2988</v>
      </c>
      <c r="AE331" s="77" t="s">
        <v>2450</v>
      </c>
      <c r="AF331">
        <v>1183</v>
      </c>
      <c r="AG331">
        <v>1437</v>
      </c>
      <c r="AH331">
        <v>75975</v>
      </c>
      <c r="AI331">
        <v>13</v>
      </c>
      <c r="AJ331">
        <v>62260</v>
      </c>
      <c r="AK331">
        <v>508</v>
      </c>
      <c r="AL331" t="b">
        <v>0</v>
      </c>
      <c r="AM331" s="76">
        <v>43018.761990740742</v>
      </c>
      <c r="AN331" t="s">
        <v>3551</v>
      </c>
      <c r="AX331" t="b">
        <v>0</v>
      </c>
      <c r="AZ331" t="b">
        <v>0</v>
      </c>
      <c r="BA331" t="b">
        <v>0</v>
      </c>
      <c r="BB331" t="b">
        <v>1</v>
      </c>
      <c r="BC331" t="b">
        <v>1</v>
      </c>
      <c r="BD331" t="b">
        <v>0</v>
      </c>
      <c r="BE331" t="b">
        <v>1</v>
      </c>
      <c r="BF331" t="b">
        <v>0</v>
      </c>
      <c r="BG331" t="b">
        <v>0</v>
      </c>
      <c r="BJ331" t="s">
        <v>4320</v>
      </c>
      <c r="BK331" t="b">
        <v>0</v>
      </c>
      <c r="BM331" t="s">
        <v>65</v>
      </c>
      <c r="BN331" t="s">
        <v>4322</v>
      </c>
      <c r="BO331" s="79" t="str">
        <f>HYPERLINK("https://twitter.com/jorgerincon_n")</f>
        <v>https://twitter.com/jorgerincon_n</v>
      </c>
      <c r="BP331" s="112" t="str">
        <f>REPLACE(INDEX(GroupVertices[Group], MATCH("~"&amp;Vertices[[#This Row],[Vertex]],GroupVertices[Vertex],0)),1,1,"")</f>
        <v>21</v>
      </c>
      <c r="BQ331" s="2"/>
    </row>
    <row r="332" spans="1:69" x14ac:dyDescent="0.25">
      <c r="A332" s="61" t="s">
        <v>386</v>
      </c>
      <c r="B332" s="62"/>
      <c r="C332" s="62"/>
      <c r="D332" s="63">
        <v>1.5</v>
      </c>
      <c r="E332" s="65"/>
      <c r="F332" s="97" t="str">
        <f>HYPERLINK("https://pbs.twimg.com/profile_images/1894453023495036929/pCjyD-iA_normal.jpg")</f>
        <v>https://pbs.twimg.com/profile_images/1894453023495036929/pCjyD-iA_normal.jpg</v>
      </c>
      <c r="G332" s="62"/>
      <c r="H332" s="66"/>
      <c r="I332" s="67"/>
      <c r="J332" s="67"/>
      <c r="K332" s="66" t="s">
        <v>4630</v>
      </c>
      <c r="L332" s="70"/>
      <c r="M332" s="71">
        <v>9117.73828125</v>
      </c>
      <c r="N332" s="71">
        <v>2232.76171875</v>
      </c>
      <c r="O332" s="72"/>
      <c r="P332" s="73"/>
      <c r="Q332" s="73"/>
      <c r="R332" s="81"/>
      <c r="S332" s="45">
        <v>1</v>
      </c>
      <c r="T332" s="45">
        <v>1</v>
      </c>
      <c r="U332" s="46">
        <v>0</v>
      </c>
      <c r="V332" s="46">
        <v>0</v>
      </c>
      <c r="W332" s="47"/>
      <c r="X332" s="47"/>
      <c r="Y332" s="47"/>
      <c r="Z332" s="46"/>
      <c r="AA332" s="68">
        <v>332</v>
      </c>
      <c r="AB332"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32" s="69"/>
      <c r="AD332" t="s">
        <v>2989</v>
      </c>
      <c r="AE332" s="77" t="s">
        <v>2601</v>
      </c>
      <c r="AF332">
        <v>588</v>
      </c>
      <c r="AG332">
        <v>64</v>
      </c>
      <c r="AH332">
        <v>6710</v>
      </c>
      <c r="AI332">
        <v>1</v>
      </c>
      <c r="AJ332">
        <v>4643</v>
      </c>
      <c r="AK332">
        <v>483</v>
      </c>
      <c r="AL332" t="b">
        <v>0</v>
      </c>
      <c r="AM332" s="76">
        <v>45066.303344907406</v>
      </c>
      <c r="AO332" t="s">
        <v>3905</v>
      </c>
      <c r="AX332" t="b">
        <v>0</v>
      </c>
      <c r="BA332" t="b">
        <v>1</v>
      </c>
      <c r="BB332" t="b">
        <v>1</v>
      </c>
      <c r="BC332" t="b">
        <v>1</v>
      </c>
      <c r="BD332" t="b">
        <v>0</v>
      </c>
      <c r="BE332" t="b">
        <v>0</v>
      </c>
      <c r="BF332" t="b">
        <v>0</v>
      </c>
      <c r="BG332" t="b">
        <v>0</v>
      </c>
      <c r="BH332" s="79" t="str">
        <f>HYPERLINK("https://pbs.twimg.com/profile_banners/1659820291193819143/1709586408")</f>
        <v>https://pbs.twimg.com/profile_banners/1659820291193819143/1709586408</v>
      </c>
      <c r="BJ332" t="s">
        <v>4320</v>
      </c>
      <c r="BK332" t="b">
        <v>0</v>
      </c>
      <c r="BM332" t="s">
        <v>66</v>
      </c>
      <c r="BN332" t="s">
        <v>4322</v>
      </c>
      <c r="BO332" s="79" t="str">
        <f>HYPERLINK("https://twitter.com/yasbelninaa")</f>
        <v>https://twitter.com/yasbelninaa</v>
      </c>
      <c r="BP332" s="112" t="str">
        <f>REPLACE(INDEX(GroupVertices[Group], MATCH("~"&amp;Vertices[[#This Row],[Vertex]],GroupVertices[Vertex],0)),1,1,"")</f>
        <v>139</v>
      </c>
      <c r="BQ332" s="2"/>
    </row>
    <row r="333" spans="1:69" x14ac:dyDescent="0.25">
      <c r="A333" s="61" t="s">
        <v>644</v>
      </c>
      <c r="B333" s="62"/>
      <c r="C333" s="62"/>
      <c r="D333" s="63">
        <v>1.5</v>
      </c>
      <c r="E333" s="65"/>
      <c r="F333" s="97" t="str">
        <f>HYPERLINK("https://pbs.twimg.com/profile_images/1351789208537624578/FgSS4wqp_normal.jpg")</f>
        <v>https://pbs.twimg.com/profile_images/1351789208537624578/FgSS4wqp_normal.jpg</v>
      </c>
      <c r="G333" s="62"/>
      <c r="H333" s="66"/>
      <c r="I333" s="67"/>
      <c r="J333" s="67"/>
      <c r="K333" s="66" t="s">
        <v>4632</v>
      </c>
      <c r="L333" s="70"/>
      <c r="M333" s="71">
        <v>3426.49462890625</v>
      </c>
      <c r="N333" s="71">
        <v>2469.817138671875</v>
      </c>
      <c r="O333" s="72"/>
      <c r="P333" s="73"/>
      <c r="Q333" s="73"/>
      <c r="R333" s="81"/>
      <c r="S333" s="45">
        <v>1</v>
      </c>
      <c r="T333" s="45">
        <v>0</v>
      </c>
      <c r="U333" s="46">
        <v>0</v>
      </c>
      <c r="V333" s="46">
        <v>3.774E-3</v>
      </c>
      <c r="W333" s="47"/>
      <c r="X333" s="47"/>
      <c r="Y333" s="47"/>
      <c r="Z333" s="46"/>
      <c r="AA333" s="68">
        <v>333</v>
      </c>
      <c r="AB333"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33" s="69"/>
      <c r="AD333" t="s">
        <v>2991</v>
      </c>
      <c r="AE333" s="77" t="s">
        <v>3309</v>
      </c>
      <c r="AF333">
        <v>702</v>
      </c>
      <c r="AG333">
        <v>623</v>
      </c>
      <c r="AH333">
        <v>217805</v>
      </c>
      <c r="AI333">
        <v>4</v>
      </c>
      <c r="AJ333">
        <v>369654</v>
      </c>
      <c r="AK333">
        <v>1001</v>
      </c>
      <c r="AL333" t="b">
        <v>0</v>
      </c>
      <c r="AM333" s="76">
        <v>41243.48909722222</v>
      </c>
      <c r="AO333" t="s">
        <v>3907</v>
      </c>
      <c r="AX333" t="b">
        <v>0</v>
      </c>
      <c r="AZ333" t="b">
        <v>0</v>
      </c>
      <c r="BA333" t="b">
        <v>0</v>
      </c>
      <c r="BB333" t="b">
        <v>1</v>
      </c>
      <c r="BC333" t="b">
        <v>1</v>
      </c>
      <c r="BD333" t="b">
        <v>0</v>
      </c>
      <c r="BE333" t="b">
        <v>1</v>
      </c>
      <c r="BF333" t="b">
        <v>0</v>
      </c>
      <c r="BG333" t="b">
        <v>0</v>
      </c>
      <c r="BH333" s="79" t="str">
        <f>HYPERLINK("https://pbs.twimg.com/profile_banners/980298770/1582894243")</f>
        <v>https://pbs.twimg.com/profile_banners/980298770/1582894243</v>
      </c>
      <c r="BJ333" t="s">
        <v>4320</v>
      </c>
      <c r="BK333" t="b">
        <v>0</v>
      </c>
      <c r="BM333" t="s">
        <v>65</v>
      </c>
      <c r="BN333" t="s">
        <v>4322</v>
      </c>
      <c r="BO333" s="79" t="str">
        <f>HYPERLINK("https://twitter.com/valentina_doc")</f>
        <v>https://twitter.com/valentina_doc</v>
      </c>
      <c r="BP333" s="112" t="str">
        <f>REPLACE(INDEX(GroupVertices[Group], MATCH("~"&amp;Vertices[[#This Row],[Vertex]],GroupVertices[Vertex],0)),1,1,"")</f>
        <v>19</v>
      </c>
      <c r="BQ333" s="2"/>
    </row>
    <row r="334" spans="1:69" x14ac:dyDescent="0.25">
      <c r="A334" s="61" t="s">
        <v>645</v>
      </c>
      <c r="B334" s="62"/>
      <c r="C334" s="62"/>
      <c r="D334" s="63">
        <v>1.5</v>
      </c>
      <c r="E334" s="65"/>
      <c r="F334" s="97" t="str">
        <f>HYPERLINK("https://pbs.twimg.com/profile_images/1766423899951001600/xOkw8Hg-_normal.jpg")</f>
        <v>https://pbs.twimg.com/profile_images/1766423899951001600/xOkw8Hg-_normal.jpg</v>
      </c>
      <c r="G334" s="62"/>
      <c r="H334" s="66"/>
      <c r="I334" s="67"/>
      <c r="J334" s="67"/>
      <c r="K334" s="66" t="s">
        <v>4633</v>
      </c>
      <c r="L334" s="70"/>
      <c r="M334" s="71">
        <v>5201.68603515625</v>
      </c>
      <c r="N334" s="71">
        <v>6449.1982421875</v>
      </c>
      <c r="O334" s="72"/>
      <c r="P334" s="73"/>
      <c r="Q334" s="73"/>
      <c r="R334" s="81"/>
      <c r="S334" s="45">
        <v>1</v>
      </c>
      <c r="T334" s="45">
        <v>0</v>
      </c>
      <c r="U334" s="46">
        <v>0</v>
      </c>
      <c r="V334" s="46">
        <v>3.774E-3</v>
      </c>
      <c r="W334" s="47"/>
      <c r="X334" s="47"/>
      <c r="Y334" s="47"/>
      <c r="Z334" s="46"/>
      <c r="AA334" s="68">
        <v>334</v>
      </c>
      <c r="AB334"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34" s="69"/>
      <c r="AD334" t="s">
        <v>2992</v>
      </c>
      <c r="AE334" s="77" t="s">
        <v>2451</v>
      </c>
      <c r="AF334">
        <v>69663</v>
      </c>
      <c r="AG334">
        <v>1037</v>
      </c>
      <c r="AH334">
        <v>37420</v>
      </c>
      <c r="AI334">
        <v>220</v>
      </c>
      <c r="AJ334">
        <v>586</v>
      </c>
      <c r="AK334">
        <v>5493</v>
      </c>
      <c r="AL334" t="b">
        <v>0</v>
      </c>
      <c r="AM334" s="76">
        <v>42737.786006944443</v>
      </c>
      <c r="AN334" t="s">
        <v>3432</v>
      </c>
      <c r="AO334" t="s">
        <v>3908</v>
      </c>
      <c r="AX334" t="b">
        <v>1</v>
      </c>
      <c r="AZ334" t="b">
        <v>0</v>
      </c>
      <c r="BA334" t="b">
        <v>1</v>
      </c>
      <c r="BB334" t="b">
        <v>0</v>
      </c>
      <c r="BC334" t="b">
        <v>1</v>
      </c>
      <c r="BD334" t="b">
        <v>0</v>
      </c>
      <c r="BE334" t="b">
        <v>1</v>
      </c>
      <c r="BF334" t="b">
        <v>0</v>
      </c>
      <c r="BG334" t="b">
        <v>0</v>
      </c>
      <c r="BH334" s="79" t="str">
        <f>HYPERLINK("https://pbs.twimg.com/profile_banners/815994028189696004/1483733599")</f>
        <v>https://pbs.twimg.com/profile_banners/815994028189696004/1483733599</v>
      </c>
      <c r="BJ334" t="s">
        <v>4320</v>
      </c>
      <c r="BK334" t="b">
        <v>0</v>
      </c>
      <c r="BM334" t="s">
        <v>65</v>
      </c>
      <c r="BN334" t="s">
        <v>4322</v>
      </c>
      <c r="BO334" s="79" t="str">
        <f>HYPERLINK("https://twitter.com/perdigueroasp")</f>
        <v>https://twitter.com/perdigueroasp</v>
      </c>
      <c r="BP334" s="112" t="str">
        <f>REPLACE(INDEX(GroupVertices[Group], MATCH("~"&amp;Vertices[[#This Row],[Vertex]],GroupVertices[Vertex],0)),1,1,"")</f>
        <v>19</v>
      </c>
      <c r="BQ334" s="2"/>
    </row>
    <row r="335" spans="1:69" x14ac:dyDescent="0.25">
      <c r="A335" s="61" t="s">
        <v>646</v>
      </c>
      <c r="B335" s="62"/>
      <c r="C335" s="62"/>
      <c r="D335" s="63">
        <v>1.5</v>
      </c>
      <c r="E335" s="65"/>
      <c r="F335" s="97" t="str">
        <f>HYPERLINK("https://pbs.twimg.com/profile_images/1731035690048049152/JmoOE7kP_normal.jpg")</f>
        <v>https://pbs.twimg.com/profile_images/1731035690048049152/JmoOE7kP_normal.jpg</v>
      </c>
      <c r="G335" s="62"/>
      <c r="H335" s="66"/>
      <c r="I335" s="67"/>
      <c r="J335" s="67"/>
      <c r="K335" s="66" t="s">
        <v>4634</v>
      </c>
      <c r="L335" s="70"/>
      <c r="M335" s="71">
        <v>7425.91943359375</v>
      </c>
      <c r="N335" s="71">
        <v>1217.2506103515625</v>
      </c>
      <c r="O335" s="72"/>
      <c r="P335" s="73"/>
      <c r="Q335" s="73"/>
      <c r="R335" s="81"/>
      <c r="S335" s="45">
        <v>1</v>
      </c>
      <c r="T335" s="45">
        <v>0</v>
      </c>
      <c r="U335" s="46">
        <v>0</v>
      </c>
      <c r="V335" s="46">
        <v>3.774E-3</v>
      </c>
      <c r="W335" s="47"/>
      <c r="X335" s="47"/>
      <c r="Y335" s="47"/>
      <c r="Z335" s="46"/>
      <c r="AA335" s="68">
        <v>335</v>
      </c>
      <c r="AB335"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35" s="69"/>
      <c r="AD335" t="s">
        <v>2993</v>
      </c>
      <c r="AE335" s="77" t="s">
        <v>2452</v>
      </c>
      <c r="AF335">
        <v>11667</v>
      </c>
      <c r="AG335">
        <v>20</v>
      </c>
      <c r="AH335">
        <v>11965</v>
      </c>
      <c r="AI335">
        <v>12</v>
      </c>
      <c r="AJ335">
        <v>209</v>
      </c>
      <c r="AK335">
        <v>4630</v>
      </c>
      <c r="AL335" t="b">
        <v>0</v>
      </c>
      <c r="AM335" s="76">
        <v>44692.786585648151</v>
      </c>
      <c r="AO335" t="s">
        <v>3909</v>
      </c>
      <c r="AV335">
        <v>1.73103767811888E+18</v>
      </c>
      <c r="AX335" t="b">
        <v>0</v>
      </c>
      <c r="AZ335" t="b">
        <v>0</v>
      </c>
      <c r="BA335" t="b">
        <v>0</v>
      </c>
      <c r="BB335" t="b">
        <v>1</v>
      </c>
      <c r="BC335" t="b">
        <v>1</v>
      </c>
      <c r="BD335" t="b">
        <v>0</v>
      </c>
      <c r="BE335" t="b">
        <v>0</v>
      </c>
      <c r="BF335" t="b">
        <v>0</v>
      </c>
      <c r="BG335" t="b">
        <v>0</v>
      </c>
      <c r="BH335" s="79" t="str">
        <f>HYPERLINK("https://pbs.twimg.com/profile_banners/1524462371225452546/1701518177")</f>
        <v>https://pbs.twimg.com/profile_banners/1524462371225452546/1701518177</v>
      </c>
      <c r="BJ335" t="s">
        <v>4320</v>
      </c>
      <c r="BK335" t="b">
        <v>0</v>
      </c>
      <c r="BM335" t="s">
        <v>65</v>
      </c>
      <c r="BN335" t="s">
        <v>4322</v>
      </c>
      <c r="BO335" s="79" t="str">
        <f>HYPERLINK("https://twitter.com/veintimillapie")</f>
        <v>https://twitter.com/veintimillapie</v>
      </c>
      <c r="BP335" s="112" t="str">
        <f>REPLACE(INDEX(GroupVertices[Group], MATCH("~"&amp;Vertices[[#This Row],[Vertex]],GroupVertices[Vertex],0)),1,1,"")</f>
        <v>19</v>
      </c>
      <c r="BQ335" s="2"/>
    </row>
    <row r="336" spans="1:69" x14ac:dyDescent="0.25">
      <c r="A336" s="61" t="s">
        <v>388</v>
      </c>
      <c r="B336" s="62"/>
      <c r="C336" s="62"/>
      <c r="D336" s="63">
        <v>1.5</v>
      </c>
      <c r="E336" s="65"/>
      <c r="F336" s="97" t="str">
        <f>HYPERLINK("https://pbs.twimg.com/profile_images/1755665474996613120/7lUnvXgJ_normal.jpg")</f>
        <v>https://pbs.twimg.com/profile_images/1755665474996613120/7lUnvXgJ_normal.jpg</v>
      </c>
      <c r="G336" s="62"/>
      <c r="H336" s="66"/>
      <c r="I336" s="67"/>
      <c r="J336" s="67"/>
      <c r="K336" s="66" t="s">
        <v>4635</v>
      </c>
      <c r="L336" s="70"/>
      <c r="M336" s="71">
        <v>7174.18212890625</v>
      </c>
      <c r="N336" s="71">
        <v>7757.8701171875</v>
      </c>
      <c r="O336" s="72"/>
      <c r="P336" s="73"/>
      <c r="Q336" s="73"/>
      <c r="R336" s="81"/>
      <c r="S336" s="45">
        <v>1</v>
      </c>
      <c r="T336" s="45">
        <v>2</v>
      </c>
      <c r="U336" s="46">
        <v>0</v>
      </c>
      <c r="V336" s="46">
        <v>2.0960000000000002E-3</v>
      </c>
      <c r="W336" s="47"/>
      <c r="X336" s="47"/>
      <c r="Y336" s="47"/>
      <c r="Z336" s="46"/>
      <c r="AA336" s="68">
        <v>336</v>
      </c>
      <c r="AB336"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36" s="69"/>
      <c r="AD336" t="s">
        <v>2994</v>
      </c>
      <c r="AE336" s="77" t="s">
        <v>2453</v>
      </c>
      <c r="AF336">
        <v>833</v>
      </c>
      <c r="AG336">
        <v>502</v>
      </c>
      <c r="AH336">
        <v>15055</v>
      </c>
      <c r="AI336">
        <v>2</v>
      </c>
      <c r="AJ336">
        <v>61834</v>
      </c>
      <c r="AK336">
        <v>1064</v>
      </c>
      <c r="AL336" t="b">
        <v>0</v>
      </c>
      <c r="AM336" s="76">
        <v>44636.018738425926</v>
      </c>
      <c r="AO336" t="s">
        <v>3910</v>
      </c>
      <c r="AV336">
        <v>1.75206222342046E+18</v>
      </c>
      <c r="AX336" t="b">
        <v>0</v>
      </c>
      <c r="BA336" t="b">
        <v>0</v>
      </c>
      <c r="BB336" t="b">
        <v>0</v>
      </c>
      <c r="BC336" t="b">
        <v>1</v>
      </c>
      <c r="BD336" t="b">
        <v>0</v>
      </c>
      <c r="BE336" t="b">
        <v>1</v>
      </c>
      <c r="BF336" t="b">
        <v>0</v>
      </c>
      <c r="BG336" t="b">
        <v>0</v>
      </c>
      <c r="BH336" s="79" t="str">
        <f>HYPERLINK("https://pbs.twimg.com/profile_banners/1503890119035691009/1707420209")</f>
        <v>https://pbs.twimg.com/profile_banners/1503890119035691009/1707420209</v>
      </c>
      <c r="BJ336" t="s">
        <v>4320</v>
      </c>
      <c r="BK336" t="b">
        <v>0</v>
      </c>
      <c r="BM336" t="s">
        <v>66</v>
      </c>
      <c r="BN336" t="s">
        <v>4322</v>
      </c>
      <c r="BO336" s="79" t="str">
        <f>HYPERLINK("https://twitter.com/scorpius2punt0")</f>
        <v>https://twitter.com/scorpius2punt0</v>
      </c>
      <c r="BP336" s="112" t="str">
        <f>REPLACE(INDEX(GroupVertices[Group], MATCH("~"&amp;Vertices[[#This Row],[Vertex]],GroupVertices[Vertex],0)),1,1,"")</f>
        <v>69</v>
      </c>
      <c r="BQ336" s="2"/>
    </row>
    <row r="337" spans="1:69" x14ac:dyDescent="0.25">
      <c r="A337" s="61" t="s">
        <v>647</v>
      </c>
      <c r="B337" s="62"/>
      <c r="C337" s="62"/>
      <c r="D337" s="63">
        <v>1.5</v>
      </c>
      <c r="E337" s="65"/>
      <c r="F337" s="97" t="str">
        <f>HYPERLINK("https://pbs.twimg.com/profile_images/1603780830303846401/Qi40UQ-2_normal.jpg")</f>
        <v>https://pbs.twimg.com/profile_images/1603780830303846401/Qi40UQ-2_normal.jpg</v>
      </c>
      <c r="G337" s="62"/>
      <c r="H337" s="66"/>
      <c r="I337" s="67"/>
      <c r="J337" s="67"/>
      <c r="K337" s="66" t="s">
        <v>4636</v>
      </c>
      <c r="L337" s="70"/>
      <c r="M337" s="71">
        <v>8261.1025390625</v>
      </c>
      <c r="N337" s="71">
        <v>5651.8916015625</v>
      </c>
      <c r="O337" s="72"/>
      <c r="P337" s="73"/>
      <c r="Q337" s="73"/>
      <c r="R337" s="81"/>
      <c r="S337" s="45">
        <v>1</v>
      </c>
      <c r="T337" s="45">
        <v>0</v>
      </c>
      <c r="U337" s="46">
        <v>0</v>
      </c>
      <c r="V337" s="46">
        <v>2.0960000000000002E-3</v>
      </c>
      <c r="W337" s="47"/>
      <c r="X337" s="47"/>
      <c r="Y337" s="47"/>
      <c r="Z337" s="46"/>
      <c r="AA337" s="68">
        <v>337</v>
      </c>
      <c r="AB337"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37" s="69"/>
      <c r="AD337" t="s">
        <v>2995</v>
      </c>
      <c r="AE337" s="77" t="s">
        <v>3310</v>
      </c>
      <c r="AF337">
        <v>62105</v>
      </c>
      <c r="AG337">
        <v>696</v>
      </c>
      <c r="AH337">
        <v>38794</v>
      </c>
      <c r="AI337">
        <v>228</v>
      </c>
      <c r="AJ337">
        <v>66401</v>
      </c>
      <c r="AK337">
        <v>2012</v>
      </c>
      <c r="AL337" t="b">
        <v>0</v>
      </c>
      <c r="AM337" s="76">
        <v>40009.499571759261</v>
      </c>
      <c r="AN337" t="s">
        <v>3552</v>
      </c>
      <c r="AO337" t="s">
        <v>3911</v>
      </c>
      <c r="AP337" s="79" t="str">
        <f>HYPERLINK("https://t.co/5hGMwEaWYx")</f>
        <v>https://t.co/5hGMwEaWYx</v>
      </c>
      <c r="AQ337" s="79" t="str">
        <f>HYPERLINK("http://patreon.com/AymeRoman")</f>
        <v>http://patreon.com/AymeRoman</v>
      </c>
      <c r="AR337" t="s">
        <v>4179</v>
      </c>
      <c r="AS337" t="s">
        <v>4244</v>
      </c>
      <c r="AT337" t="s">
        <v>4257</v>
      </c>
      <c r="AU337" t="s">
        <v>4303</v>
      </c>
      <c r="AV337">
        <v>1.5830852246402701E+18</v>
      </c>
      <c r="AW337" s="79" t="str">
        <f>HYPERLINK("https://t.co/5hGMwEaWYx")</f>
        <v>https://t.co/5hGMwEaWYx</v>
      </c>
      <c r="AX337" t="b">
        <v>0</v>
      </c>
      <c r="AZ337" t="b">
        <v>0</v>
      </c>
      <c r="BA337" t="b">
        <v>1</v>
      </c>
      <c r="BB337" t="b">
        <v>0</v>
      </c>
      <c r="BC337" t="b">
        <v>0</v>
      </c>
      <c r="BD337" t="b">
        <v>0</v>
      </c>
      <c r="BE337" t="b">
        <v>1</v>
      </c>
      <c r="BF337" t="b">
        <v>0</v>
      </c>
      <c r="BG337" t="b">
        <v>0</v>
      </c>
      <c r="BH337" s="79" t="str">
        <f>HYPERLINK("https://pbs.twimg.com/profile_banners/56996734/1741545449")</f>
        <v>https://pbs.twimg.com/profile_banners/56996734/1741545449</v>
      </c>
      <c r="BJ337" t="s">
        <v>4321</v>
      </c>
      <c r="BK337" t="b">
        <v>0</v>
      </c>
      <c r="BM337" t="s">
        <v>65</v>
      </c>
      <c r="BN337" t="s">
        <v>4322</v>
      </c>
      <c r="BO337" s="79" t="str">
        <f>HYPERLINK("https://twitter.com/_ayme")</f>
        <v>https://twitter.com/_ayme</v>
      </c>
      <c r="BP337" s="112" t="str">
        <f>REPLACE(INDEX(GroupVertices[Group], MATCH("~"&amp;Vertices[[#This Row],[Vertex]],GroupVertices[Vertex],0)),1,1,"")</f>
        <v>69</v>
      </c>
      <c r="BQ337" s="2"/>
    </row>
    <row r="338" spans="1:69" x14ac:dyDescent="0.25">
      <c r="A338" s="61" t="s">
        <v>389</v>
      </c>
      <c r="B338" s="62"/>
      <c r="C338" s="62"/>
      <c r="D338" s="63">
        <v>1.5</v>
      </c>
      <c r="E338" s="65"/>
      <c r="F338" s="97" t="str">
        <f>HYPERLINK("https://pbs.twimg.com/profile_images/1568891669591855104/ESv7D8AK_normal.jpg")</f>
        <v>https://pbs.twimg.com/profile_images/1568891669591855104/ESv7D8AK_normal.jpg</v>
      </c>
      <c r="G338" s="62"/>
      <c r="H338" s="66"/>
      <c r="I338" s="67"/>
      <c r="J338" s="67"/>
      <c r="K338" s="66" t="s">
        <v>4637</v>
      </c>
      <c r="L338" s="70"/>
      <c r="M338" s="71">
        <v>3345.98486328125</v>
      </c>
      <c r="N338" s="71">
        <v>376.67196655273438</v>
      </c>
      <c r="O338" s="72"/>
      <c r="P338" s="73"/>
      <c r="Q338" s="73"/>
      <c r="R338" s="81"/>
      <c r="S338" s="45">
        <v>0</v>
      </c>
      <c r="T338" s="45">
        <v>1</v>
      </c>
      <c r="U338" s="46">
        <v>0</v>
      </c>
      <c r="V338" s="46">
        <v>2.0960000000000002E-3</v>
      </c>
      <c r="W338" s="47"/>
      <c r="X338" s="47"/>
      <c r="Y338" s="47"/>
      <c r="Z338" s="46"/>
      <c r="AA338" s="68">
        <v>338</v>
      </c>
      <c r="AB338"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38" s="69"/>
      <c r="AD338" t="s">
        <v>2996</v>
      </c>
      <c r="AE338" s="77" t="s">
        <v>3311</v>
      </c>
      <c r="AF338">
        <v>1758</v>
      </c>
      <c r="AG338">
        <v>1440</v>
      </c>
      <c r="AH338">
        <v>42401</v>
      </c>
      <c r="AI338">
        <v>24</v>
      </c>
      <c r="AJ338">
        <v>11811</v>
      </c>
      <c r="AK338">
        <v>4586</v>
      </c>
      <c r="AL338" t="b">
        <v>0</v>
      </c>
      <c r="AM338" s="76">
        <v>40519.716192129628</v>
      </c>
      <c r="AN338" t="s">
        <v>3553</v>
      </c>
      <c r="AO338" t="s">
        <v>3912</v>
      </c>
      <c r="AV338">
        <v>8.3771912185277197E+17</v>
      </c>
      <c r="AX338" t="b">
        <v>0</v>
      </c>
      <c r="BA338" t="b">
        <v>0</v>
      </c>
      <c r="BB338" t="b">
        <v>0</v>
      </c>
      <c r="BC338" t="b">
        <v>0</v>
      </c>
      <c r="BD338" t="b">
        <v>0</v>
      </c>
      <c r="BE338" t="b">
        <v>1</v>
      </c>
      <c r="BF338" t="b">
        <v>0</v>
      </c>
      <c r="BG338" t="b">
        <v>0</v>
      </c>
      <c r="BH338" s="79" t="str">
        <f>HYPERLINK("https://pbs.twimg.com/profile_banners/223907679/1746981112")</f>
        <v>https://pbs.twimg.com/profile_banners/223907679/1746981112</v>
      </c>
      <c r="BJ338" t="s">
        <v>4320</v>
      </c>
      <c r="BK338" t="b">
        <v>0</v>
      </c>
      <c r="BM338" t="s">
        <v>66</v>
      </c>
      <c r="BN338" t="s">
        <v>4322</v>
      </c>
      <c r="BO338" s="79" t="str">
        <f>HYPERLINK("https://twitter.com/rehtafdogeht")</f>
        <v>https://twitter.com/rehtafdogeht</v>
      </c>
      <c r="BP338" s="112" t="str">
        <f>REPLACE(INDEX(GroupVertices[Group], MATCH("~"&amp;Vertices[[#This Row],[Vertex]],GroupVertices[Vertex],0)),1,1,"")</f>
        <v>91</v>
      </c>
      <c r="BQ338" s="2"/>
    </row>
    <row r="339" spans="1:69" x14ac:dyDescent="0.25">
      <c r="A339" s="61" t="s">
        <v>648</v>
      </c>
      <c r="B339" s="62"/>
      <c r="C339" s="62"/>
      <c r="D339" s="63">
        <v>1.5</v>
      </c>
      <c r="E339" s="65"/>
      <c r="F339" s="97" t="str">
        <f>HYPERLINK("https://pbs.twimg.com/profile_images/1875922520508964864/mFJmpe2B_normal.jpg")</f>
        <v>https://pbs.twimg.com/profile_images/1875922520508964864/mFJmpe2B_normal.jpg</v>
      </c>
      <c r="G339" s="62"/>
      <c r="H339" s="66"/>
      <c r="I339" s="67"/>
      <c r="J339" s="67"/>
      <c r="K339" s="66" t="s">
        <v>4638</v>
      </c>
      <c r="L339" s="70"/>
      <c r="M339" s="71">
        <v>5617.76611328125</v>
      </c>
      <c r="N339" s="71">
        <v>697.14727783203125</v>
      </c>
      <c r="O339" s="72"/>
      <c r="P339" s="73"/>
      <c r="Q339" s="73"/>
      <c r="R339" s="81"/>
      <c r="S339" s="45">
        <v>1</v>
      </c>
      <c r="T339" s="45">
        <v>0</v>
      </c>
      <c r="U339" s="46">
        <v>0</v>
      </c>
      <c r="V339" s="46">
        <v>2.0960000000000002E-3</v>
      </c>
      <c r="W339" s="47"/>
      <c r="X339" s="47"/>
      <c r="Y339" s="47"/>
      <c r="Z339" s="46"/>
      <c r="AA339" s="68">
        <v>339</v>
      </c>
      <c r="AB339"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39" s="69"/>
      <c r="AD339" t="s">
        <v>2997</v>
      </c>
      <c r="AE339" s="77" t="s">
        <v>2454</v>
      </c>
      <c r="AF339">
        <v>7617</v>
      </c>
      <c r="AG339">
        <v>637</v>
      </c>
      <c r="AH339">
        <v>37939</v>
      </c>
      <c r="AI339">
        <v>50</v>
      </c>
      <c r="AJ339">
        <v>71284</v>
      </c>
      <c r="AK339">
        <v>20993</v>
      </c>
      <c r="AL339" t="b">
        <v>0</v>
      </c>
      <c r="AM339" s="76">
        <v>41885.498703703706</v>
      </c>
      <c r="AN339" t="s">
        <v>3554</v>
      </c>
      <c r="AO339" t="s">
        <v>3913</v>
      </c>
      <c r="AP339" s="79" t="str">
        <f>HYPERLINK("https://t.co/cijwvsB4CB")</f>
        <v>https://t.co/cijwvsB4CB</v>
      </c>
      <c r="AQ339" s="79" t="str">
        <f>HYPERLINK("https://linktr.ee/maanuf96")</f>
        <v>https://linktr.ee/maanuf96</v>
      </c>
      <c r="AR339" t="s">
        <v>4180</v>
      </c>
      <c r="AV339">
        <v>1.90131744087053E+18</v>
      </c>
      <c r="AW339" s="79" t="str">
        <f>HYPERLINK("https://t.co/cijwvsB4CB")</f>
        <v>https://t.co/cijwvsB4CB</v>
      </c>
      <c r="AX339" t="b">
        <v>0</v>
      </c>
      <c r="AZ339" t="b">
        <v>0</v>
      </c>
      <c r="BA339" t="b">
        <v>1</v>
      </c>
      <c r="BB339" t="b">
        <v>1</v>
      </c>
      <c r="BC339" t="b">
        <v>0</v>
      </c>
      <c r="BD339" t="b">
        <v>0</v>
      </c>
      <c r="BE339" t="b">
        <v>1</v>
      </c>
      <c r="BF339" t="b">
        <v>0</v>
      </c>
      <c r="BG339" t="b">
        <v>0</v>
      </c>
      <c r="BH339" s="79" t="str">
        <f>HYPERLINK("https://pbs.twimg.com/profile_banners/2760282147/1744012977")</f>
        <v>https://pbs.twimg.com/profile_banners/2760282147/1744012977</v>
      </c>
      <c r="BJ339" t="s">
        <v>4320</v>
      </c>
      <c r="BK339" t="b">
        <v>0</v>
      </c>
      <c r="BM339" t="s">
        <v>65</v>
      </c>
      <c r="BN339" t="s">
        <v>4322</v>
      </c>
      <c r="BO339" s="79" t="str">
        <f>HYPERLINK("https://twitter.com/maanuf96")</f>
        <v>https://twitter.com/maanuf96</v>
      </c>
      <c r="BP339" s="112" t="str">
        <f>REPLACE(INDEX(GroupVertices[Group], MATCH("~"&amp;Vertices[[#This Row],[Vertex]],GroupVertices[Vertex],0)),1,1,"")</f>
        <v>91</v>
      </c>
      <c r="BQ339" s="2"/>
    </row>
    <row r="340" spans="1:69" x14ac:dyDescent="0.25">
      <c r="A340" s="61" t="s">
        <v>649</v>
      </c>
      <c r="B340" s="62"/>
      <c r="C340" s="62"/>
      <c r="D340" s="63">
        <v>1.5</v>
      </c>
      <c r="E340" s="65"/>
      <c r="F340" s="97" t="str">
        <f>HYPERLINK("https://pbs.twimg.com/profile_images/1924086834482573312/WZUStkMR_normal.jpg")</f>
        <v>https://pbs.twimg.com/profile_images/1924086834482573312/WZUStkMR_normal.jpg</v>
      </c>
      <c r="G340" s="62"/>
      <c r="H340" s="66"/>
      <c r="I340" s="67"/>
      <c r="J340" s="67"/>
      <c r="K340" s="66" t="s">
        <v>4640</v>
      </c>
      <c r="L340" s="70"/>
      <c r="M340" s="71">
        <v>6580.99462890625</v>
      </c>
      <c r="N340" s="71">
        <v>1504.8758544921875</v>
      </c>
      <c r="O340" s="72"/>
      <c r="P340" s="73"/>
      <c r="Q340" s="73"/>
      <c r="R340" s="81"/>
      <c r="S340" s="45">
        <v>2</v>
      </c>
      <c r="T340" s="45">
        <v>0</v>
      </c>
      <c r="U340" s="46">
        <v>0</v>
      </c>
      <c r="V340" s="46">
        <v>4.7169999999999998E-3</v>
      </c>
      <c r="W340" s="47"/>
      <c r="X340" s="47"/>
      <c r="Y340" s="47"/>
      <c r="Z340" s="46"/>
      <c r="AA340" s="68">
        <v>340</v>
      </c>
      <c r="AB340"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40" s="69"/>
      <c r="AD340" t="s">
        <v>2999</v>
      </c>
      <c r="AE340" s="77" t="s">
        <v>3312</v>
      </c>
      <c r="AF340">
        <v>18314</v>
      </c>
      <c r="AG340">
        <v>697</v>
      </c>
      <c r="AH340">
        <v>37570</v>
      </c>
      <c r="AI340">
        <v>46</v>
      </c>
      <c r="AJ340">
        <v>27467</v>
      </c>
      <c r="AK340">
        <v>7791</v>
      </c>
      <c r="AL340" t="b">
        <v>0</v>
      </c>
      <c r="AM340" s="76">
        <v>42130.650891203702</v>
      </c>
      <c r="AN340" t="s">
        <v>3556</v>
      </c>
      <c r="AO340" t="s">
        <v>3915</v>
      </c>
      <c r="AV340">
        <v>1.92455071882591E+18</v>
      </c>
      <c r="AX340" t="b">
        <v>1</v>
      </c>
      <c r="AZ340" t="b">
        <v>0</v>
      </c>
      <c r="BA340" t="b">
        <v>1</v>
      </c>
      <c r="BB340" t="b">
        <v>0</v>
      </c>
      <c r="BC340" t="b">
        <v>0</v>
      </c>
      <c r="BD340" t="b">
        <v>0</v>
      </c>
      <c r="BE340" t="b">
        <v>1</v>
      </c>
      <c r="BF340" t="b">
        <v>0</v>
      </c>
      <c r="BG340" t="b">
        <v>0</v>
      </c>
      <c r="BH340" s="79" t="str">
        <f>HYPERLINK("https://pbs.twimg.com/profile_banners/3239022497/1671285309")</f>
        <v>https://pbs.twimg.com/profile_banners/3239022497/1671285309</v>
      </c>
      <c r="BJ340" t="s">
        <v>4320</v>
      </c>
      <c r="BK340" t="b">
        <v>0</v>
      </c>
      <c r="BM340" t="s">
        <v>65</v>
      </c>
      <c r="BN340" t="s">
        <v>4322</v>
      </c>
      <c r="BO340" s="79" t="str">
        <f>HYPERLINK("https://twitter.com/chaarrllyyy")</f>
        <v>https://twitter.com/chaarrllyyy</v>
      </c>
      <c r="BP340" s="112" t="str">
        <f>REPLACE(INDEX(GroupVertices[Group], MATCH("~"&amp;Vertices[[#This Row],[Vertex]],GroupVertices[Vertex],0)),1,1,"")</f>
        <v>27</v>
      </c>
      <c r="BQ340" s="2"/>
    </row>
    <row r="341" spans="1:69" x14ac:dyDescent="0.25">
      <c r="A341" s="61" t="s">
        <v>650</v>
      </c>
      <c r="B341" s="62"/>
      <c r="C341" s="62"/>
      <c r="D341" s="63">
        <v>1.5</v>
      </c>
      <c r="E341" s="65"/>
      <c r="F341" s="97" t="str">
        <f>HYPERLINK("https://pbs.twimg.com/profile_images/1921677928644956161/5aCoe9Yv_normal.jpg")</f>
        <v>https://pbs.twimg.com/profile_images/1921677928644956161/5aCoe9Yv_normal.jpg</v>
      </c>
      <c r="G341" s="62"/>
      <c r="H341" s="66"/>
      <c r="I341" s="67"/>
      <c r="J341" s="67"/>
      <c r="K341" s="66" t="s">
        <v>4641</v>
      </c>
      <c r="L341" s="70"/>
      <c r="M341" s="71">
        <v>4838.93603515625</v>
      </c>
      <c r="N341" s="71">
        <v>5719.87939453125</v>
      </c>
      <c r="O341" s="72"/>
      <c r="P341" s="73"/>
      <c r="Q341" s="73"/>
      <c r="R341" s="81"/>
      <c r="S341" s="45">
        <v>2</v>
      </c>
      <c r="T341" s="45">
        <v>0</v>
      </c>
      <c r="U341" s="46">
        <v>0</v>
      </c>
      <c r="V341" s="46">
        <v>4.7169999999999998E-3</v>
      </c>
      <c r="W341" s="47"/>
      <c r="X341" s="47"/>
      <c r="Y341" s="47"/>
      <c r="Z341" s="46"/>
      <c r="AA341" s="68">
        <v>341</v>
      </c>
      <c r="AB341"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41" s="69"/>
      <c r="AD341" t="s">
        <v>3000</v>
      </c>
      <c r="AE341" s="77" t="s">
        <v>2463</v>
      </c>
      <c r="AF341">
        <v>83199</v>
      </c>
      <c r="AG341">
        <v>625</v>
      </c>
      <c r="AH341">
        <v>8246</v>
      </c>
      <c r="AI341">
        <v>88</v>
      </c>
      <c r="AJ341">
        <v>10538</v>
      </c>
      <c r="AK341">
        <v>2778</v>
      </c>
      <c r="AL341" t="b">
        <v>0</v>
      </c>
      <c r="AM341" s="76">
        <v>45046.794768518521</v>
      </c>
      <c r="AN341" t="s">
        <v>3557</v>
      </c>
      <c r="AO341" t="s">
        <v>3916</v>
      </c>
      <c r="AP341" s="79" t="str">
        <f>HYPERLINK("https://t.co/HIlIg9Y0mf")</f>
        <v>https://t.co/HIlIg9Y0mf</v>
      </c>
      <c r="AQ341" s="79" t="str">
        <f>HYPERLINK("https://link2play.com/14959/BONOINFARRUCO")</f>
        <v>https://link2play.com/14959/BONOINFARRUCO</v>
      </c>
      <c r="AR341" t="s">
        <v>4181</v>
      </c>
      <c r="AV341">
        <v>1.9267485912398999E+18</v>
      </c>
      <c r="AW341" s="79" t="str">
        <f>HYPERLINK("https://t.co/HIlIg9Y0mf")</f>
        <v>https://t.co/HIlIg9Y0mf</v>
      </c>
      <c r="AX341" t="b">
        <v>1</v>
      </c>
      <c r="AZ341" t="b">
        <v>0</v>
      </c>
      <c r="BA341" t="b">
        <v>1</v>
      </c>
      <c r="BB341" t="b">
        <v>0</v>
      </c>
      <c r="BC341" t="b">
        <v>1</v>
      </c>
      <c r="BD341" t="b">
        <v>0</v>
      </c>
      <c r="BE341" t="b">
        <v>0</v>
      </c>
      <c r="BF341" t="b">
        <v>0</v>
      </c>
      <c r="BG341" t="b">
        <v>0</v>
      </c>
      <c r="BH341" s="79" t="str">
        <f>HYPERLINK("https://pbs.twimg.com/profile_banners/1652750708431638540/1725703317")</f>
        <v>https://pbs.twimg.com/profile_banners/1652750708431638540/1725703317</v>
      </c>
      <c r="BJ341" t="s">
        <v>4320</v>
      </c>
      <c r="BK341" t="b">
        <v>0</v>
      </c>
      <c r="BM341" t="s">
        <v>65</v>
      </c>
      <c r="BN341" t="s">
        <v>4322</v>
      </c>
      <c r="BO341" s="79" t="str">
        <f>HYPERLINK("https://twitter.com/infarruco")</f>
        <v>https://twitter.com/infarruco</v>
      </c>
      <c r="BP341" s="112" t="str">
        <f>REPLACE(INDEX(GroupVertices[Group], MATCH("~"&amp;Vertices[[#This Row],[Vertex]],GroupVertices[Vertex],0)),1,1,"")</f>
        <v>27</v>
      </c>
      <c r="BQ341" s="2"/>
    </row>
    <row r="342" spans="1:69" x14ac:dyDescent="0.25">
      <c r="A342" s="61" t="s">
        <v>391</v>
      </c>
      <c r="B342" s="62"/>
      <c r="C342" s="62"/>
      <c r="D342" s="63">
        <v>1.5</v>
      </c>
      <c r="E342" s="65"/>
      <c r="F342" s="97" t="str">
        <f>HYPERLINK("https://pbs.twimg.com/profile_images/1353736383018504196/TsP8Y9B9_normal.jpg")</f>
        <v>https://pbs.twimg.com/profile_images/1353736383018504196/TsP8Y9B9_normal.jpg</v>
      </c>
      <c r="G342" s="62"/>
      <c r="H342" s="66"/>
      <c r="I342" s="67"/>
      <c r="J342" s="67"/>
      <c r="K342" s="66" t="s">
        <v>4643</v>
      </c>
      <c r="L342" s="70"/>
      <c r="M342" s="71">
        <v>4843.4853515625</v>
      </c>
      <c r="N342" s="71">
        <v>1184.931396484375</v>
      </c>
      <c r="O342" s="72"/>
      <c r="P342" s="73"/>
      <c r="Q342" s="73"/>
      <c r="R342" s="81"/>
      <c r="S342" s="45">
        <v>1</v>
      </c>
      <c r="T342" s="45">
        <v>1</v>
      </c>
      <c r="U342" s="46">
        <v>0</v>
      </c>
      <c r="V342" s="46">
        <v>0</v>
      </c>
      <c r="W342" s="47"/>
      <c r="X342" s="47"/>
      <c r="Y342" s="47"/>
      <c r="Z342" s="46"/>
      <c r="AA342" s="68">
        <v>342</v>
      </c>
      <c r="AB342"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42" s="69"/>
      <c r="AD342" t="s">
        <v>3002</v>
      </c>
      <c r="AE342" s="77" t="s">
        <v>3313</v>
      </c>
      <c r="AF342">
        <v>19208</v>
      </c>
      <c r="AG342">
        <v>392</v>
      </c>
      <c r="AH342">
        <v>52405</v>
      </c>
      <c r="AI342">
        <v>95</v>
      </c>
      <c r="AJ342">
        <v>783</v>
      </c>
      <c r="AK342">
        <v>11571</v>
      </c>
      <c r="AL342" t="b">
        <v>0</v>
      </c>
      <c r="AM342" s="76">
        <v>40618.65</v>
      </c>
      <c r="AN342" t="s">
        <v>3559</v>
      </c>
      <c r="AO342" t="s">
        <v>3918</v>
      </c>
      <c r="AP342" s="79" t="str">
        <f>HYPERLINK("https://t.co/R5Azk9GhJy")</f>
        <v>https://t.co/R5Azk9GhJy</v>
      </c>
      <c r="AQ342" s="79" t="str">
        <f>HYPERLINK("http://www.itvpatagonia.cl")</f>
        <v>http://www.itvpatagonia.cl</v>
      </c>
      <c r="AR342" t="s">
        <v>4182</v>
      </c>
      <c r="AW342" s="79" t="str">
        <f>HYPERLINK("https://t.co/R5Azk9GhJy")</f>
        <v>https://t.co/R5Azk9GhJy</v>
      </c>
      <c r="AX342" t="b">
        <v>0</v>
      </c>
      <c r="BA342" t="b">
        <v>0</v>
      </c>
      <c r="BB342" t="b">
        <v>1</v>
      </c>
      <c r="BC342" t="b">
        <v>0</v>
      </c>
      <c r="BD342" t="b">
        <v>0</v>
      </c>
      <c r="BE342" t="b">
        <v>1</v>
      </c>
      <c r="BF342" t="b">
        <v>0</v>
      </c>
      <c r="BG342" t="b">
        <v>0</v>
      </c>
      <c r="BH342" s="79" t="str">
        <f>HYPERLINK("https://pbs.twimg.com/profile_banners/267243319/1611591021")</f>
        <v>https://pbs.twimg.com/profile_banners/267243319/1611591021</v>
      </c>
      <c r="BJ342" t="s">
        <v>4320</v>
      </c>
      <c r="BK342" t="b">
        <v>0</v>
      </c>
      <c r="BM342" t="s">
        <v>66</v>
      </c>
      <c r="BN342" t="s">
        <v>4322</v>
      </c>
      <c r="BO342" s="79" t="str">
        <f>HYPERLINK("https://twitter.com/itvnoticias")</f>
        <v>https://twitter.com/itvnoticias</v>
      </c>
      <c r="BP342" s="112" t="str">
        <f>REPLACE(INDEX(GroupVertices[Group], MATCH("~"&amp;Vertices[[#This Row],[Vertex]],GroupVertices[Vertex],0)),1,1,"")</f>
        <v>157</v>
      </c>
      <c r="BQ342" s="2"/>
    </row>
    <row r="343" spans="1:69" x14ac:dyDescent="0.25">
      <c r="A343" s="61" t="s">
        <v>392</v>
      </c>
      <c r="B343" s="62"/>
      <c r="C343" s="62"/>
      <c r="D343" s="63">
        <v>1.5</v>
      </c>
      <c r="E343" s="65"/>
      <c r="F343" s="97" t="str">
        <f>HYPERLINK("https://pbs.twimg.com/profile_images/1917332301156933632/7PuFCVHx_normal.jpg")</f>
        <v>https://pbs.twimg.com/profile_images/1917332301156933632/7PuFCVHx_normal.jpg</v>
      </c>
      <c r="G343" s="62"/>
      <c r="H343" s="66"/>
      <c r="I343" s="67"/>
      <c r="J343" s="67"/>
      <c r="K343" s="66" t="s">
        <v>4644</v>
      </c>
      <c r="L343" s="70"/>
      <c r="M343" s="71">
        <v>7950.65478515625</v>
      </c>
      <c r="N343" s="71">
        <v>5860.71728515625</v>
      </c>
      <c r="O343" s="72"/>
      <c r="P343" s="73"/>
      <c r="Q343" s="73"/>
      <c r="R343" s="81"/>
      <c r="S343" s="45">
        <v>1</v>
      </c>
      <c r="T343" s="45">
        <v>1</v>
      </c>
      <c r="U343" s="46">
        <v>0</v>
      </c>
      <c r="V343" s="46">
        <v>0</v>
      </c>
      <c r="W343" s="47"/>
      <c r="X343" s="47"/>
      <c r="Y343" s="47"/>
      <c r="Z343" s="46"/>
      <c r="AA343" s="68">
        <v>343</v>
      </c>
      <c r="AB343"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43" s="69"/>
      <c r="AD343" t="s">
        <v>3003</v>
      </c>
      <c r="AE343" s="77" t="s">
        <v>2456</v>
      </c>
      <c r="AF343">
        <v>888</v>
      </c>
      <c r="AG343">
        <v>383</v>
      </c>
      <c r="AH343">
        <v>4700</v>
      </c>
      <c r="AI343">
        <v>7</v>
      </c>
      <c r="AJ343">
        <v>904</v>
      </c>
      <c r="AK343">
        <v>2641</v>
      </c>
      <c r="AL343" t="b">
        <v>0</v>
      </c>
      <c r="AM343" s="76">
        <v>44208.903969907406</v>
      </c>
      <c r="AN343" t="s">
        <v>3560</v>
      </c>
      <c r="AO343" t="s">
        <v>3919</v>
      </c>
      <c r="AX343" t="b">
        <v>0</v>
      </c>
      <c r="BA343" t="b">
        <v>0</v>
      </c>
      <c r="BB343" t="b">
        <v>1</v>
      </c>
      <c r="BC343" t="b">
        <v>1</v>
      </c>
      <c r="BD343" t="b">
        <v>0</v>
      </c>
      <c r="BE343" t="b">
        <v>1</v>
      </c>
      <c r="BF343" t="b">
        <v>0</v>
      </c>
      <c r="BG343" t="b">
        <v>0</v>
      </c>
      <c r="BH343" s="79" t="str">
        <f>HYPERLINK("https://pbs.twimg.com/profile_banners/1349109249796935681/1703016592")</f>
        <v>https://pbs.twimg.com/profile_banners/1349109249796935681/1703016592</v>
      </c>
      <c r="BJ343" t="s">
        <v>4320</v>
      </c>
      <c r="BK343" t="b">
        <v>0</v>
      </c>
      <c r="BM343" t="s">
        <v>66</v>
      </c>
      <c r="BN343" t="s">
        <v>4322</v>
      </c>
      <c r="BO343" s="79" t="str">
        <f>HYPERLINK("https://twitter.com/politicaspba")</f>
        <v>https://twitter.com/politicaspba</v>
      </c>
      <c r="BP343" s="112" t="str">
        <f>REPLACE(INDEX(GroupVertices[Group], MATCH("~"&amp;Vertices[[#This Row],[Vertex]],GroupVertices[Vertex],0)),1,1,"")</f>
        <v>141</v>
      </c>
      <c r="BQ343" s="2"/>
    </row>
    <row r="344" spans="1:69" x14ac:dyDescent="0.25">
      <c r="A344" s="61" t="s">
        <v>393</v>
      </c>
      <c r="B344" s="62"/>
      <c r="C344" s="62"/>
      <c r="D344" s="63">
        <v>1.5</v>
      </c>
      <c r="E344" s="65"/>
      <c r="F344" s="97" t="str">
        <f>HYPERLINK("https://pbs.twimg.com/profile_images/1876373102365478912/B4-gq6uN_normal.jpg")</f>
        <v>https://pbs.twimg.com/profile_images/1876373102365478912/B4-gq6uN_normal.jpg</v>
      </c>
      <c r="G344" s="62"/>
      <c r="H344" s="66"/>
      <c r="I344" s="67"/>
      <c r="J344" s="67"/>
      <c r="K344" s="66" t="s">
        <v>4645</v>
      </c>
      <c r="L344" s="70"/>
      <c r="M344" s="71">
        <v>9495.392578125</v>
      </c>
      <c r="N344" s="71">
        <v>7489.7734375</v>
      </c>
      <c r="O344" s="72"/>
      <c r="P344" s="73"/>
      <c r="Q344" s="73"/>
      <c r="R344" s="81"/>
      <c r="S344" s="45">
        <v>1</v>
      </c>
      <c r="T344" s="45">
        <v>1</v>
      </c>
      <c r="U344" s="46">
        <v>0</v>
      </c>
      <c r="V344" s="46">
        <v>0</v>
      </c>
      <c r="W344" s="47"/>
      <c r="X344" s="47"/>
      <c r="Y344" s="47"/>
      <c r="Z344" s="46"/>
      <c r="AA344" s="68">
        <v>344</v>
      </c>
      <c r="AB344"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44" s="69"/>
      <c r="AD344" t="s">
        <v>3004</v>
      </c>
      <c r="AE344" s="77" t="s">
        <v>3314</v>
      </c>
      <c r="AF344">
        <v>3466</v>
      </c>
      <c r="AG344">
        <v>124</v>
      </c>
      <c r="AH344">
        <v>45694</v>
      </c>
      <c r="AI344">
        <v>50</v>
      </c>
      <c r="AJ344">
        <v>261</v>
      </c>
      <c r="AK344">
        <v>19149</v>
      </c>
      <c r="AL344" t="b">
        <v>0</v>
      </c>
      <c r="AM344" s="76">
        <v>41408.488217592596</v>
      </c>
      <c r="AN344" t="s">
        <v>3561</v>
      </c>
      <c r="AO344" t="s">
        <v>3920</v>
      </c>
      <c r="AP344" s="79" t="str">
        <f>HYPERLINK("https://t.co/6r4cuO0dJv")</f>
        <v>https://t.co/6r4cuO0dJv</v>
      </c>
      <c r="AQ344" s="79" t="str">
        <f>HYPERLINK("https://rcb.almendralejo.es/")</f>
        <v>https://rcb.almendralejo.es/</v>
      </c>
      <c r="AR344" t="s">
        <v>4183</v>
      </c>
      <c r="AW344" s="79" t="str">
        <f>HYPERLINK("https://t.co/6r4cuO0dJv")</f>
        <v>https://t.co/6r4cuO0dJv</v>
      </c>
      <c r="AX344" t="b">
        <v>0</v>
      </c>
      <c r="BA344" t="b">
        <v>0</v>
      </c>
      <c r="BB344" t="b">
        <v>1</v>
      </c>
      <c r="BC344" t="b">
        <v>1</v>
      </c>
      <c r="BD344" t="b">
        <v>0</v>
      </c>
      <c r="BE344" t="b">
        <v>0</v>
      </c>
      <c r="BF344" t="b">
        <v>0</v>
      </c>
      <c r="BG344" t="b">
        <v>0</v>
      </c>
      <c r="BH344" s="79" t="str">
        <f>HYPERLINK("https://pbs.twimg.com/profile_banners/1427628236/1685019348")</f>
        <v>https://pbs.twimg.com/profile_banners/1427628236/1685019348</v>
      </c>
      <c r="BJ344" t="s">
        <v>4320</v>
      </c>
      <c r="BK344" t="b">
        <v>0</v>
      </c>
      <c r="BM344" t="s">
        <v>66</v>
      </c>
      <c r="BN344" t="s">
        <v>4322</v>
      </c>
      <c r="BO344" s="79" t="str">
        <f>HYPERLINK("https://twitter.com/radiocomarca")</f>
        <v>https://twitter.com/radiocomarca</v>
      </c>
      <c r="BP344" s="112" t="str">
        <f>REPLACE(INDEX(GroupVertices[Group], MATCH("~"&amp;Vertices[[#This Row],[Vertex]],GroupVertices[Vertex],0)),1,1,"")</f>
        <v>180</v>
      </c>
      <c r="BQ344" s="2"/>
    </row>
    <row r="345" spans="1:69" x14ac:dyDescent="0.25">
      <c r="A345" s="61" t="s">
        <v>394</v>
      </c>
      <c r="B345" s="62"/>
      <c r="C345" s="62"/>
      <c r="D345" s="63">
        <v>1.5</v>
      </c>
      <c r="E345" s="65"/>
      <c r="F345" s="97" t="str">
        <f>HYPERLINK("https://pbs.twimg.com/profile_images/1322591697604411393/Njff4u8q_normal.jpg")</f>
        <v>https://pbs.twimg.com/profile_images/1322591697604411393/Njff4u8q_normal.jpg</v>
      </c>
      <c r="G345" s="62"/>
      <c r="H345" s="66"/>
      <c r="I345" s="67"/>
      <c r="J345" s="67"/>
      <c r="K345" s="66" t="s">
        <v>4646</v>
      </c>
      <c r="L345" s="70"/>
      <c r="M345" s="71">
        <v>3972.227783203125</v>
      </c>
      <c r="N345" s="71">
        <v>460.52313232421875</v>
      </c>
      <c r="O345" s="72"/>
      <c r="P345" s="73"/>
      <c r="Q345" s="73"/>
      <c r="R345" s="81"/>
      <c r="S345" s="45">
        <v>2</v>
      </c>
      <c r="T345" s="45">
        <v>1</v>
      </c>
      <c r="U345" s="46">
        <v>0</v>
      </c>
      <c r="V345" s="46">
        <v>2.0960000000000002E-3</v>
      </c>
      <c r="W345" s="47"/>
      <c r="X345" s="47"/>
      <c r="Y345" s="47"/>
      <c r="Z345" s="46"/>
      <c r="AA345" s="68">
        <v>345</v>
      </c>
      <c r="AB345"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45" s="69"/>
      <c r="AD345" t="s">
        <v>394</v>
      </c>
      <c r="AE345" s="77" t="s">
        <v>2604</v>
      </c>
      <c r="AF345">
        <v>1523400</v>
      </c>
      <c r="AG345">
        <v>0</v>
      </c>
      <c r="AH345">
        <v>3058</v>
      </c>
      <c r="AI345">
        <v>760</v>
      </c>
      <c r="AJ345">
        <v>153</v>
      </c>
      <c r="AK345">
        <v>2868</v>
      </c>
      <c r="AL345" t="b">
        <v>0</v>
      </c>
      <c r="AM345" s="76">
        <v>43385.756215277775</v>
      </c>
      <c r="AO345" t="s">
        <v>3921</v>
      </c>
      <c r="AX345" t="b">
        <v>1</v>
      </c>
      <c r="BA345" t="b">
        <v>1</v>
      </c>
      <c r="BB345" t="b">
        <v>0</v>
      </c>
      <c r="BC345" t="b">
        <v>1</v>
      </c>
      <c r="BD345" t="b">
        <v>0</v>
      </c>
      <c r="BE345" t="b">
        <v>1</v>
      </c>
      <c r="BF345" t="b">
        <v>0</v>
      </c>
      <c r="BG345" t="b">
        <v>0</v>
      </c>
      <c r="BH345" s="79" t="str">
        <f>HYPERLINK("https://pbs.twimg.com/profile_banners/1050810570570649601/1604957138")</f>
        <v>https://pbs.twimg.com/profile_banners/1050810570570649601/1604957138</v>
      </c>
      <c r="BJ345" t="s">
        <v>4320</v>
      </c>
      <c r="BK345" t="b">
        <v>0</v>
      </c>
      <c r="BM345" t="s">
        <v>66</v>
      </c>
      <c r="BN345" t="s">
        <v>4322</v>
      </c>
      <c r="BO345" s="79" t="str">
        <f>HYPERLINK("https://twitter.com/ceciarmy")</f>
        <v>https://twitter.com/ceciarmy</v>
      </c>
      <c r="BP345" s="112" t="str">
        <f>REPLACE(INDEX(GroupVertices[Group], MATCH("~"&amp;Vertices[[#This Row],[Vertex]],GroupVertices[Vertex],0)),1,1,"")</f>
        <v>73</v>
      </c>
      <c r="BQ345" s="2"/>
    </row>
    <row r="346" spans="1:69" x14ac:dyDescent="0.25">
      <c r="A346" s="61" t="s">
        <v>395</v>
      </c>
      <c r="B346" s="62"/>
      <c r="C346" s="62"/>
      <c r="D346" s="63">
        <v>1.5</v>
      </c>
      <c r="E346" s="65"/>
      <c r="F346" s="97" t="str">
        <f>HYPERLINK("https://pbs.twimg.com/profile_images/1720377858785243136/5eEho0wS_normal.jpg")</f>
        <v>https://pbs.twimg.com/profile_images/1720377858785243136/5eEho0wS_normal.jpg</v>
      </c>
      <c r="G346" s="62"/>
      <c r="H346" s="66"/>
      <c r="I346" s="67"/>
      <c r="J346" s="67"/>
      <c r="K346" s="66" t="s">
        <v>4647</v>
      </c>
      <c r="L346" s="70"/>
      <c r="M346" s="71">
        <v>2843.8388671875</v>
      </c>
      <c r="N346" s="71">
        <v>726.3717041015625</v>
      </c>
      <c r="O346" s="72"/>
      <c r="P346" s="73"/>
      <c r="Q346" s="73"/>
      <c r="R346" s="81"/>
      <c r="S346" s="45">
        <v>0</v>
      </c>
      <c r="T346" s="45">
        <v>1</v>
      </c>
      <c r="U346" s="46">
        <v>0</v>
      </c>
      <c r="V346" s="46">
        <v>2.0960000000000002E-3</v>
      </c>
      <c r="W346" s="47"/>
      <c r="X346" s="47"/>
      <c r="Y346" s="47"/>
      <c r="Z346" s="46"/>
      <c r="AA346" s="68">
        <v>346</v>
      </c>
      <c r="AB346"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46" s="69"/>
      <c r="AD346" t="s">
        <v>3005</v>
      </c>
      <c r="AE346" s="77" t="s">
        <v>2605</v>
      </c>
      <c r="AF346">
        <v>72</v>
      </c>
      <c r="AG346">
        <v>107</v>
      </c>
      <c r="AH346">
        <v>924</v>
      </c>
      <c r="AI346">
        <v>1</v>
      </c>
      <c r="AJ346">
        <v>2628</v>
      </c>
      <c r="AK346">
        <v>5</v>
      </c>
      <c r="AL346" t="b">
        <v>0</v>
      </c>
      <c r="AM346" s="76">
        <v>43832.972743055558</v>
      </c>
      <c r="AO346" t="s">
        <v>3922</v>
      </c>
      <c r="AX346" t="b">
        <v>0</v>
      </c>
      <c r="BA346" t="b">
        <v>0</v>
      </c>
      <c r="BB346" t="b">
        <v>1</v>
      </c>
      <c r="BC346" t="b">
        <v>1</v>
      </c>
      <c r="BD346" t="b">
        <v>0</v>
      </c>
      <c r="BE346" t="b">
        <v>0</v>
      </c>
      <c r="BF346" t="b">
        <v>0</v>
      </c>
      <c r="BG346" t="b">
        <v>0</v>
      </c>
      <c r="BH346" s="79" t="str">
        <f>HYPERLINK("https://pbs.twimg.com/profile_banners/1212876354351288320/1691507002")</f>
        <v>https://pbs.twimg.com/profile_banners/1212876354351288320/1691507002</v>
      </c>
      <c r="BJ346" t="s">
        <v>4320</v>
      </c>
      <c r="BK346" t="b">
        <v>0</v>
      </c>
      <c r="BM346" t="s">
        <v>66</v>
      </c>
      <c r="BN346" t="s">
        <v>4322</v>
      </c>
      <c r="BO346" s="79" t="str">
        <f>HYPERLINK("https://twitter.com/aangeeell16")</f>
        <v>https://twitter.com/aangeeell16</v>
      </c>
      <c r="BP346" s="112" t="str">
        <f>REPLACE(INDEX(GroupVertices[Group], MATCH("~"&amp;Vertices[[#This Row],[Vertex]],GroupVertices[Vertex],0)),1,1,"")</f>
        <v>73</v>
      </c>
      <c r="BQ346" s="2"/>
    </row>
    <row r="347" spans="1:69" x14ac:dyDescent="0.25">
      <c r="A347" s="61" t="s">
        <v>396</v>
      </c>
      <c r="B347" s="62"/>
      <c r="C347" s="62"/>
      <c r="D347" s="63">
        <v>1.5</v>
      </c>
      <c r="E347" s="65"/>
      <c r="F347" s="97" t="str">
        <f>HYPERLINK("https://pbs.twimg.com/profile_images/1625937350340579328/ClQEFpkP_normal.jpg")</f>
        <v>https://pbs.twimg.com/profile_images/1625937350340579328/ClQEFpkP_normal.jpg</v>
      </c>
      <c r="G347" s="62"/>
      <c r="H347" s="66"/>
      <c r="I347" s="67"/>
      <c r="J347" s="67"/>
      <c r="K347" s="66" t="s">
        <v>4648</v>
      </c>
      <c r="L347" s="70"/>
      <c r="M347" s="71">
        <v>8970.9404296875</v>
      </c>
      <c r="N347" s="71">
        <v>6755.68359375</v>
      </c>
      <c r="O347" s="72"/>
      <c r="P347" s="73"/>
      <c r="Q347" s="73"/>
      <c r="R347" s="81"/>
      <c r="S347" s="45">
        <v>1</v>
      </c>
      <c r="T347" s="45">
        <v>1</v>
      </c>
      <c r="U347" s="46">
        <v>0</v>
      </c>
      <c r="V347" s="46">
        <v>0</v>
      </c>
      <c r="W347" s="47"/>
      <c r="X347" s="47"/>
      <c r="Y347" s="47"/>
      <c r="Z347" s="46"/>
      <c r="AA347" s="68">
        <v>347</v>
      </c>
      <c r="AB347"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47" s="69"/>
      <c r="AD347" t="s">
        <v>3006</v>
      </c>
      <c r="AE347" s="77" t="s">
        <v>2457</v>
      </c>
      <c r="AF347">
        <v>76</v>
      </c>
      <c r="AG347">
        <v>143</v>
      </c>
      <c r="AH347">
        <v>1098</v>
      </c>
      <c r="AI347">
        <v>0</v>
      </c>
      <c r="AJ347">
        <v>4861</v>
      </c>
      <c r="AK347">
        <v>32</v>
      </c>
      <c r="AL347" t="b">
        <v>0</v>
      </c>
      <c r="AM347" s="76">
        <v>44006.761805555558</v>
      </c>
      <c r="AO347" t="s">
        <v>3923</v>
      </c>
      <c r="AX347" t="b">
        <v>0</v>
      </c>
      <c r="BA347" t="b">
        <v>1</v>
      </c>
      <c r="BB347" t="b">
        <v>1</v>
      </c>
      <c r="BC347" t="b">
        <v>1</v>
      </c>
      <c r="BD347" t="b">
        <v>0</v>
      </c>
      <c r="BE347" t="b">
        <v>1</v>
      </c>
      <c r="BF347" t="b">
        <v>0</v>
      </c>
      <c r="BG347" t="b">
        <v>0</v>
      </c>
      <c r="BH347" s="79" t="str">
        <f>HYPERLINK("https://pbs.twimg.com/profile_banners/1275855342421921794/1593977218")</f>
        <v>https://pbs.twimg.com/profile_banners/1275855342421921794/1593977218</v>
      </c>
      <c r="BJ347" t="s">
        <v>4320</v>
      </c>
      <c r="BK347" t="b">
        <v>0</v>
      </c>
      <c r="BM347" t="s">
        <v>66</v>
      </c>
      <c r="BN347" t="s">
        <v>4322</v>
      </c>
      <c r="BO347" s="79" t="str">
        <f>HYPERLINK("https://twitter.com/aitaneta_")</f>
        <v>https://twitter.com/aitaneta_</v>
      </c>
      <c r="BP347" s="112" t="str">
        <f>REPLACE(INDEX(GroupVertices[Group], MATCH("~"&amp;Vertices[[#This Row],[Vertex]],GroupVertices[Vertex],0)),1,1,"")</f>
        <v>163</v>
      </c>
      <c r="BQ347" s="2"/>
    </row>
    <row r="348" spans="1:69" x14ac:dyDescent="0.25">
      <c r="A348" s="61" t="s">
        <v>651</v>
      </c>
      <c r="B348" s="62"/>
      <c r="C348" s="62"/>
      <c r="D348" s="63">
        <v>1.5</v>
      </c>
      <c r="E348" s="65"/>
      <c r="F348" s="97" t="str">
        <f>HYPERLINK("https://pbs.twimg.com/profile_images/1502323843158921219/4iaApO1I_normal.jpg")</f>
        <v>https://pbs.twimg.com/profile_images/1502323843158921219/4iaApO1I_normal.jpg</v>
      </c>
      <c r="G348" s="62"/>
      <c r="H348" s="66"/>
      <c r="I348" s="67"/>
      <c r="J348" s="67"/>
      <c r="K348" s="66" t="s">
        <v>4650</v>
      </c>
      <c r="L348" s="70"/>
      <c r="M348" s="71">
        <v>136.25497436523438</v>
      </c>
      <c r="N348" s="71">
        <v>4116.62548828125</v>
      </c>
      <c r="O348" s="72"/>
      <c r="P348" s="73"/>
      <c r="Q348" s="73"/>
      <c r="R348" s="81"/>
      <c r="S348" s="45">
        <v>1</v>
      </c>
      <c r="T348" s="45">
        <v>0</v>
      </c>
      <c r="U348" s="46">
        <v>0</v>
      </c>
      <c r="V348" s="46">
        <v>3.1449999999999998E-3</v>
      </c>
      <c r="W348" s="47"/>
      <c r="X348" s="47"/>
      <c r="Y348" s="47"/>
      <c r="Z348" s="46"/>
      <c r="AA348" s="68">
        <v>348</v>
      </c>
      <c r="AB348"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0</v>
      </c>
      <c r="AC348" s="69"/>
      <c r="AD348" t="s">
        <v>3008</v>
      </c>
      <c r="AE348" s="77" t="s">
        <v>3316</v>
      </c>
      <c r="AF348">
        <v>2147437</v>
      </c>
      <c r="AG348">
        <v>7663</v>
      </c>
      <c r="AH348">
        <v>67826</v>
      </c>
      <c r="AI348">
        <v>2384</v>
      </c>
      <c r="AJ348">
        <v>5267</v>
      </c>
      <c r="AK348">
        <v>5830</v>
      </c>
      <c r="AL348" t="b">
        <v>0</v>
      </c>
      <c r="AM348" s="76">
        <v>40069.901886574073</v>
      </c>
      <c r="AN348" t="s">
        <v>3559</v>
      </c>
      <c r="AO348" t="s">
        <v>3925</v>
      </c>
      <c r="AP348" s="79" t="str">
        <f>HYPERLINK("https://t.co/6T5nZyrgl9")</f>
        <v>https://t.co/6T5nZyrgl9</v>
      </c>
      <c r="AQ348" s="79" t="str">
        <f>HYPERLINK("https://mtr.bio/gabrielboric")</f>
        <v>https://mtr.bio/gabrielboric</v>
      </c>
      <c r="AR348" t="s">
        <v>4184</v>
      </c>
      <c r="AW348" s="79" t="str">
        <f>HYPERLINK("https://t.co/6T5nZyrgl9")</f>
        <v>https://t.co/6T5nZyrgl9</v>
      </c>
      <c r="AX348" t="b">
        <v>1</v>
      </c>
      <c r="AZ348" t="b">
        <v>1</v>
      </c>
      <c r="BA348" t="b">
        <v>0</v>
      </c>
      <c r="BB348" t="b">
        <v>1</v>
      </c>
      <c r="BC348" t="b">
        <v>1</v>
      </c>
      <c r="BD348" t="b">
        <v>0</v>
      </c>
      <c r="BE348" t="b">
        <v>1</v>
      </c>
      <c r="BF348" t="b">
        <v>0</v>
      </c>
      <c r="BG348" t="b">
        <v>0</v>
      </c>
      <c r="BH348" s="79" t="str">
        <f>HYPERLINK("https://pbs.twimg.com/profile_banners/73981088/1647896168")</f>
        <v>https://pbs.twimg.com/profile_banners/73981088/1647896168</v>
      </c>
      <c r="BJ348" t="s">
        <v>4320</v>
      </c>
      <c r="BK348" t="b">
        <v>1</v>
      </c>
      <c r="BM348" t="s">
        <v>65</v>
      </c>
      <c r="BN348" t="s">
        <v>4322</v>
      </c>
      <c r="BO348" s="79" t="str">
        <f>HYPERLINK("https://twitter.com/gabrielboric")</f>
        <v>https://twitter.com/gabrielboric</v>
      </c>
      <c r="BP348" s="112" t="str">
        <f>REPLACE(INDEX(GroupVertices[Group], MATCH("~"&amp;Vertices[[#This Row],[Vertex]],GroupVertices[Vertex],0)),1,1,"")</f>
        <v>22</v>
      </c>
      <c r="BQ348" s="2"/>
    </row>
    <row r="349" spans="1:69" x14ac:dyDescent="0.25">
      <c r="A349" s="61" t="s">
        <v>652</v>
      </c>
      <c r="B349" s="62"/>
      <c r="C349" s="62"/>
      <c r="D349" s="63">
        <v>1.5</v>
      </c>
      <c r="E349" s="65"/>
      <c r="F349" s="97" t="str">
        <f>HYPERLINK("https://pbs.twimg.com/profile_images/1601590097710878723/nvKBsvnH_normal.jpg")</f>
        <v>https://pbs.twimg.com/profile_images/1601590097710878723/nvKBsvnH_normal.jpg</v>
      </c>
      <c r="G349" s="62"/>
      <c r="H349" s="66"/>
      <c r="I349" s="67"/>
      <c r="J349" s="67"/>
      <c r="K349" s="66" t="s">
        <v>4653</v>
      </c>
      <c r="L349" s="70"/>
      <c r="M349" s="71">
        <v>7222.693359375</v>
      </c>
      <c r="N349" s="71">
        <v>8772.150390625</v>
      </c>
      <c r="O349" s="72"/>
      <c r="P349" s="73"/>
      <c r="Q349" s="73"/>
      <c r="R349" s="81"/>
      <c r="S349" s="45">
        <v>1</v>
      </c>
      <c r="T349" s="45">
        <v>0</v>
      </c>
      <c r="U349" s="46">
        <v>0</v>
      </c>
      <c r="V349" s="46">
        <v>1.5219E-2</v>
      </c>
      <c r="W349" s="47"/>
      <c r="X349" s="47"/>
      <c r="Y349" s="47"/>
      <c r="Z349" s="46"/>
      <c r="AA349" s="68">
        <v>349</v>
      </c>
      <c r="AB349"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49" s="69"/>
      <c r="AD349" t="s">
        <v>3011</v>
      </c>
      <c r="AE349" s="77" t="s">
        <v>3317</v>
      </c>
      <c r="AF349">
        <v>93</v>
      </c>
      <c r="AG349">
        <v>213</v>
      </c>
      <c r="AH349">
        <v>3284</v>
      </c>
      <c r="AI349">
        <v>2</v>
      </c>
      <c r="AJ349">
        <v>5441</v>
      </c>
      <c r="AK349">
        <v>26</v>
      </c>
      <c r="AL349" t="b">
        <v>0</v>
      </c>
      <c r="AM349" s="76">
        <v>40465.815451388888</v>
      </c>
      <c r="AO349" t="s">
        <v>3928</v>
      </c>
      <c r="AX349" t="b">
        <v>0</v>
      </c>
      <c r="AZ349" t="b">
        <v>0</v>
      </c>
      <c r="BA349" t="b">
        <v>0</v>
      </c>
      <c r="BB349" t="b">
        <v>0</v>
      </c>
      <c r="BC349" t="b">
        <v>1</v>
      </c>
      <c r="BD349" t="b">
        <v>0</v>
      </c>
      <c r="BE349" t="b">
        <v>0</v>
      </c>
      <c r="BF349" t="b">
        <v>0</v>
      </c>
      <c r="BG349" t="b">
        <v>0</v>
      </c>
      <c r="BJ349" t="s">
        <v>4320</v>
      </c>
      <c r="BK349" t="b">
        <v>0</v>
      </c>
      <c r="BM349" t="s">
        <v>65</v>
      </c>
      <c r="BN349" t="s">
        <v>4322</v>
      </c>
      <c r="BO349" s="79" t="str">
        <f>HYPERLINK("https://twitter.com/anabelcresv")</f>
        <v>https://twitter.com/anabelcresv</v>
      </c>
      <c r="BP349" s="112" t="str">
        <f>REPLACE(INDEX(GroupVertices[Group], MATCH("~"&amp;Vertices[[#This Row],[Vertex]],GroupVertices[Vertex],0)),1,1,"")</f>
        <v>3</v>
      </c>
      <c r="BQ349" s="2"/>
    </row>
    <row r="350" spans="1:69" x14ac:dyDescent="0.25">
      <c r="A350" s="61" t="s">
        <v>653</v>
      </c>
      <c r="B350" s="62"/>
      <c r="C350" s="62"/>
      <c r="D350" s="63">
        <v>1.5</v>
      </c>
      <c r="E350" s="65"/>
      <c r="F350" s="97" t="str">
        <f>HYPERLINK("https://pbs.twimg.com/profile_images/1087364921438949377/SFncFB25_normal.jpg")</f>
        <v>https://pbs.twimg.com/profile_images/1087364921438949377/SFncFB25_normal.jpg</v>
      </c>
      <c r="G350" s="62"/>
      <c r="H350" s="66"/>
      <c r="I350" s="67"/>
      <c r="J350" s="67"/>
      <c r="K350" s="66" t="s">
        <v>4654</v>
      </c>
      <c r="L350" s="70"/>
      <c r="M350" s="71">
        <v>2259.1640625</v>
      </c>
      <c r="N350" s="71">
        <v>8666.8955078125</v>
      </c>
      <c r="O350" s="72"/>
      <c r="P350" s="73"/>
      <c r="Q350" s="73"/>
      <c r="R350" s="81"/>
      <c r="S350" s="45">
        <v>1</v>
      </c>
      <c r="T350" s="45">
        <v>0</v>
      </c>
      <c r="U350" s="46">
        <v>0</v>
      </c>
      <c r="V350" s="46">
        <v>1.5219E-2</v>
      </c>
      <c r="W350" s="47"/>
      <c r="X350" s="47"/>
      <c r="Y350" s="47"/>
      <c r="Z350" s="46"/>
      <c r="AA350" s="68">
        <v>350</v>
      </c>
      <c r="AB350"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50" s="69"/>
      <c r="AD350" t="s">
        <v>3012</v>
      </c>
      <c r="AE350" s="77" t="s">
        <v>3318</v>
      </c>
      <c r="AF350">
        <v>178</v>
      </c>
      <c r="AG350">
        <v>162</v>
      </c>
      <c r="AH350">
        <v>1045</v>
      </c>
      <c r="AI350">
        <v>3</v>
      </c>
      <c r="AJ350">
        <v>75</v>
      </c>
      <c r="AK350">
        <v>237</v>
      </c>
      <c r="AL350" t="b">
        <v>0</v>
      </c>
      <c r="AM350" s="76">
        <v>39260.429039351853</v>
      </c>
      <c r="AX350" t="b">
        <v>0</v>
      </c>
      <c r="AZ350" t="b">
        <v>0</v>
      </c>
      <c r="BA350" t="b">
        <v>0</v>
      </c>
      <c r="BB350" t="b">
        <v>1</v>
      </c>
      <c r="BC350" t="b">
        <v>0</v>
      </c>
      <c r="BD350" t="b">
        <v>0</v>
      </c>
      <c r="BE350" t="b">
        <v>0</v>
      </c>
      <c r="BF350" t="b">
        <v>0</v>
      </c>
      <c r="BG350" t="b">
        <v>0</v>
      </c>
      <c r="BH350" s="79" t="str">
        <f>HYPERLINK("https://pbs.twimg.com/profile_banners/7106322/1398237755")</f>
        <v>https://pbs.twimg.com/profile_banners/7106322/1398237755</v>
      </c>
      <c r="BJ350" t="s">
        <v>4320</v>
      </c>
      <c r="BK350" t="b">
        <v>0</v>
      </c>
      <c r="BM350" t="s">
        <v>65</v>
      </c>
      <c r="BN350" t="s">
        <v>4322</v>
      </c>
      <c r="BO350" s="79" t="str">
        <f>HYPERLINK("https://twitter.com/manlio")</f>
        <v>https://twitter.com/manlio</v>
      </c>
      <c r="BP350" s="112" t="str">
        <f>REPLACE(INDEX(GroupVertices[Group], MATCH("~"&amp;Vertices[[#This Row],[Vertex]],GroupVertices[Vertex],0)),1,1,"")</f>
        <v>3</v>
      </c>
      <c r="BQ350" s="2"/>
    </row>
    <row r="351" spans="1:69" x14ac:dyDescent="0.25">
      <c r="A351" s="61" t="s">
        <v>654</v>
      </c>
      <c r="B351" s="62"/>
      <c r="C351" s="62"/>
      <c r="D351" s="63">
        <v>1.5</v>
      </c>
      <c r="E351" s="65"/>
      <c r="F351" s="97" t="str">
        <f>HYPERLINK("https://pbs.twimg.com/profile_images/1437167475154632707/nFH_2AWR_normal.jpg")</f>
        <v>https://pbs.twimg.com/profile_images/1437167475154632707/nFH_2AWR_normal.jpg</v>
      </c>
      <c r="G351" s="62"/>
      <c r="H351" s="66"/>
      <c r="I351" s="67"/>
      <c r="J351" s="67"/>
      <c r="K351" s="66" t="s">
        <v>4655</v>
      </c>
      <c r="L351" s="70"/>
      <c r="M351" s="71">
        <v>3343.485595703125</v>
      </c>
      <c r="N351" s="71">
        <v>8502.4873046875</v>
      </c>
      <c r="O351" s="72"/>
      <c r="P351" s="73"/>
      <c r="Q351" s="73"/>
      <c r="R351" s="81"/>
      <c r="S351" s="45">
        <v>1</v>
      </c>
      <c r="T351" s="45">
        <v>0</v>
      </c>
      <c r="U351" s="46">
        <v>0</v>
      </c>
      <c r="V351" s="46">
        <v>1.5219E-2</v>
      </c>
      <c r="W351" s="47"/>
      <c r="X351" s="47"/>
      <c r="Y351" s="47"/>
      <c r="Z351" s="46"/>
      <c r="AA351" s="68">
        <v>351</v>
      </c>
      <c r="AB351"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51" s="69"/>
      <c r="AD351" t="s">
        <v>3013</v>
      </c>
      <c r="AE351" s="77" t="s">
        <v>3319</v>
      </c>
      <c r="AF351">
        <v>605</v>
      </c>
      <c r="AG351">
        <v>286</v>
      </c>
      <c r="AH351">
        <v>207722</v>
      </c>
      <c r="AI351">
        <v>6</v>
      </c>
      <c r="AJ351">
        <v>260575</v>
      </c>
      <c r="AK351">
        <v>84</v>
      </c>
      <c r="AL351" t="b">
        <v>0</v>
      </c>
      <c r="AM351" s="76">
        <v>42238.48027777778</v>
      </c>
      <c r="AX351" t="b">
        <v>0</v>
      </c>
      <c r="AZ351" t="b">
        <v>0</v>
      </c>
      <c r="BA351" t="b">
        <v>0</v>
      </c>
      <c r="BB351" t="b">
        <v>1</v>
      </c>
      <c r="BC351" t="b">
        <v>1</v>
      </c>
      <c r="BD351" t="b">
        <v>0</v>
      </c>
      <c r="BE351" t="b">
        <v>0</v>
      </c>
      <c r="BF351" t="b">
        <v>0</v>
      </c>
      <c r="BG351" t="b">
        <v>0</v>
      </c>
      <c r="BH351" s="79" t="str">
        <f>HYPERLINK("https://pbs.twimg.com/profile_banners/3435354671/1631482781")</f>
        <v>https://pbs.twimg.com/profile_banners/3435354671/1631482781</v>
      </c>
      <c r="BJ351" t="s">
        <v>4320</v>
      </c>
      <c r="BK351" t="b">
        <v>0</v>
      </c>
      <c r="BM351" t="s">
        <v>65</v>
      </c>
      <c r="BN351" t="s">
        <v>4322</v>
      </c>
      <c r="BO351" s="79" t="str">
        <f>HYPERLINK("https://twitter.com/catitaidola")</f>
        <v>https://twitter.com/catitaidola</v>
      </c>
      <c r="BP351" s="112" t="str">
        <f>REPLACE(INDEX(GroupVertices[Group], MATCH("~"&amp;Vertices[[#This Row],[Vertex]],GroupVertices[Vertex],0)),1,1,"")</f>
        <v>3</v>
      </c>
      <c r="BQ351" s="2"/>
    </row>
    <row r="352" spans="1:69" x14ac:dyDescent="0.25">
      <c r="A352" s="61" t="s">
        <v>655</v>
      </c>
      <c r="B352" s="62"/>
      <c r="C352" s="62"/>
      <c r="D352" s="63">
        <v>1.5</v>
      </c>
      <c r="E352" s="65"/>
      <c r="F352" s="97" t="str">
        <f>HYPERLINK("https://pbs.twimg.com/profile_images/1369584346806579201/jGfoMM-v_normal.jpg")</f>
        <v>https://pbs.twimg.com/profile_images/1369584346806579201/jGfoMM-v_normal.jpg</v>
      </c>
      <c r="G352" s="62"/>
      <c r="H352" s="66"/>
      <c r="I352" s="67"/>
      <c r="J352" s="67"/>
      <c r="K352" s="66" t="s">
        <v>4656</v>
      </c>
      <c r="L352" s="70"/>
      <c r="M352" s="71">
        <v>5008.4677734375</v>
      </c>
      <c r="N352" s="71">
        <v>9672.9921875</v>
      </c>
      <c r="O352" s="72"/>
      <c r="P352" s="73"/>
      <c r="Q352" s="73"/>
      <c r="R352" s="81"/>
      <c r="S352" s="45">
        <v>1</v>
      </c>
      <c r="T352" s="45">
        <v>0</v>
      </c>
      <c r="U352" s="46">
        <v>0</v>
      </c>
      <c r="V352" s="46">
        <v>1.5219E-2</v>
      </c>
      <c r="W352" s="47"/>
      <c r="X352" s="47"/>
      <c r="Y352" s="47"/>
      <c r="Z352" s="46"/>
      <c r="AA352" s="68">
        <v>352</v>
      </c>
      <c r="AB352"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52" s="69"/>
      <c r="AD352" t="s">
        <v>3014</v>
      </c>
      <c r="AE352" s="77" t="s">
        <v>3320</v>
      </c>
      <c r="AF352">
        <v>260</v>
      </c>
      <c r="AG352">
        <v>198</v>
      </c>
      <c r="AH352">
        <v>6871</v>
      </c>
      <c r="AI352">
        <v>3</v>
      </c>
      <c r="AJ352">
        <v>18106</v>
      </c>
      <c r="AK352">
        <v>261</v>
      </c>
      <c r="AL352" t="b">
        <v>0</v>
      </c>
      <c r="AM352" s="76">
        <v>41347.889039351852</v>
      </c>
      <c r="AX352" t="b">
        <v>0</v>
      </c>
      <c r="AZ352" t="b">
        <v>0</v>
      </c>
      <c r="BA352" t="b">
        <v>0</v>
      </c>
      <c r="BB352" t="b">
        <v>1</v>
      </c>
      <c r="BC352" t="b">
        <v>1</v>
      </c>
      <c r="BD352" t="b">
        <v>0</v>
      </c>
      <c r="BE352" t="b">
        <v>0</v>
      </c>
      <c r="BF352" t="b">
        <v>0</v>
      </c>
      <c r="BG352" t="b">
        <v>0</v>
      </c>
      <c r="BJ352" t="s">
        <v>4320</v>
      </c>
      <c r="BK352" t="b">
        <v>0</v>
      </c>
      <c r="BM352" t="s">
        <v>65</v>
      </c>
      <c r="BN352" t="s">
        <v>4322</v>
      </c>
      <c r="BO352" s="79" t="str">
        <f>HYPERLINK("https://twitter.com/rojo_cherry")</f>
        <v>https://twitter.com/rojo_cherry</v>
      </c>
      <c r="BP352" s="112" t="str">
        <f>REPLACE(INDEX(GroupVertices[Group], MATCH("~"&amp;Vertices[[#This Row],[Vertex]],GroupVertices[Vertex],0)),1,1,"")</f>
        <v>3</v>
      </c>
      <c r="BQ352" s="2"/>
    </row>
    <row r="353" spans="1:69" x14ac:dyDescent="0.25">
      <c r="A353" s="61" t="s">
        <v>656</v>
      </c>
      <c r="B353" s="62"/>
      <c r="C353" s="62"/>
      <c r="D353" s="63">
        <v>1.5</v>
      </c>
      <c r="E353" s="65"/>
      <c r="F353" s="97" t="str">
        <f>HYPERLINK("https://pbs.twimg.com/profile_images/959208485367042048/GcVbzFT__normal.jpg")</f>
        <v>https://pbs.twimg.com/profile_images/959208485367042048/GcVbzFT__normal.jpg</v>
      </c>
      <c r="G353" s="62"/>
      <c r="H353" s="66"/>
      <c r="I353" s="67"/>
      <c r="J353" s="67"/>
      <c r="K353" s="66" t="s">
        <v>4657</v>
      </c>
      <c r="L353" s="70"/>
      <c r="M353" s="71">
        <v>4649.35888671875</v>
      </c>
      <c r="N353" s="71">
        <v>2982.158447265625</v>
      </c>
      <c r="O353" s="72"/>
      <c r="P353" s="73"/>
      <c r="Q353" s="73"/>
      <c r="R353" s="81"/>
      <c r="S353" s="45">
        <v>1</v>
      </c>
      <c r="T353" s="45">
        <v>0</v>
      </c>
      <c r="U353" s="46">
        <v>0</v>
      </c>
      <c r="V353" s="46">
        <v>1.5219E-2</v>
      </c>
      <c r="W353" s="47"/>
      <c r="X353" s="47"/>
      <c r="Y353" s="47"/>
      <c r="Z353" s="46"/>
      <c r="AA353" s="68">
        <v>353</v>
      </c>
      <c r="AB353"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53" s="69"/>
      <c r="AD353" t="s">
        <v>3015</v>
      </c>
      <c r="AE353" s="77" t="s">
        <v>3321</v>
      </c>
      <c r="AF353">
        <v>317</v>
      </c>
      <c r="AG353">
        <v>510</v>
      </c>
      <c r="AH353">
        <v>968</v>
      </c>
      <c r="AI353">
        <v>7</v>
      </c>
      <c r="AJ353">
        <v>1477</v>
      </c>
      <c r="AK353">
        <v>161</v>
      </c>
      <c r="AL353" t="b">
        <v>0</v>
      </c>
      <c r="AM353" s="76">
        <v>41726.727997685186</v>
      </c>
      <c r="AN353" t="s">
        <v>3563</v>
      </c>
      <c r="AO353" t="s">
        <v>3929</v>
      </c>
      <c r="AP353" s="79" t="str">
        <f>HYPERLINK("https://t.co/KQCgDkIF33")</f>
        <v>https://t.co/KQCgDkIF33</v>
      </c>
      <c r="AQ353" s="79" t="str">
        <f>HYPERLINK("http://www.trecerosas.org")</f>
        <v>http://www.trecerosas.org</v>
      </c>
      <c r="AR353" t="s">
        <v>4187</v>
      </c>
      <c r="AV353">
        <v>1.6993336203080801E+18</v>
      </c>
      <c r="AW353" s="79" t="str">
        <f>HYPERLINK("https://t.co/KQCgDkIF33")</f>
        <v>https://t.co/KQCgDkIF33</v>
      </c>
      <c r="AX353" t="b">
        <v>0</v>
      </c>
      <c r="AZ353" t="b">
        <v>0</v>
      </c>
      <c r="BA353" t="b">
        <v>0</v>
      </c>
      <c r="BB353" t="b">
        <v>1</v>
      </c>
      <c r="BC353" t="b">
        <v>1</v>
      </c>
      <c r="BD353" t="b">
        <v>0</v>
      </c>
      <c r="BE353" t="b">
        <v>0</v>
      </c>
      <c r="BF353" t="b">
        <v>0</v>
      </c>
      <c r="BG353" t="b">
        <v>0</v>
      </c>
      <c r="BH353" s="79" t="str">
        <f>HYPERLINK("https://pbs.twimg.com/profile_banners/2416222248/1693988669")</f>
        <v>https://pbs.twimg.com/profile_banners/2416222248/1693988669</v>
      </c>
      <c r="BJ353" t="s">
        <v>4320</v>
      </c>
      <c r="BK353" t="b">
        <v>0</v>
      </c>
      <c r="BM353" t="s">
        <v>65</v>
      </c>
      <c r="BN353" t="s">
        <v>4322</v>
      </c>
      <c r="BO353" s="79" t="str">
        <f>HYPERLINK("https://twitter.com/cctrecerosas")</f>
        <v>https://twitter.com/cctrecerosas</v>
      </c>
      <c r="BP353" s="112" t="str">
        <f>REPLACE(INDEX(GroupVertices[Group], MATCH("~"&amp;Vertices[[#This Row],[Vertex]],GroupVertices[Vertex],0)),1,1,"")</f>
        <v>3</v>
      </c>
      <c r="BQ353" s="2"/>
    </row>
    <row r="354" spans="1:69" x14ac:dyDescent="0.25">
      <c r="A354" s="61" t="s">
        <v>657</v>
      </c>
      <c r="B354" s="62"/>
      <c r="C354" s="62"/>
      <c r="D354" s="63">
        <v>1.5</v>
      </c>
      <c r="E354" s="65"/>
      <c r="F354" s="97" t="str">
        <f>HYPERLINK("https://pbs.twimg.com/profile_images/1848384398241972224/Lu6-zCSw_normal.jpg")</f>
        <v>https://pbs.twimg.com/profile_images/1848384398241972224/Lu6-zCSw_normal.jpg</v>
      </c>
      <c r="G354" s="62"/>
      <c r="H354" s="66"/>
      <c r="I354" s="67"/>
      <c r="J354" s="67"/>
      <c r="K354" s="66" t="s">
        <v>4658</v>
      </c>
      <c r="L354" s="70"/>
      <c r="M354" s="71">
        <v>6888.83984375</v>
      </c>
      <c r="N354" s="71">
        <v>7557.244140625</v>
      </c>
      <c r="O354" s="72"/>
      <c r="P354" s="73"/>
      <c r="Q354" s="73"/>
      <c r="R354" s="81"/>
      <c r="S354" s="45">
        <v>1</v>
      </c>
      <c r="T354" s="45">
        <v>0</v>
      </c>
      <c r="U354" s="46">
        <v>0</v>
      </c>
      <c r="V354" s="46">
        <v>1.5219E-2</v>
      </c>
      <c r="W354" s="47"/>
      <c r="X354" s="47"/>
      <c r="Y354" s="47"/>
      <c r="Z354" s="46"/>
      <c r="AA354" s="68">
        <v>354</v>
      </c>
      <c r="AB354"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54" s="69"/>
      <c r="AD354" t="s">
        <v>3016</v>
      </c>
      <c r="AE354" s="77" t="s">
        <v>3322</v>
      </c>
      <c r="AF354">
        <v>490</v>
      </c>
      <c r="AG354">
        <v>1020</v>
      </c>
      <c r="AH354">
        <v>7559</v>
      </c>
      <c r="AI354">
        <v>1</v>
      </c>
      <c r="AJ354">
        <v>26323</v>
      </c>
      <c r="AK354">
        <v>627</v>
      </c>
      <c r="AL354" t="b">
        <v>0</v>
      </c>
      <c r="AM354" s="76">
        <v>41925.623692129629</v>
      </c>
      <c r="AN354" t="s">
        <v>3432</v>
      </c>
      <c r="AO354" t="s">
        <v>3930</v>
      </c>
      <c r="AV354">
        <v>1.5610413112470799E+18</v>
      </c>
      <c r="AX354" t="b">
        <v>0</v>
      </c>
      <c r="AZ354" t="b">
        <v>0</v>
      </c>
      <c r="BA354" t="b">
        <v>1</v>
      </c>
      <c r="BB354" t="b">
        <v>0</v>
      </c>
      <c r="BC354" t="b">
        <v>1</v>
      </c>
      <c r="BD354" t="b">
        <v>0</v>
      </c>
      <c r="BE354" t="b">
        <v>1</v>
      </c>
      <c r="BF354" t="b">
        <v>0</v>
      </c>
      <c r="BG354" t="b">
        <v>0</v>
      </c>
      <c r="BH354" s="79" t="str">
        <f>HYPERLINK("https://pbs.twimg.com/profile_banners/2827540481/1672099315")</f>
        <v>https://pbs.twimg.com/profile_banners/2827540481/1672099315</v>
      </c>
      <c r="BJ354" t="s">
        <v>4320</v>
      </c>
      <c r="BK354" t="b">
        <v>0</v>
      </c>
      <c r="BM354" t="s">
        <v>65</v>
      </c>
      <c r="BN354" t="s">
        <v>4322</v>
      </c>
      <c r="BO354" s="79" t="str">
        <f>HYPERLINK("https://twitter.com/_diegomoreno")</f>
        <v>https://twitter.com/_diegomoreno</v>
      </c>
      <c r="BP354" s="112" t="str">
        <f>REPLACE(INDEX(GroupVertices[Group], MATCH("~"&amp;Vertices[[#This Row],[Vertex]],GroupVertices[Vertex],0)),1,1,"")</f>
        <v>3</v>
      </c>
      <c r="BQ354" s="2"/>
    </row>
    <row r="355" spans="1:69" x14ac:dyDescent="0.25">
      <c r="A355" s="61" t="s">
        <v>658</v>
      </c>
      <c r="B355" s="62"/>
      <c r="C355" s="62"/>
      <c r="D355" s="63">
        <v>1.5</v>
      </c>
      <c r="E355" s="65"/>
      <c r="F355" s="97" t="str">
        <f>HYPERLINK("https://pbs.twimg.com/profile_images/1104156361947054080/cEuff9lX_normal.jpg")</f>
        <v>https://pbs.twimg.com/profile_images/1104156361947054080/cEuff9lX_normal.jpg</v>
      </c>
      <c r="G355" s="62"/>
      <c r="H355" s="66"/>
      <c r="I355" s="67"/>
      <c r="J355" s="67"/>
      <c r="K355" s="66" t="s">
        <v>4659</v>
      </c>
      <c r="L355" s="70"/>
      <c r="M355" s="71">
        <v>5161.50439453125</v>
      </c>
      <c r="N355" s="71">
        <v>9010.16015625</v>
      </c>
      <c r="O355" s="72"/>
      <c r="P355" s="73"/>
      <c r="Q355" s="73"/>
      <c r="R355" s="81"/>
      <c r="S355" s="45">
        <v>1</v>
      </c>
      <c r="T355" s="45">
        <v>0</v>
      </c>
      <c r="U355" s="46">
        <v>0</v>
      </c>
      <c r="V355" s="46">
        <v>1.5219E-2</v>
      </c>
      <c r="W355" s="47"/>
      <c r="X355" s="47"/>
      <c r="Y355" s="47"/>
      <c r="Z355" s="46"/>
      <c r="AA355" s="68">
        <v>355</v>
      </c>
      <c r="AB355"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55" s="69"/>
      <c r="AD355" t="s">
        <v>3017</v>
      </c>
      <c r="AE355" s="77" t="s">
        <v>3323</v>
      </c>
      <c r="AF355">
        <v>1890</v>
      </c>
      <c r="AG355">
        <v>1697</v>
      </c>
      <c r="AH355">
        <v>60905</v>
      </c>
      <c r="AI355">
        <v>39</v>
      </c>
      <c r="AJ355">
        <v>49261</v>
      </c>
      <c r="AK355">
        <v>4228</v>
      </c>
      <c r="AL355" t="b">
        <v>0</v>
      </c>
      <c r="AM355" s="76">
        <v>40454.793368055558</v>
      </c>
      <c r="AN355" t="s">
        <v>3430</v>
      </c>
      <c r="AO355" t="s">
        <v>3931</v>
      </c>
      <c r="AV355">
        <v>1.9291018656622001E+18</v>
      </c>
      <c r="AX355" t="b">
        <v>0</v>
      </c>
      <c r="AZ355" t="b">
        <v>0</v>
      </c>
      <c r="BA355" t="b">
        <v>0</v>
      </c>
      <c r="BB355" t="b">
        <v>1</v>
      </c>
      <c r="BC355" t="b">
        <v>0</v>
      </c>
      <c r="BD355" t="b">
        <v>0</v>
      </c>
      <c r="BE355" t="b">
        <v>1</v>
      </c>
      <c r="BF355" t="b">
        <v>0</v>
      </c>
      <c r="BG355" t="b">
        <v>0</v>
      </c>
      <c r="BH355" s="79" t="str">
        <f>HYPERLINK("https://pbs.twimg.com/profile_banners/198239060/1538483850")</f>
        <v>https://pbs.twimg.com/profile_banners/198239060/1538483850</v>
      </c>
      <c r="BJ355" t="s">
        <v>4320</v>
      </c>
      <c r="BK355" t="b">
        <v>0</v>
      </c>
      <c r="BM355" t="s">
        <v>65</v>
      </c>
      <c r="BN355" t="s">
        <v>4322</v>
      </c>
      <c r="BO355" s="79" t="str">
        <f>HYPERLINK("https://twitter.com/walterscansetti")</f>
        <v>https://twitter.com/walterscansetti</v>
      </c>
      <c r="BP355" s="112" t="str">
        <f>REPLACE(INDEX(GroupVertices[Group], MATCH("~"&amp;Vertices[[#This Row],[Vertex]],GroupVertices[Vertex],0)),1,1,"")</f>
        <v>3</v>
      </c>
      <c r="BQ355" s="2"/>
    </row>
    <row r="356" spans="1:69" x14ac:dyDescent="0.25">
      <c r="A356" s="61" t="s">
        <v>659</v>
      </c>
      <c r="B356" s="62"/>
      <c r="C356" s="62"/>
      <c r="D356" s="63">
        <v>1.5</v>
      </c>
      <c r="E356" s="65"/>
      <c r="F356" s="97" t="str">
        <f>HYPERLINK("https://pbs.twimg.com/profile_images/1899007794784641024/uv4L6AOZ_normal.jpg")</f>
        <v>https://pbs.twimg.com/profile_images/1899007794784641024/uv4L6AOZ_normal.jpg</v>
      </c>
      <c r="G356" s="62"/>
      <c r="H356" s="66"/>
      <c r="I356" s="67"/>
      <c r="J356" s="67"/>
      <c r="K356" s="66" t="s">
        <v>4660</v>
      </c>
      <c r="L356" s="70"/>
      <c r="M356" s="71">
        <v>2962.3974609375</v>
      </c>
      <c r="N356" s="71">
        <v>3456.64599609375</v>
      </c>
      <c r="O356" s="72"/>
      <c r="P356" s="73"/>
      <c r="Q356" s="73"/>
      <c r="R356" s="81"/>
      <c r="S356" s="45">
        <v>1</v>
      </c>
      <c r="T356" s="45">
        <v>0</v>
      </c>
      <c r="U356" s="46">
        <v>0</v>
      </c>
      <c r="V356" s="46">
        <v>1.5219E-2</v>
      </c>
      <c r="W356" s="47"/>
      <c r="X356" s="47"/>
      <c r="Y356" s="47"/>
      <c r="Z356" s="46"/>
      <c r="AA356" s="68">
        <v>356</v>
      </c>
      <c r="AB356"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56" s="69"/>
      <c r="AD356" t="s">
        <v>3018</v>
      </c>
      <c r="AE356" s="77" t="s">
        <v>3324</v>
      </c>
      <c r="AF356">
        <v>10553</v>
      </c>
      <c r="AG356">
        <v>1711</v>
      </c>
      <c r="AH356">
        <v>49319</v>
      </c>
      <c r="AI356">
        <v>219</v>
      </c>
      <c r="AJ356">
        <v>23839</v>
      </c>
      <c r="AK356">
        <v>15439</v>
      </c>
      <c r="AL356" t="b">
        <v>0</v>
      </c>
      <c r="AM356" s="76">
        <v>41639.712685185186</v>
      </c>
      <c r="AN356" t="s">
        <v>3431</v>
      </c>
      <c r="AO356" t="s">
        <v>3932</v>
      </c>
      <c r="AP356" s="79" t="str">
        <f>HYPERLINK("https://t.co/AUGNpTMWTX")</f>
        <v>https://t.co/AUGNpTMWTX</v>
      </c>
      <c r="AQ356" s="79" t="str">
        <f>HYPERLINK("https://madridproximo.es")</f>
        <v>https://madridproximo.es</v>
      </c>
      <c r="AR356" t="s">
        <v>4188</v>
      </c>
      <c r="AS356" s="79" t="str">
        <f>HYPERLINK("https://t.co/aP2tviv1S2")</f>
        <v>https://t.co/aP2tviv1S2</v>
      </c>
      <c r="AT356" s="79" t="str">
        <f>HYPERLINK("http://psoeaytomadrid.es")</f>
        <v>http://psoeaytomadrid.es</v>
      </c>
      <c r="AU356" t="s">
        <v>4305</v>
      </c>
      <c r="AW356" s="79" t="str">
        <f>HYPERLINK("https://t.co/AUGNpTMWTX")</f>
        <v>https://t.co/AUGNpTMWTX</v>
      </c>
      <c r="AX356" t="b">
        <v>0</v>
      </c>
      <c r="AZ356" t="b">
        <v>0</v>
      </c>
      <c r="BA356" t="b">
        <v>1</v>
      </c>
      <c r="BB356" t="b">
        <v>1</v>
      </c>
      <c r="BC356" t="b">
        <v>0</v>
      </c>
      <c r="BD356" t="b">
        <v>0</v>
      </c>
      <c r="BE356" t="b">
        <v>1</v>
      </c>
      <c r="BF356" t="b">
        <v>0</v>
      </c>
      <c r="BG356" t="b">
        <v>0</v>
      </c>
      <c r="BH356" s="79" t="str">
        <f>HYPERLINK("https://pbs.twimg.com/profile_banners/2270608334/1741593714")</f>
        <v>https://pbs.twimg.com/profile_banners/2270608334/1741593714</v>
      </c>
      <c r="BJ356" t="s">
        <v>4320</v>
      </c>
      <c r="BK356" t="b">
        <v>0</v>
      </c>
      <c r="BM356" t="s">
        <v>65</v>
      </c>
      <c r="BN356" t="s">
        <v>4322</v>
      </c>
      <c r="BO356" s="79" t="str">
        <f>HYPERLINK("https://twitter.com/psoemadridayto")</f>
        <v>https://twitter.com/psoemadridayto</v>
      </c>
      <c r="BP356" s="112" t="str">
        <f>REPLACE(INDEX(GroupVertices[Group], MATCH("~"&amp;Vertices[[#This Row],[Vertex]],GroupVertices[Vertex],0)),1,1,"")</f>
        <v>3</v>
      </c>
      <c r="BQ356" s="2"/>
    </row>
    <row r="357" spans="1:69" x14ac:dyDescent="0.25">
      <c r="A357" s="61" t="s">
        <v>660</v>
      </c>
      <c r="B357" s="62"/>
      <c r="C357" s="62"/>
      <c r="D357" s="63">
        <v>1.5</v>
      </c>
      <c r="E357" s="65"/>
      <c r="F357" s="97" t="str">
        <f>HYPERLINK("https://pbs.twimg.com/profile_images/1900325311285215232/n_1DpAmX_normal.jpg")</f>
        <v>https://pbs.twimg.com/profile_images/1900325311285215232/n_1DpAmX_normal.jpg</v>
      </c>
      <c r="G357" s="62"/>
      <c r="H357" s="66"/>
      <c r="I357" s="67"/>
      <c r="J357" s="67"/>
      <c r="K357" s="66" t="s">
        <v>4661</v>
      </c>
      <c r="L357" s="70"/>
      <c r="M357" s="71">
        <v>7264.791015625</v>
      </c>
      <c r="N357" s="71">
        <v>9179.365234375</v>
      </c>
      <c r="O357" s="72"/>
      <c r="P357" s="73"/>
      <c r="Q357" s="73"/>
      <c r="R357" s="81"/>
      <c r="S357" s="45">
        <v>1</v>
      </c>
      <c r="T357" s="45">
        <v>0</v>
      </c>
      <c r="U357" s="46">
        <v>0</v>
      </c>
      <c r="V357" s="46">
        <v>1.5219E-2</v>
      </c>
      <c r="W357" s="47"/>
      <c r="X357" s="47"/>
      <c r="Y357" s="47"/>
      <c r="Z357" s="46"/>
      <c r="AA357" s="68">
        <v>357</v>
      </c>
      <c r="AB357"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57" s="69"/>
      <c r="AD357" t="s">
        <v>3019</v>
      </c>
      <c r="AE357" s="77" t="s">
        <v>3325</v>
      </c>
      <c r="AF357">
        <v>4472</v>
      </c>
      <c r="AG357">
        <v>3013</v>
      </c>
      <c r="AH357">
        <v>13350</v>
      </c>
      <c r="AI357">
        <v>78</v>
      </c>
      <c r="AJ357">
        <v>12221</v>
      </c>
      <c r="AK357">
        <v>3308</v>
      </c>
      <c r="AL357" t="b">
        <v>0</v>
      </c>
      <c r="AM357" s="76">
        <v>39925.566030092596</v>
      </c>
      <c r="AN357" t="s">
        <v>3564</v>
      </c>
      <c r="AO357" t="s">
        <v>3933</v>
      </c>
      <c r="AP357" s="79" t="str">
        <f>HYPERLINK("https://t.co/0ybS9PDSz0")</f>
        <v>https://t.co/0ybS9PDSz0</v>
      </c>
      <c r="AQ357" s="79" t="str">
        <f>HYPERLINK("http://www.psoelatina.es")</f>
        <v>http://www.psoelatina.es</v>
      </c>
      <c r="AR357" t="s">
        <v>4189</v>
      </c>
      <c r="AV357">
        <v>1.70851922227859E+18</v>
      </c>
      <c r="AW357" s="79" t="str">
        <f>HYPERLINK("https://t.co/0ybS9PDSz0")</f>
        <v>https://t.co/0ybS9PDSz0</v>
      </c>
      <c r="AX357" t="b">
        <v>1</v>
      </c>
      <c r="AZ357" t="b">
        <v>0</v>
      </c>
      <c r="BA357" t="b">
        <v>0</v>
      </c>
      <c r="BB357" t="b">
        <v>1</v>
      </c>
      <c r="BC357" t="b">
        <v>0</v>
      </c>
      <c r="BD357" t="b">
        <v>0</v>
      </c>
      <c r="BE357" t="b">
        <v>1</v>
      </c>
      <c r="BF357" t="b">
        <v>0</v>
      </c>
      <c r="BG357" t="b">
        <v>0</v>
      </c>
      <c r="BH357" s="79" t="str">
        <f>HYPERLINK("https://pbs.twimg.com/profile_banners/34272192/1748096252")</f>
        <v>https://pbs.twimg.com/profile_banners/34272192/1748096252</v>
      </c>
      <c r="BJ357" t="s">
        <v>4320</v>
      </c>
      <c r="BK357" t="b">
        <v>0</v>
      </c>
      <c r="BM357" t="s">
        <v>65</v>
      </c>
      <c r="BN357" t="s">
        <v>4322</v>
      </c>
      <c r="BO357" s="79" t="str">
        <f>HYPERLINK("https://twitter.com/psoelatina")</f>
        <v>https://twitter.com/psoelatina</v>
      </c>
      <c r="BP357" s="112" t="str">
        <f>REPLACE(INDEX(GroupVertices[Group], MATCH("~"&amp;Vertices[[#This Row],[Vertex]],GroupVertices[Vertex],0)),1,1,"")</f>
        <v>3</v>
      </c>
      <c r="BQ357" s="2"/>
    </row>
    <row r="358" spans="1:69" x14ac:dyDescent="0.25">
      <c r="A358" s="61" t="s">
        <v>661</v>
      </c>
      <c r="B358" s="62"/>
      <c r="C358" s="62"/>
      <c r="D358" s="63">
        <v>1.5</v>
      </c>
      <c r="E358" s="65"/>
      <c r="F358" s="97" t="str">
        <f>HYPERLINK("https://pbs.twimg.com/profile_images/1899127480411136000/gEhUmT2x_normal.jpg")</f>
        <v>https://pbs.twimg.com/profile_images/1899127480411136000/gEhUmT2x_normal.jpg</v>
      </c>
      <c r="G358" s="62"/>
      <c r="H358" s="66"/>
      <c r="I358" s="67"/>
      <c r="J358" s="67"/>
      <c r="K358" s="66" t="s">
        <v>4662</v>
      </c>
      <c r="L358" s="70"/>
      <c r="M358" s="71">
        <v>1853.124755859375</v>
      </c>
      <c r="N358" s="71">
        <v>3861.75927734375</v>
      </c>
      <c r="O358" s="72"/>
      <c r="P358" s="73"/>
      <c r="Q358" s="73"/>
      <c r="R358" s="81"/>
      <c r="S358" s="45">
        <v>1</v>
      </c>
      <c r="T358" s="45">
        <v>0</v>
      </c>
      <c r="U358" s="46">
        <v>0</v>
      </c>
      <c r="V358" s="46">
        <v>1.5219E-2</v>
      </c>
      <c r="W358" s="47"/>
      <c r="X358" s="47"/>
      <c r="Y358" s="47"/>
      <c r="Z358" s="46"/>
      <c r="AA358" s="68">
        <v>358</v>
      </c>
      <c r="AB358"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58" s="69"/>
      <c r="AD358" t="s">
        <v>3020</v>
      </c>
      <c r="AE358" s="77" t="s">
        <v>3326</v>
      </c>
      <c r="AF358">
        <v>42871</v>
      </c>
      <c r="AG358">
        <v>3383</v>
      </c>
      <c r="AH358">
        <v>74634</v>
      </c>
      <c r="AI358">
        <v>794</v>
      </c>
      <c r="AJ358">
        <v>19264</v>
      </c>
      <c r="AK358">
        <v>8947</v>
      </c>
      <c r="AL358" t="b">
        <v>0</v>
      </c>
      <c r="AM358" s="76">
        <v>39951.661863425928</v>
      </c>
      <c r="AN358" t="s">
        <v>3430</v>
      </c>
      <c r="AO358" t="s">
        <v>3934</v>
      </c>
      <c r="AP358" s="79" t="str">
        <f>HYPERLINK("https://t.co/e0cjMKK48M")</f>
        <v>https://t.co/e0cjMKK48M</v>
      </c>
      <c r="AQ358" s="79" t="str">
        <f>HYPERLINK("http://www.psoemadrid.es")</f>
        <v>http://www.psoemadrid.es</v>
      </c>
      <c r="AR358" t="s">
        <v>4190</v>
      </c>
      <c r="AV358">
        <v>1.92978591949981E+18</v>
      </c>
      <c r="AW358" s="79" t="str">
        <f>HYPERLINK("https://t.co/e0cjMKK48M")</f>
        <v>https://t.co/e0cjMKK48M</v>
      </c>
      <c r="AX358" t="b">
        <v>1</v>
      </c>
      <c r="AZ358" t="b">
        <v>0</v>
      </c>
      <c r="BA358" t="b">
        <v>0</v>
      </c>
      <c r="BB358" t="b">
        <v>0</v>
      </c>
      <c r="BC358" t="b">
        <v>0</v>
      </c>
      <c r="BD358" t="b">
        <v>0</v>
      </c>
      <c r="BE358" t="b">
        <v>1</v>
      </c>
      <c r="BF358" t="b">
        <v>0</v>
      </c>
      <c r="BG358" t="b">
        <v>0</v>
      </c>
      <c r="BH358" s="79" t="str">
        <f>HYPERLINK("https://pbs.twimg.com/profile_banners/40900410/1741622797")</f>
        <v>https://pbs.twimg.com/profile_banners/40900410/1741622797</v>
      </c>
      <c r="BJ358" t="s">
        <v>4320</v>
      </c>
      <c r="BK358" t="b">
        <v>0</v>
      </c>
      <c r="BM358" t="s">
        <v>65</v>
      </c>
      <c r="BN358" t="s">
        <v>4322</v>
      </c>
      <c r="BO358" s="79" t="str">
        <f>HYPERLINK("https://twitter.com/psoe_m")</f>
        <v>https://twitter.com/psoe_m</v>
      </c>
      <c r="BP358" s="112" t="str">
        <f>REPLACE(INDEX(GroupVertices[Group], MATCH("~"&amp;Vertices[[#This Row],[Vertex]],GroupVertices[Vertex],0)),1,1,"")</f>
        <v>3</v>
      </c>
      <c r="BQ358" s="2"/>
    </row>
    <row r="359" spans="1:69" x14ac:dyDescent="0.25">
      <c r="A359" s="61" t="s">
        <v>662</v>
      </c>
      <c r="B359" s="62"/>
      <c r="C359" s="62"/>
      <c r="D359" s="63">
        <v>1.5</v>
      </c>
      <c r="E359" s="65"/>
      <c r="F359" s="97" t="str">
        <f>HYPERLINK("https://pbs.twimg.com/profile_images/1650076501532987393/RScigNdz_normal.jpg")</f>
        <v>https://pbs.twimg.com/profile_images/1650076501532987393/RScigNdz_normal.jpg</v>
      </c>
      <c r="G359" s="62"/>
      <c r="H359" s="66"/>
      <c r="I359" s="67"/>
      <c r="J359" s="67"/>
      <c r="K359" s="66" t="s">
        <v>4663</v>
      </c>
      <c r="L359" s="70"/>
      <c r="M359" s="71">
        <v>2104.091064453125</v>
      </c>
      <c r="N359" s="71">
        <v>7873.8212890625</v>
      </c>
      <c r="O359" s="72"/>
      <c r="P359" s="73"/>
      <c r="Q359" s="73"/>
      <c r="R359" s="81"/>
      <c r="S359" s="45">
        <v>1</v>
      </c>
      <c r="T359" s="45">
        <v>0</v>
      </c>
      <c r="U359" s="46">
        <v>0</v>
      </c>
      <c r="V359" s="46">
        <v>1.5219E-2</v>
      </c>
      <c r="W359" s="47"/>
      <c r="X359" s="47"/>
      <c r="Y359" s="47"/>
      <c r="Z359" s="46"/>
      <c r="AA359" s="68">
        <v>359</v>
      </c>
      <c r="AB359"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59" s="69"/>
      <c r="AD359" t="s">
        <v>3021</v>
      </c>
      <c r="AE359" s="77" t="s">
        <v>3327</v>
      </c>
      <c r="AF359">
        <v>3916</v>
      </c>
      <c r="AG359">
        <v>3888</v>
      </c>
      <c r="AH359">
        <v>17168</v>
      </c>
      <c r="AI359">
        <v>52</v>
      </c>
      <c r="AJ359">
        <v>24391</v>
      </c>
      <c r="AK359">
        <v>2181</v>
      </c>
      <c r="AL359" t="b">
        <v>0</v>
      </c>
      <c r="AM359" s="76">
        <v>40072.944456018522</v>
      </c>
      <c r="AN359" t="s">
        <v>3432</v>
      </c>
      <c r="AO359" t="s">
        <v>3935</v>
      </c>
      <c r="AP359" s="79" t="str">
        <f>HYPERLINK("https://t.co/vVXbDkfhGS")</f>
        <v>https://t.co/vVXbDkfhGS</v>
      </c>
      <c r="AQ359" s="79" t="str">
        <f>HYPERLINK("http://psoelatina.es")</f>
        <v>http://psoelatina.es</v>
      </c>
      <c r="AR359" t="s">
        <v>4189</v>
      </c>
      <c r="AV359">
        <v>1.91765929181889E+18</v>
      </c>
      <c r="AW359" s="79" t="str">
        <f>HYPERLINK("https://t.co/vVXbDkfhGS")</f>
        <v>https://t.co/vVXbDkfhGS</v>
      </c>
      <c r="AX359" t="b">
        <v>1</v>
      </c>
      <c r="AZ359" t="b">
        <v>0</v>
      </c>
      <c r="BA359" t="b">
        <v>1</v>
      </c>
      <c r="BB359" t="b">
        <v>1</v>
      </c>
      <c r="BC359" t="b">
        <v>0</v>
      </c>
      <c r="BD359" t="b">
        <v>0</v>
      </c>
      <c r="BE359" t="b">
        <v>1</v>
      </c>
      <c r="BF359" t="b">
        <v>0</v>
      </c>
      <c r="BG359" t="b">
        <v>0</v>
      </c>
      <c r="BH359" s="79" t="str">
        <f>HYPERLINK("https://pbs.twimg.com/profile_banners/74859075/1733056050")</f>
        <v>https://pbs.twimg.com/profile_banners/74859075/1733056050</v>
      </c>
      <c r="BJ359" t="s">
        <v>4320</v>
      </c>
      <c r="BK359" t="b">
        <v>0</v>
      </c>
      <c r="BM359" t="s">
        <v>65</v>
      </c>
      <c r="BN359" t="s">
        <v>4322</v>
      </c>
      <c r="BO359" s="79" t="str">
        <f>HYPERLINK("https://twitter.com/pebarrero")</f>
        <v>https://twitter.com/pebarrero</v>
      </c>
      <c r="BP359" s="112" t="str">
        <f>REPLACE(INDEX(GroupVertices[Group], MATCH("~"&amp;Vertices[[#This Row],[Vertex]],GroupVertices[Vertex],0)),1,1,"")</f>
        <v>3</v>
      </c>
      <c r="BQ359" s="2"/>
    </row>
    <row r="360" spans="1:69" x14ac:dyDescent="0.25">
      <c r="A360" s="61" t="s">
        <v>663</v>
      </c>
      <c r="B360" s="62"/>
      <c r="C360" s="62"/>
      <c r="D360" s="63">
        <v>1.5</v>
      </c>
      <c r="E360" s="65"/>
      <c r="F360" s="97" t="str">
        <f>HYPERLINK("https://pbs.twimg.com/profile_images/1918446508451549184/DNe7jmHo_normal.jpg")</f>
        <v>https://pbs.twimg.com/profile_images/1918446508451549184/DNe7jmHo_normal.jpg</v>
      </c>
      <c r="G360" s="62"/>
      <c r="H360" s="66"/>
      <c r="I360" s="67"/>
      <c r="J360" s="67"/>
      <c r="K360" s="66" t="s">
        <v>4664</v>
      </c>
      <c r="L360" s="70"/>
      <c r="M360" s="71">
        <v>6580.98779296875</v>
      </c>
      <c r="N360" s="71">
        <v>5646.58642578125</v>
      </c>
      <c r="O360" s="72"/>
      <c r="P360" s="73"/>
      <c r="Q360" s="73"/>
      <c r="R360" s="81"/>
      <c r="S360" s="45">
        <v>1</v>
      </c>
      <c r="T360" s="45">
        <v>0</v>
      </c>
      <c r="U360" s="46">
        <v>0</v>
      </c>
      <c r="V360" s="46">
        <v>1.5219E-2</v>
      </c>
      <c r="W360" s="47"/>
      <c r="X360" s="47"/>
      <c r="Y360" s="47"/>
      <c r="Z360" s="46"/>
      <c r="AA360" s="68">
        <v>360</v>
      </c>
      <c r="AB360"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60" s="69"/>
      <c r="AD360" t="s">
        <v>3022</v>
      </c>
      <c r="AE360" s="77" t="s">
        <v>2458</v>
      </c>
      <c r="AF360">
        <v>3591</v>
      </c>
      <c r="AG360">
        <v>2998</v>
      </c>
      <c r="AH360">
        <v>84063</v>
      </c>
      <c r="AI360">
        <v>61</v>
      </c>
      <c r="AJ360">
        <v>103752</v>
      </c>
      <c r="AK360">
        <v>4916</v>
      </c>
      <c r="AL360" t="b">
        <v>0</v>
      </c>
      <c r="AM360" s="76">
        <v>41410.382164351853</v>
      </c>
      <c r="AN360" t="s">
        <v>3431</v>
      </c>
      <c r="AO360" t="s">
        <v>3936</v>
      </c>
      <c r="AV360">
        <v>1.8157104573840799E+18</v>
      </c>
      <c r="AX360" t="b">
        <v>0</v>
      </c>
      <c r="AZ360" t="b">
        <v>0</v>
      </c>
      <c r="BA360" t="b">
        <v>0</v>
      </c>
      <c r="BB360" t="b">
        <v>1</v>
      </c>
      <c r="BC360" t="b">
        <v>0</v>
      </c>
      <c r="BD360" t="b">
        <v>0</v>
      </c>
      <c r="BE360" t="b">
        <v>1</v>
      </c>
      <c r="BF360" t="b">
        <v>0</v>
      </c>
      <c r="BG360" t="b">
        <v>0</v>
      </c>
      <c r="BH360" s="79" t="str">
        <f>HYPERLINK("https://pbs.twimg.com/profile_banners/1432584109/1737376824")</f>
        <v>https://pbs.twimg.com/profile_banners/1432584109/1737376824</v>
      </c>
      <c r="BJ360" t="s">
        <v>4320</v>
      </c>
      <c r="BK360" t="b">
        <v>0</v>
      </c>
      <c r="BM360" t="s">
        <v>65</v>
      </c>
      <c r="BN360" t="s">
        <v>4322</v>
      </c>
      <c r="BO360" s="79" t="str">
        <f>HYPERLINK("https://twitter.com/mtlch50")</f>
        <v>https://twitter.com/mtlch50</v>
      </c>
      <c r="BP360" s="112" t="str">
        <f>REPLACE(INDEX(GroupVertices[Group], MATCH("~"&amp;Vertices[[#This Row],[Vertex]],GroupVertices[Vertex],0)),1,1,"")</f>
        <v>3</v>
      </c>
      <c r="BQ360" s="2"/>
    </row>
    <row r="361" spans="1:69" x14ac:dyDescent="0.25">
      <c r="A361" s="61" t="s">
        <v>664</v>
      </c>
      <c r="B361" s="62"/>
      <c r="C361" s="62"/>
      <c r="D361" s="63">
        <v>1.5</v>
      </c>
      <c r="E361" s="65"/>
      <c r="F361" s="97" t="str">
        <f>HYPERLINK("https://pbs.twimg.com/profile_images/1490774270351482883/OfJJStCY_normal.jpg")</f>
        <v>https://pbs.twimg.com/profile_images/1490774270351482883/OfJJStCY_normal.jpg</v>
      </c>
      <c r="G361" s="62"/>
      <c r="H361" s="66"/>
      <c r="I361" s="67"/>
      <c r="J361" s="67"/>
      <c r="K361" s="66" t="s">
        <v>4665</v>
      </c>
      <c r="L361" s="70"/>
      <c r="M361" s="71">
        <v>6432.4375</v>
      </c>
      <c r="N361" s="71">
        <v>7661.35546875</v>
      </c>
      <c r="O361" s="72"/>
      <c r="P361" s="73"/>
      <c r="Q361" s="73"/>
      <c r="R361" s="81"/>
      <c r="S361" s="45">
        <v>1</v>
      </c>
      <c r="T361" s="45">
        <v>0</v>
      </c>
      <c r="U361" s="46">
        <v>0</v>
      </c>
      <c r="V361" s="46">
        <v>1.5219E-2</v>
      </c>
      <c r="W361" s="47"/>
      <c r="X361" s="47"/>
      <c r="Y361" s="47"/>
      <c r="Z361" s="46"/>
      <c r="AA361" s="68">
        <v>361</v>
      </c>
      <c r="AB361"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61" s="69"/>
      <c r="AD361" t="s">
        <v>3023</v>
      </c>
      <c r="AE361" s="77" t="s">
        <v>3328</v>
      </c>
      <c r="AF361">
        <v>15</v>
      </c>
      <c r="AG361">
        <v>51</v>
      </c>
      <c r="AH361">
        <v>538</v>
      </c>
      <c r="AI361">
        <v>0</v>
      </c>
      <c r="AJ361">
        <v>2794</v>
      </c>
      <c r="AK361">
        <v>0</v>
      </c>
      <c r="AL361" t="b">
        <v>0</v>
      </c>
      <c r="AM361" s="76">
        <v>44599.824733796297</v>
      </c>
      <c r="AX361" t="b">
        <v>0</v>
      </c>
      <c r="AZ361" t="b">
        <v>0</v>
      </c>
      <c r="BA361" t="b">
        <v>0</v>
      </c>
      <c r="BB361" t="b">
        <v>1</v>
      </c>
      <c r="BC361" t="b">
        <v>1</v>
      </c>
      <c r="BD361" t="b">
        <v>0</v>
      </c>
      <c r="BE361" t="b">
        <v>0</v>
      </c>
      <c r="BF361" t="b">
        <v>0</v>
      </c>
      <c r="BG361" t="b">
        <v>0</v>
      </c>
      <c r="BJ361" t="s">
        <v>4320</v>
      </c>
      <c r="BK361" t="b">
        <v>0</v>
      </c>
      <c r="BM361" t="s">
        <v>65</v>
      </c>
      <c r="BN361" t="s">
        <v>4322</v>
      </c>
      <c r="BO361" s="79" t="str">
        <f>HYPERLINK("https://twitter.com/jimenezyoneli")</f>
        <v>https://twitter.com/jimenezyoneli</v>
      </c>
      <c r="BP361" s="112" t="str">
        <f>REPLACE(INDEX(GroupVertices[Group], MATCH("~"&amp;Vertices[[#This Row],[Vertex]],GroupVertices[Vertex],0)),1,1,"")</f>
        <v>3</v>
      </c>
      <c r="BQ361" s="2"/>
    </row>
    <row r="362" spans="1:69" x14ac:dyDescent="0.25">
      <c r="A362" s="61" t="s">
        <v>665</v>
      </c>
      <c r="B362" s="62"/>
      <c r="C362" s="62"/>
      <c r="D362" s="63">
        <v>1.5</v>
      </c>
      <c r="E362" s="65"/>
      <c r="F362" s="97" t="str">
        <f>HYPERLINK("https://pbs.twimg.com/profile_images/1755285168745504768/AOINncbI_normal.jpg")</f>
        <v>https://pbs.twimg.com/profile_images/1755285168745504768/AOINncbI_normal.jpg</v>
      </c>
      <c r="G362" s="62"/>
      <c r="H362" s="66"/>
      <c r="I362" s="67"/>
      <c r="J362" s="67"/>
      <c r="K362" s="66" t="s">
        <v>4666</v>
      </c>
      <c r="L362" s="70"/>
      <c r="M362" s="71">
        <v>6761.916015625</v>
      </c>
      <c r="N362" s="71">
        <v>6043.58984375</v>
      </c>
      <c r="O362" s="72"/>
      <c r="P362" s="73"/>
      <c r="Q362" s="73"/>
      <c r="R362" s="81"/>
      <c r="S362" s="45">
        <v>1</v>
      </c>
      <c r="T362" s="45">
        <v>0</v>
      </c>
      <c r="U362" s="46">
        <v>0</v>
      </c>
      <c r="V362" s="46">
        <v>1.5219E-2</v>
      </c>
      <c r="W362" s="47"/>
      <c r="X362" s="47"/>
      <c r="Y362" s="47"/>
      <c r="Z362" s="46"/>
      <c r="AA362" s="68">
        <v>362</v>
      </c>
      <c r="AB362"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62" s="69"/>
      <c r="AD362" t="s">
        <v>3024</v>
      </c>
      <c r="AE362" s="77" t="s">
        <v>2459</v>
      </c>
      <c r="AF362">
        <v>155446</v>
      </c>
      <c r="AG362">
        <v>6922</v>
      </c>
      <c r="AH362">
        <v>87287</v>
      </c>
      <c r="AI362">
        <v>846</v>
      </c>
      <c r="AJ362">
        <v>125071</v>
      </c>
      <c r="AK362">
        <v>8552</v>
      </c>
      <c r="AL362" t="b">
        <v>0</v>
      </c>
      <c r="AM362" s="76">
        <v>40579.830127314817</v>
      </c>
      <c r="AN362" t="s">
        <v>3565</v>
      </c>
      <c r="AO362" t="s">
        <v>3937</v>
      </c>
      <c r="AP362" s="79" t="str">
        <f>HYPERLINK("https://t.co/iEmNLq9kA0")</f>
        <v>https://t.co/iEmNLq9kA0</v>
      </c>
      <c r="AQ362" s="79" t="str">
        <f>HYPERLINK("https://miquelramos.me")</f>
        <v>https://miquelramos.me</v>
      </c>
      <c r="AR362" t="s">
        <v>4191</v>
      </c>
      <c r="AS362" s="79" t="str">
        <f>HYPERLINK("https://t.co/GQJNt95GJ6")</f>
        <v>https://t.co/GQJNt95GJ6</v>
      </c>
      <c r="AT362" s="79" t="str">
        <f>HYPERLINK("http://miquelramos.bsky.social")</f>
        <v>http://miquelramos.bsky.social</v>
      </c>
      <c r="AU362" t="s">
        <v>4306</v>
      </c>
      <c r="AV362">
        <v>1.7616915732201999E+18</v>
      </c>
      <c r="AW362" s="79" t="str">
        <f>HYPERLINK("https://t.co/iEmNLq9kA0")</f>
        <v>https://t.co/iEmNLq9kA0</v>
      </c>
      <c r="AX362" t="b">
        <v>0</v>
      </c>
      <c r="AZ362" t="b">
        <v>0</v>
      </c>
      <c r="BA362" t="b">
        <v>1</v>
      </c>
      <c r="BB362" t="b">
        <v>1</v>
      </c>
      <c r="BC362" t="b">
        <v>0</v>
      </c>
      <c r="BD362" t="b">
        <v>0</v>
      </c>
      <c r="BE362" t="b">
        <v>1</v>
      </c>
      <c r="BF362" t="b">
        <v>0</v>
      </c>
      <c r="BG362" t="b">
        <v>0</v>
      </c>
      <c r="BH362" s="79" t="str">
        <f>HYPERLINK("https://pbs.twimg.com/profile_banners/247888588/1710143638")</f>
        <v>https://pbs.twimg.com/profile_banners/247888588/1710143638</v>
      </c>
      <c r="BJ362" t="s">
        <v>4320</v>
      </c>
      <c r="BK362" t="b">
        <v>0</v>
      </c>
      <c r="BM362" t="s">
        <v>65</v>
      </c>
      <c r="BN362" t="s">
        <v>4322</v>
      </c>
      <c r="BO362" s="79" t="str">
        <f>HYPERLINK("https://twitter.com/miquel_r")</f>
        <v>https://twitter.com/miquel_r</v>
      </c>
      <c r="BP362" s="112" t="str">
        <f>REPLACE(INDEX(GroupVertices[Group], MATCH("~"&amp;Vertices[[#This Row],[Vertex]],GroupVertices[Vertex],0)),1,1,"")</f>
        <v>3</v>
      </c>
      <c r="BQ362" s="2"/>
    </row>
    <row r="363" spans="1:69" x14ac:dyDescent="0.25">
      <c r="A363" s="61" t="s">
        <v>399</v>
      </c>
      <c r="B363" s="62"/>
      <c r="C363" s="62"/>
      <c r="D363" s="63">
        <v>1.5</v>
      </c>
      <c r="E363" s="65"/>
      <c r="F363" s="97" t="str">
        <f>HYPERLINK("https://pbs.twimg.com/profile_images/1242453164273664001/PUpAthuP_normal.jpg")</f>
        <v>https://pbs.twimg.com/profile_images/1242453164273664001/PUpAthuP_normal.jpg</v>
      </c>
      <c r="G363" s="62"/>
      <c r="H363" s="66"/>
      <c r="I363" s="67"/>
      <c r="J363" s="67"/>
      <c r="K363" s="66" t="s">
        <v>4667</v>
      </c>
      <c r="L363" s="70"/>
      <c r="M363" s="71">
        <v>7476.85400390625</v>
      </c>
      <c r="N363" s="71">
        <v>6946.55078125</v>
      </c>
      <c r="O363" s="72"/>
      <c r="P363" s="73"/>
      <c r="Q363" s="73"/>
      <c r="R363" s="81"/>
      <c r="S363" s="45">
        <v>2</v>
      </c>
      <c r="T363" s="45">
        <v>1</v>
      </c>
      <c r="U363" s="46">
        <v>0</v>
      </c>
      <c r="V363" s="46">
        <v>2.0960000000000002E-3</v>
      </c>
      <c r="W363" s="47"/>
      <c r="X363" s="47"/>
      <c r="Y363" s="47"/>
      <c r="Z363" s="46"/>
      <c r="AA363" s="68">
        <v>363</v>
      </c>
      <c r="AB363"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63" s="69"/>
      <c r="AD363" t="s">
        <v>3025</v>
      </c>
      <c r="AE363" s="77" t="s">
        <v>3329</v>
      </c>
      <c r="AF363">
        <v>7583</v>
      </c>
      <c r="AG363">
        <v>942</v>
      </c>
      <c r="AH363">
        <v>10615</v>
      </c>
      <c r="AI363">
        <v>56</v>
      </c>
      <c r="AJ363">
        <v>10115</v>
      </c>
      <c r="AK363">
        <v>4094</v>
      </c>
      <c r="AL363" t="b">
        <v>0</v>
      </c>
      <c r="AM363" s="76">
        <v>40639.583773148152</v>
      </c>
      <c r="AN363" t="s">
        <v>3542</v>
      </c>
      <c r="AO363" t="s">
        <v>3938</v>
      </c>
      <c r="AP363" s="79" t="str">
        <f>HYPERLINK("https://t.co/VLQm9HCreS")</f>
        <v>https://t.co/VLQm9HCreS</v>
      </c>
      <c r="AQ363" s="79" t="str">
        <f>HYPERLINK("http://educacion.uc.cl/")</f>
        <v>http://educacion.uc.cl/</v>
      </c>
      <c r="AR363" t="s">
        <v>4192</v>
      </c>
      <c r="AW363" s="79" t="str">
        <f>HYPERLINK("https://t.co/VLQm9HCreS")</f>
        <v>https://t.co/VLQm9HCreS</v>
      </c>
      <c r="AX363" t="b">
        <v>0</v>
      </c>
      <c r="BA363" t="b">
        <v>1</v>
      </c>
      <c r="BB363" t="b">
        <v>0</v>
      </c>
      <c r="BC363" t="b">
        <v>0</v>
      </c>
      <c r="BD363" t="b">
        <v>0</v>
      </c>
      <c r="BE363" t="b">
        <v>1</v>
      </c>
      <c r="BF363" t="b">
        <v>0</v>
      </c>
      <c r="BG363" t="b">
        <v>0</v>
      </c>
      <c r="BH363" s="79" t="str">
        <f>HYPERLINK("https://pbs.twimg.com/profile_banners/278043436/1716213936")</f>
        <v>https://pbs.twimg.com/profile_banners/278043436/1716213936</v>
      </c>
      <c r="BJ363" t="s">
        <v>4320</v>
      </c>
      <c r="BK363" t="b">
        <v>0</v>
      </c>
      <c r="BM363" t="s">
        <v>66</v>
      </c>
      <c r="BN363" t="s">
        <v>4322</v>
      </c>
      <c r="BO363" s="79" t="str">
        <f>HYPERLINK("https://twitter.com/fac_educacionuc")</f>
        <v>https://twitter.com/fac_educacionuc</v>
      </c>
      <c r="BP363" s="112" t="str">
        <f>REPLACE(INDEX(GroupVertices[Group], MATCH("~"&amp;Vertices[[#This Row],[Vertex]],GroupVertices[Vertex],0)),1,1,"")</f>
        <v>89</v>
      </c>
      <c r="BQ363" s="2"/>
    </row>
    <row r="364" spans="1:69" x14ac:dyDescent="0.25">
      <c r="A364" s="61" t="s">
        <v>400</v>
      </c>
      <c r="B364" s="62"/>
      <c r="C364" s="62"/>
      <c r="D364" s="63">
        <v>1.5</v>
      </c>
      <c r="E364" s="65"/>
      <c r="F364" s="97" t="str">
        <f>HYPERLINK("https://pbs.twimg.com/profile_images/1637456872675450880/-nKArvqX_normal.jpg")</f>
        <v>https://pbs.twimg.com/profile_images/1637456872675450880/-nKArvqX_normal.jpg</v>
      </c>
      <c r="G364" s="62"/>
      <c r="H364" s="66"/>
      <c r="I364" s="67"/>
      <c r="J364" s="67"/>
      <c r="K364" s="66" t="s">
        <v>4668</v>
      </c>
      <c r="L364" s="70"/>
      <c r="M364" s="71">
        <v>5436.5166015625</v>
      </c>
      <c r="N364" s="71">
        <v>7804.4951171875</v>
      </c>
      <c r="O364" s="72"/>
      <c r="P364" s="73"/>
      <c r="Q364" s="73"/>
      <c r="R364" s="81"/>
      <c r="S364" s="45">
        <v>0</v>
      </c>
      <c r="T364" s="45">
        <v>1</v>
      </c>
      <c r="U364" s="46">
        <v>0</v>
      </c>
      <c r="V364" s="46">
        <v>2.0960000000000002E-3</v>
      </c>
      <c r="W364" s="47"/>
      <c r="X364" s="47"/>
      <c r="Y364" s="47"/>
      <c r="Z364" s="46"/>
      <c r="AA364" s="68">
        <v>364</v>
      </c>
      <c r="AB364"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64" s="69"/>
      <c r="AD364" t="s">
        <v>3026</v>
      </c>
      <c r="AE364" s="77" t="s">
        <v>3330</v>
      </c>
      <c r="AF364">
        <v>875</v>
      </c>
      <c r="AG364">
        <v>1488</v>
      </c>
      <c r="AH364">
        <v>10774</v>
      </c>
      <c r="AI364">
        <v>3</v>
      </c>
      <c r="AJ364">
        <v>38367</v>
      </c>
      <c r="AK364">
        <v>998</v>
      </c>
      <c r="AL364" t="b">
        <v>0</v>
      </c>
      <c r="AM364" s="76">
        <v>40182.643182870372</v>
      </c>
      <c r="AN364" t="s">
        <v>3542</v>
      </c>
      <c r="AO364" t="s">
        <v>3939</v>
      </c>
      <c r="AX364" t="b">
        <v>0</v>
      </c>
      <c r="BA364" t="b">
        <v>1</v>
      </c>
      <c r="BB364" t="b">
        <v>0</v>
      </c>
      <c r="BC364" t="b">
        <v>1</v>
      </c>
      <c r="BD364" t="b">
        <v>0</v>
      </c>
      <c r="BE364" t="b">
        <v>1</v>
      </c>
      <c r="BF364" t="b">
        <v>0</v>
      </c>
      <c r="BG364" t="b">
        <v>0</v>
      </c>
      <c r="BH364" s="79" t="str">
        <f>HYPERLINK("https://pbs.twimg.com/profile_banners/101785967/1613773068")</f>
        <v>https://pbs.twimg.com/profile_banners/101785967/1613773068</v>
      </c>
      <c r="BJ364" t="s">
        <v>4320</v>
      </c>
      <c r="BK364" t="b">
        <v>0</v>
      </c>
      <c r="BM364" t="s">
        <v>66</v>
      </c>
      <c r="BN364" t="s">
        <v>4322</v>
      </c>
      <c r="BO364" s="79" t="str">
        <f>HYPERLINK("https://twitter.com/gastudillos")</f>
        <v>https://twitter.com/gastudillos</v>
      </c>
      <c r="BP364" s="112" t="str">
        <f>REPLACE(INDEX(GroupVertices[Group], MATCH("~"&amp;Vertices[[#This Row],[Vertex]],GroupVertices[Vertex],0)),1,1,"")</f>
        <v>89</v>
      </c>
      <c r="BQ364" s="2"/>
    </row>
    <row r="365" spans="1:69" x14ac:dyDescent="0.25">
      <c r="A365" s="61" t="s">
        <v>666</v>
      </c>
      <c r="B365" s="62"/>
      <c r="C365" s="62"/>
      <c r="D365" s="63">
        <v>1.5</v>
      </c>
      <c r="E365" s="65"/>
      <c r="F365" s="97" t="str">
        <f>HYPERLINK("https://pbs.twimg.com/profile_images/1677814602992701441/jStj6omO_normal.jpg")</f>
        <v>https://pbs.twimg.com/profile_images/1677814602992701441/jStj6omO_normal.jpg</v>
      </c>
      <c r="G365" s="62"/>
      <c r="H365" s="66"/>
      <c r="I365" s="67"/>
      <c r="J365" s="67"/>
      <c r="K365" s="66" t="s">
        <v>4670</v>
      </c>
      <c r="L365" s="70"/>
      <c r="M365" s="71">
        <v>3226.528076171875</v>
      </c>
      <c r="N365" s="71">
        <v>2101.6787109375</v>
      </c>
      <c r="O365" s="72"/>
      <c r="P365" s="73"/>
      <c r="Q365" s="73"/>
      <c r="R365" s="81"/>
      <c r="S365" s="45">
        <v>1</v>
      </c>
      <c r="T365" s="45">
        <v>0</v>
      </c>
      <c r="U365" s="46">
        <v>0</v>
      </c>
      <c r="V365" s="46">
        <v>2.7950000000000002E-3</v>
      </c>
      <c r="W365" s="47"/>
      <c r="X365" s="47"/>
      <c r="Y365" s="47"/>
      <c r="Z365" s="46"/>
      <c r="AA365" s="68">
        <v>365</v>
      </c>
      <c r="AB365"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65" s="69"/>
      <c r="AD365" t="s">
        <v>3028</v>
      </c>
      <c r="AE365" s="77" t="s">
        <v>3331</v>
      </c>
      <c r="AF365">
        <v>1490415</v>
      </c>
      <c r="AG365">
        <v>516</v>
      </c>
      <c r="AH365">
        <v>516266</v>
      </c>
      <c r="AI365">
        <v>12875</v>
      </c>
      <c r="AJ365">
        <v>182</v>
      </c>
      <c r="AK365">
        <v>183930</v>
      </c>
      <c r="AL365" t="b">
        <v>0</v>
      </c>
      <c r="AM365" s="76">
        <v>40992.797523148147</v>
      </c>
      <c r="AO365" t="s">
        <v>3940</v>
      </c>
      <c r="AP365" s="79" t="str">
        <f>HYPERLINK("https://t.co/7GC0nQPsp0")</f>
        <v>https://t.co/7GC0nQPsp0</v>
      </c>
      <c r="AQ365" s="79" t="str">
        <f>HYPERLINK("http://www.eldiario.es")</f>
        <v>http://www.eldiario.es</v>
      </c>
      <c r="AR365" t="s">
        <v>4193</v>
      </c>
      <c r="AS365" s="79" t="str">
        <f>HYPERLINK("https://t.co/XRWo5gk4HC")</f>
        <v>https://t.co/XRWo5gk4HC</v>
      </c>
      <c r="AT365" s="79" t="str">
        <f>HYPERLINK("http://usuarios.eldiario.es/hazte_socio")</f>
        <v>http://usuarios.eldiario.es/hazte_socio</v>
      </c>
      <c r="AU365" t="s">
        <v>4307</v>
      </c>
      <c r="AV365">
        <v>1.92978180327279E+18</v>
      </c>
      <c r="AW365" s="79" t="str">
        <f>HYPERLINK("https://t.co/7GC0nQPsp0")</f>
        <v>https://t.co/7GC0nQPsp0</v>
      </c>
      <c r="AX365" t="b">
        <v>1</v>
      </c>
      <c r="AZ365" t="b">
        <v>0</v>
      </c>
      <c r="BA365" t="b">
        <v>0</v>
      </c>
      <c r="BB365" t="b">
        <v>1</v>
      </c>
      <c r="BC365" t="b">
        <v>0</v>
      </c>
      <c r="BD365" t="b">
        <v>0</v>
      </c>
      <c r="BE365" t="b">
        <v>1</v>
      </c>
      <c r="BF365" t="b">
        <v>0</v>
      </c>
      <c r="BG365" t="b">
        <v>0</v>
      </c>
      <c r="BH365" s="79" t="str">
        <f>HYPERLINK("https://pbs.twimg.com/profile_banners/535707261/1688857149")</f>
        <v>https://pbs.twimg.com/profile_banners/535707261/1688857149</v>
      </c>
      <c r="BJ365" t="s">
        <v>4320</v>
      </c>
      <c r="BK365" t="b">
        <v>0</v>
      </c>
      <c r="BM365" t="s">
        <v>65</v>
      </c>
      <c r="BN365" t="s">
        <v>4322</v>
      </c>
      <c r="BO365" s="79" t="str">
        <f>HYPERLINK("https://twitter.com/eldiarioes")</f>
        <v>https://twitter.com/eldiarioes</v>
      </c>
      <c r="BP365" s="112" t="str">
        <f>REPLACE(INDEX(GroupVertices[Group], MATCH("~"&amp;Vertices[[#This Row],[Vertex]],GroupVertices[Vertex],0)),1,1,"")</f>
        <v>32</v>
      </c>
      <c r="BQ365" s="2"/>
    </row>
    <row r="366" spans="1:69" x14ac:dyDescent="0.25">
      <c r="A366" s="61" t="s">
        <v>667</v>
      </c>
      <c r="B366" s="62"/>
      <c r="C366" s="62"/>
      <c r="D366" s="63">
        <v>1.5</v>
      </c>
      <c r="E366" s="65"/>
      <c r="F366" s="97" t="str">
        <f>HYPERLINK("https://pbs.twimg.com/profile_images/1721696885218443264/OB9f6fdh_normal.jpg")</f>
        <v>https://pbs.twimg.com/profile_images/1721696885218443264/OB9f6fdh_normal.jpg</v>
      </c>
      <c r="G366" s="62"/>
      <c r="H366" s="66"/>
      <c r="I366" s="67"/>
      <c r="J366" s="67"/>
      <c r="K366" s="66" t="s">
        <v>4671</v>
      </c>
      <c r="L366" s="70"/>
      <c r="M366" s="71">
        <v>7592.69921875</v>
      </c>
      <c r="N366" s="71">
        <v>3145.535888671875</v>
      </c>
      <c r="O366" s="72"/>
      <c r="P366" s="73"/>
      <c r="Q366" s="73"/>
      <c r="R366" s="81"/>
      <c r="S366" s="45">
        <v>1</v>
      </c>
      <c r="T366" s="45">
        <v>0</v>
      </c>
      <c r="U366" s="46">
        <v>0</v>
      </c>
      <c r="V366" s="46">
        <v>2.7950000000000002E-3</v>
      </c>
      <c r="W366" s="47"/>
      <c r="X366" s="47"/>
      <c r="Y366" s="47"/>
      <c r="Z366" s="46"/>
      <c r="AA366" s="68">
        <v>366</v>
      </c>
      <c r="AB366"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66" s="69"/>
      <c r="AD366" t="s">
        <v>3029</v>
      </c>
      <c r="AE366" s="77" t="s">
        <v>2460</v>
      </c>
      <c r="AF366">
        <v>3493</v>
      </c>
      <c r="AG366">
        <v>5023</v>
      </c>
      <c r="AH366">
        <v>24456</v>
      </c>
      <c r="AI366">
        <v>1</v>
      </c>
      <c r="AJ366">
        <v>30245</v>
      </c>
      <c r="AK366">
        <v>127</v>
      </c>
      <c r="AL366" t="b">
        <v>0</v>
      </c>
      <c r="AM366" s="76">
        <v>43595.560486111113</v>
      </c>
      <c r="AO366" t="s">
        <v>3941</v>
      </c>
      <c r="AX366" t="b">
        <v>0</v>
      </c>
      <c r="AZ366" t="b">
        <v>0</v>
      </c>
      <c r="BA366" t="b">
        <v>0</v>
      </c>
      <c r="BB366" t="b">
        <v>0</v>
      </c>
      <c r="BC366" t="b">
        <v>1</v>
      </c>
      <c r="BD366" t="b">
        <v>0</v>
      </c>
      <c r="BE366" t="b">
        <v>1</v>
      </c>
      <c r="BF366" t="b">
        <v>0</v>
      </c>
      <c r="BG366" t="b">
        <v>0</v>
      </c>
      <c r="BH366" s="79" t="str">
        <f>HYPERLINK("https://pbs.twimg.com/profile_banners/1126841091288965120/1702204441")</f>
        <v>https://pbs.twimg.com/profile_banners/1126841091288965120/1702204441</v>
      </c>
      <c r="BJ366" t="s">
        <v>4320</v>
      </c>
      <c r="BK366" t="b">
        <v>0</v>
      </c>
      <c r="BM366" t="s">
        <v>65</v>
      </c>
      <c r="BN366" t="s">
        <v>4322</v>
      </c>
      <c r="BO366" s="79" t="str">
        <f>HYPERLINK("https://twitter.com/abarra17353680")</f>
        <v>https://twitter.com/abarra17353680</v>
      </c>
      <c r="BP366" s="112" t="str">
        <f>REPLACE(INDEX(GroupVertices[Group], MATCH("~"&amp;Vertices[[#This Row],[Vertex]],GroupVertices[Vertex],0)),1,1,"")</f>
        <v>32</v>
      </c>
      <c r="BQ366" s="2"/>
    </row>
    <row r="367" spans="1:69" x14ac:dyDescent="0.25">
      <c r="A367" s="61" t="s">
        <v>402</v>
      </c>
      <c r="B367" s="62"/>
      <c r="C367" s="62"/>
      <c r="D367" s="63">
        <v>1.5</v>
      </c>
      <c r="E367" s="65"/>
      <c r="F367" s="97" t="str">
        <f>HYPERLINK("https://pbs.twimg.com/profile_images/1823782536327159808/1FDFqHX9_normal.jpg")</f>
        <v>https://pbs.twimg.com/profile_images/1823782536327159808/1FDFqHX9_normal.jpg</v>
      </c>
      <c r="G367" s="62"/>
      <c r="H367" s="66"/>
      <c r="I367" s="67"/>
      <c r="J367" s="67"/>
      <c r="K367" s="66" t="s">
        <v>4672</v>
      </c>
      <c r="L367" s="70"/>
      <c r="M367" s="71">
        <v>9664.033203125</v>
      </c>
      <c r="N367" s="71">
        <v>4964.064453125</v>
      </c>
      <c r="O367" s="72"/>
      <c r="P367" s="73"/>
      <c r="Q367" s="73"/>
      <c r="R367" s="81"/>
      <c r="S367" s="45">
        <v>1</v>
      </c>
      <c r="T367" s="45">
        <v>1</v>
      </c>
      <c r="U367" s="46">
        <v>0</v>
      </c>
      <c r="V367" s="46">
        <v>0</v>
      </c>
      <c r="W367" s="47"/>
      <c r="X367" s="47"/>
      <c r="Y367" s="47"/>
      <c r="Z367" s="46"/>
      <c r="AA367" s="68">
        <v>367</v>
      </c>
      <c r="AB367"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67" s="69"/>
      <c r="AD367" t="s">
        <v>3030</v>
      </c>
      <c r="AE367" s="77" t="s">
        <v>3332</v>
      </c>
      <c r="AF367">
        <v>34224</v>
      </c>
      <c r="AG367">
        <v>413</v>
      </c>
      <c r="AH367">
        <v>10794</v>
      </c>
      <c r="AI367">
        <v>124</v>
      </c>
      <c r="AJ367">
        <v>3494</v>
      </c>
      <c r="AK367">
        <v>5524</v>
      </c>
      <c r="AL367" t="b">
        <v>0</v>
      </c>
      <c r="AM367" s="76">
        <v>41415.603506944448</v>
      </c>
      <c r="AN367" t="s">
        <v>3566</v>
      </c>
      <c r="AO367" t="s">
        <v>3942</v>
      </c>
      <c r="AP367" s="79" t="str">
        <f>HYPERLINK("https://t.co/AFa1Inw4Fg")</f>
        <v>https://t.co/AFa1Inw4Fg</v>
      </c>
      <c r="AQ367" s="79" t="str">
        <f>HYPERLINK("http://ajulianalvarez.com.ar")</f>
        <v>http://ajulianalvarez.com.ar</v>
      </c>
      <c r="AR367" t="s">
        <v>4194</v>
      </c>
      <c r="AW367" s="79" t="str">
        <f>HYPERLINK("https://t.co/AFa1Inw4Fg")</f>
        <v>https://t.co/AFa1Inw4Fg</v>
      </c>
      <c r="AX367" t="b">
        <v>1</v>
      </c>
      <c r="BA367" t="b">
        <v>1</v>
      </c>
      <c r="BB367" t="b">
        <v>1</v>
      </c>
      <c r="BC367" t="b">
        <v>0</v>
      </c>
      <c r="BD367" t="b">
        <v>0</v>
      </c>
      <c r="BE367" t="b">
        <v>1</v>
      </c>
      <c r="BF367" t="b">
        <v>0</v>
      </c>
      <c r="BG367" t="b">
        <v>0</v>
      </c>
      <c r="BH367" s="79" t="str">
        <f>HYPERLINK("https://pbs.twimg.com/profile_banners/1446488246/1682522939")</f>
        <v>https://pbs.twimg.com/profile_banners/1446488246/1682522939</v>
      </c>
      <c r="BJ367" t="s">
        <v>4320</v>
      </c>
      <c r="BK367" t="b">
        <v>0</v>
      </c>
      <c r="BM367" t="s">
        <v>66</v>
      </c>
      <c r="BN367" t="s">
        <v>4322</v>
      </c>
      <c r="BO367" s="79" t="str">
        <f>HYPERLINK("https://twitter.com/ajulianalvarez")</f>
        <v>https://twitter.com/ajulianalvarez</v>
      </c>
      <c r="BP367" s="112" t="str">
        <f>REPLACE(INDEX(GroupVertices[Group], MATCH("~"&amp;Vertices[[#This Row],[Vertex]],GroupVertices[Vertex],0)),1,1,"")</f>
        <v>196</v>
      </c>
      <c r="BQ367" s="2"/>
    </row>
    <row r="368" spans="1:69" x14ac:dyDescent="0.25">
      <c r="A368" s="61" t="s">
        <v>403</v>
      </c>
      <c r="B368" s="62"/>
      <c r="C368" s="62"/>
      <c r="D368" s="63">
        <v>1.5</v>
      </c>
      <c r="E368" s="65"/>
      <c r="F368" s="97" t="str">
        <f>HYPERLINK("https://pbs.twimg.com/profile_images/1575201555581648896/yQENBFCV_normal.jpg")</f>
        <v>https://pbs.twimg.com/profile_images/1575201555581648896/yQENBFCV_normal.jpg</v>
      </c>
      <c r="G368" s="62"/>
      <c r="H368" s="66"/>
      <c r="I368" s="67"/>
      <c r="J368" s="67"/>
      <c r="K368" s="66" t="s">
        <v>4673</v>
      </c>
      <c r="L368" s="70"/>
      <c r="M368" s="71">
        <v>4018.316162109375</v>
      </c>
      <c r="N368" s="71">
        <v>2424.570556640625</v>
      </c>
      <c r="O368" s="72"/>
      <c r="P368" s="73"/>
      <c r="Q368" s="73"/>
      <c r="R368" s="81"/>
      <c r="S368" s="45">
        <v>2</v>
      </c>
      <c r="T368" s="45">
        <v>1</v>
      </c>
      <c r="U368" s="46">
        <v>0</v>
      </c>
      <c r="V368" s="46">
        <v>2.0960000000000002E-3</v>
      </c>
      <c r="W368" s="47"/>
      <c r="X368" s="47"/>
      <c r="Y368" s="47"/>
      <c r="Z368" s="46"/>
      <c r="AA368" s="68">
        <v>368</v>
      </c>
      <c r="AB368"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68" s="69"/>
      <c r="AD368" t="s">
        <v>3031</v>
      </c>
      <c r="AE368" s="77" t="s">
        <v>3333</v>
      </c>
      <c r="AF368">
        <v>100488</v>
      </c>
      <c r="AG368">
        <v>930</v>
      </c>
      <c r="AH368">
        <v>8187</v>
      </c>
      <c r="AI368">
        <v>600</v>
      </c>
      <c r="AJ368">
        <v>18813</v>
      </c>
      <c r="AK368">
        <v>440</v>
      </c>
      <c r="AL368" t="b">
        <v>0</v>
      </c>
      <c r="AM368" s="76">
        <v>40315.164537037039</v>
      </c>
      <c r="AN368" t="s">
        <v>3415</v>
      </c>
      <c r="AO368" t="s">
        <v>3943</v>
      </c>
      <c r="AX368" t="b">
        <v>1</v>
      </c>
      <c r="BA368" t="b">
        <v>1</v>
      </c>
      <c r="BB368" t="b">
        <v>0</v>
      </c>
      <c r="BC368" t="b">
        <v>1</v>
      </c>
      <c r="BD368" t="b">
        <v>0</v>
      </c>
      <c r="BE368" t="b">
        <v>0</v>
      </c>
      <c r="BF368" t="b">
        <v>0</v>
      </c>
      <c r="BG368" t="b">
        <v>0</v>
      </c>
      <c r="BH368" s="79" t="str">
        <f>HYPERLINK("https://pbs.twimg.com/profile_banners/144721801/1527909313")</f>
        <v>https://pbs.twimg.com/profile_banners/144721801/1527909313</v>
      </c>
      <c r="BJ368" t="s">
        <v>4320</v>
      </c>
      <c r="BK368" t="b">
        <v>0</v>
      </c>
      <c r="BM368" t="s">
        <v>66</v>
      </c>
      <c r="BN368" t="s">
        <v>4322</v>
      </c>
      <c r="BO368" s="79" t="str">
        <f>HYPERLINK("https://twitter.com/scherermar")</f>
        <v>https://twitter.com/scherermar</v>
      </c>
      <c r="BP368" s="112" t="str">
        <f>REPLACE(INDEX(GroupVertices[Group], MATCH("~"&amp;Vertices[[#This Row],[Vertex]],GroupVertices[Vertex],0)),1,1,"")</f>
        <v>41</v>
      </c>
      <c r="BQ368" s="2"/>
    </row>
    <row r="369" spans="1:69" x14ac:dyDescent="0.25">
      <c r="A369" s="61" t="s">
        <v>404</v>
      </c>
      <c r="B369" s="62"/>
      <c r="C369" s="62"/>
      <c r="D369" s="63">
        <v>1.5</v>
      </c>
      <c r="E369" s="65"/>
      <c r="F369" s="97" t="str">
        <f>HYPERLINK("https://pbs.twimg.com/profile_images/1838949615/J_Cortazar_normal.jpg")</f>
        <v>https://pbs.twimg.com/profile_images/1838949615/J_Cortazar_normal.jpg</v>
      </c>
      <c r="G369" s="62"/>
      <c r="H369" s="66"/>
      <c r="I369" s="67"/>
      <c r="J369" s="67"/>
      <c r="K369" s="66" t="s">
        <v>4674</v>
      </c>
      <c r="L369" s="70"/>
      <c r="M369" s="71">
        <v>1743.6270751953125</v>
      </c>
      <c r="N369" s="71">
        <v>1733.3731689453125</v>
      </c>
      <c r="O369" s="72"/>
      <c r="P369" s="73"/>
      <c r="Q369" s="73"/>
      <c r="R369" s="81"/>
      <c r="S369" s="45">
        <v>0</v>
      </c>
      <c r="T369" s="45">
        <v>1</v>
      </c>
      <c r="U369" s="46">
        <v>0</v>
      </c>
      <c r="V369" s="46">
        <v>2.0960000000000002E-3</v>
      </c>
      <c r="W369" s="47"/>
      <c r="X369" s="47"/>
      <c r="Y369" s="47"/>
      <c r="Z369" s="46"/>
      <c r="AA369" s="68">
        <v>369</v>
      </c>
      <c r="AB369"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69" s="69"/>
      <c r="AD369" t="s">
        <v>3032</v>
      </c>
      <c r="AE369" s="77" t="s">
        <v>3334</v>
      </c>
      <c r="AF369">
        <v>357</v>
      </c>
      <c r="AG369">
        <v>570</v>
      </c>
      <c r="AH369">
        <v>86035</v>
      </c>
      <c r="AI369">
        <v>4</v>
      </c>
      <c r="AJ369">
        <v>43169</v>
      </c>
      <c r="AK369">
        <v>385</v>
      </c>
      <c r="AL369" t="b">
        <v>0</v>
      </c>
      <c r="AM369" s="76">
        <v>40858.20140046296</v>
      </c>
      <c r="AN369" t="s">
        <v>3567</v>
      </c>
      <c r="AO369" t="s">
        <v>3944</v>
      </c>
      <c r="AX369" t="b">
        <v>0</v>
      </c>
      <c r="BA369" t="b">
        <v>0</v>
      </c>
      <c r="BB369" t="b">
        <v>1</v>
      </c>
      <c r="BC369" t="b">
        <v>1</v>
      </c>
      <c r="BD369" t="b">
        <v>0</v>
      </c>
      <c r="BE369" t="b">
        <v>1</v>
      </c>
      <c r="BF369" t="b">
        <v>0</v>
      </c>
      <c r="BG369" t="b">
        <v>0</v>
      </c>
      <c r="BJ369" t="s">
        <v>4320</v>
      </c>
      <c r="BK369" t="b">
        <v>0</v>
      </c>
      <c r="BM369" t="s">
        <v>66</v>
      </c>
      <c r="BN369" t="s">
        <v>4322</v>
      </c>
      <c r="BO369" s="79" t="str">
        <f>HYPERLINK("https://twitter.com/simapeter")</f>
        <v>https://twitter.com/simapeter</v>
      </c>
      <c r="BP369" s="112" t="str">
        <f>REPLACE(INDEX(GroupVertices[Group], MATCH("~"&amp;Vertices[[#This Row],[Vertex]],GroupVertices[Vertex],0)),1,1,"")</f>
        <v>41</v>
      </c>
      <c r="BQ369" s="2"/>
    </row>
    <row r="370" spans="1:69" x14ac:dyDescent="0.25">
      <c r="A370" s="61" t="s">
        <v>405</v>
      </c>
      <c r="B370" s="62"/>
      <c r="C370" s="62"/>
      <c r="D370" s="63">
        <v>1.5</v>
      </c>
      <c r="E370" s="65"/>
      <c r="F370" s="97" t="str">
        <f>HYPERLINK("https://pbs.twimg.com/profile_images/1922960415048310784/iDZQS92d_normal.jpg")</f>
        <v>https://pbs.twimg.com/profile_images/1922960415048310784/iDZQS92d_normal.jpg</v>
      </c>
      <c r="G370" s="62"/>
      <c r="H370" s="66"/>
      <c r="I370" s="67"/>
      <c r="J370" s="67"/>
      <c r="K370" s="66" t="s">
        <v>4675</v>
      </c>
      <c r="L370" s="70"/>
      <c r="M370" s="71">
        <v>481.32305908203125</v>
      </c>
      <c r="N370" s="71">
        <v>6502.359375</v>
      </c>
      <c r="O370" s="72"/>
      <c r="P370" s="73"/>
      <c r="Q370" s="73"/>
      <c r="R370" s="81"/>
      <c r="S370" s="45">
        <v>1</v>
      </c>
      <c r="T370" s="45">
        <v>1</v>
      </c>
      <c r="U370" s="46">
        <v>0</v>
      </c>
      <c r="V370" s="46">
        <v>0</v>
      </c>
      <c r="W370" s="47"/>
      <c r="X370" s="47"/>
      <c r="Y370" s="47"/>
      <c r="Z370" s="46"/>
      <c r="AA370" s="68">
        <v>370</v>
      </c>
      <c r="AB370"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70" s="69"/>
      <c r="AD370" t="s">
        <v>3033</v>
      </c>
      <c r="AE370" s="77" t="s">
        <v>3335</v>
      </c>
      <c r="AF370">
        <v>231</v>
      </c>
      <c r="AG370">
        <v>656</v>
      </c>
      <c r="AH370">
        <v>13475</v>
      </c>
      <c r="AI370">
        <v>1</v>
      </c>
      <c r="AJ370">
        <v>16935</v>
      </c>
      <c r="AK370">
        <v>1725</v>
      </c>
      <c r="AL370" t="b">
        <v>0</v>
      </c>
      <c r="AM370" s="76">
        <v>41276.402685185189</v>
      </c>
      <c r="AN370" t="s">
        <v>3568</v>
      </c>
      <c r="AO370" t="s">
        <v>3945</v>
      </c>
      <c r="AV370">
        <v>1.85121003300818E+18</v>
      </c>
      <c r="AX370" t="b">
        <v>0</v>
      </c>
      <c r="BA370" t="b">
        <v>0</v>
      </c>
      <c r="BB370" t="b">
        <v>0</v>
      </c>
      <c r="BC370" t="b">
        <v>1</v>
      </c>
      <c r="BD370" t="b">
        <v>0</v>
      </c>
      <c r="BE370" t="b">
        <v>1</v>
      </c>
      <c r="BF370" t="b">
        <v>0</v>
      </c>
      <c r="BG370" t="b">
        <v>0</v>
      </c>
      <c r="BH370" s="79" t="str">
        <f>HYPERLINK("https://pbs.twimg.com/profile_banners/1054663639/1739115376")</f>
        <v>https://pbs.twimg.com/profile_banners/1054663639/1739115376</v>
      </c>
      <c r="BJ370" t="s">
        <v>4320</v>
      </c>
      <c r="BK370" t="b">
        <v>0</v>
      </c>
      <c r="BM370" t="s">
        <v>66</v>
      </c>
      <c r="BN370" t="s">
        <v>4322</v>
      </c>
      <c r="BO370" s="79" t="str">
        <f>HYPERLINK("https://twitter.com/joscolon1")</f>
        <v>https://twitter.com/joscolon1</v>
      </c>
      <c r="BP370" s="112" t="str">
        <f>REPLACE(INDEX(GroupVertices[Group], MATCH("~"&amp;Vertices[[#This Row],[Vertex]],GroupVertices[Vertex],0)),1,1,"")</f>
        <v>189</v>
      </c>
      <c r="BQ370" s="2"/>
    </row>
    <row r="371" spans="1:69" x14ac:dyDescent="0.25">
      <c r="A371" s="61" t="s">
        <v>406</v>
      </c>
      <c r="B371" s="62"/>
      <c r="C371" s="62"/>
      <c r="D371" s="63">
        <v>1.5</v>
      </c>
      <c r="E371" s="65"/>
      <c r="F371" s="97" t="str">
        <f>HYPERLINK("https://pbs.twimg.com/profile_images/1031341992104677376/9RQr9-UP_normal.jpg")</f>
        <v>https://pbs.twimg.com/profile_images/1031341992104677376/9RQr9-UP_normal.jpg</v>
      </c>
      <c r="G371" s="62"/>
      <c r="H371" s="66"/>
      <c r="I371" s="67"/>
      <c r="J371" s="67"/>
      <c r="K371" s="66" t="s">
        <v>4676</v>
      </c>
      <c r="L371" s="70"/>
      <c r="M371" s="71">
        <v>1267.687255859375</v>
      </c>
      <c r="N371" s="71">
        <v>7766.951171875</v>
      </c>
      <c r="O371" s="72"/>
      <c r="P371" s="73"/>
      <c r="Q371" s="73"/>
      <c r="R371" s="81"/>
      <c r="S371" s="45">
        <v>1</v>
      </c>
      <c r="T371" s="45">
        <v>1</v>
      </c>
      <c r="U371" s="46">
        <v>0</v>
      </c>
      <c r="V371" s="46">
        <v>0</v>
      </c>
      <c r="W371" s="47"/>
      <c r="X371" s="47"/>
      <c r="Y371" s="47"/>
      <c r="Z371" s="46"/>
      <c r="AA371" s="68">
        <v>371</v>
      </c>
      <c r="AB371"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71" s="69"/>
      <c r="AD371" t="s">
        <v>3034</v>
      </c>
      <c r="AE371" s="77" t="s">
        <v>3336</v>
      </c>
      <c r="AF371">
        <v>8123</v>
      </c>
      <c r="AG371">
        <v>304</v>
      </c>
      <c r="AH371">
        <v>27910</v>
      </c>
      <c r="AI371">
        <v>57</v>
      </c>
      <c r="AJ371">
        <v>3833</v>
      </c>
      <c r="AK371">
        <v>3800</v>
      </c>
      <c r="AL371" t="b">
        <v>0</v>
      </c>
      <c r="AM371" s="76">
        <v>39944.950729166667</v>
      </c>
      <c r="AN371" t="s">
        <v>3504</v>
      </c>
      <c r="AO371" t="s">
        <v>3946</v>
      </c>
      <c r="AP371" s="79" t="str">
        <f>HYPERLINK("https://t.co/ISO4GyaPxC")</f>
        <v>https://t.co/ISO4GyaPxC</v>
      </c>
      <c r="AQ371" s="79" t="str">
        <f>HYPERLINK("https://www.elreporterodeiquique.com")</f>
        <v>https://www.elreporterodeiquique.com</v>
      </c>
      <c r="AR371" t="s">
        <v>1183</v>
      </c>
      <c r="AW371" s="79" t="str">
        <f>HYPERLINK("https://t.co/ISO4GyaPxC")</f>
        <v>https://t.co/ISO4GyaPxC</v>
      </c>
      <c r="AX371" t="b">
        <v>0</v>
      </c>
      <c r="BA371" t="b">
        <v>0</v>
      </c>
      <c r="BB371" t="b">
        <v>1</v>
      </c>
      <c r="BC371" t="b">
        <v>1</v>
      </c>
      <c r="BD371" t="b">
        <v>0</v>
      </c>
      <c r="BE371" t="b">
        <v>0</v>
      </c>
      <c r="BF371" t="b">
        <v>0</v>
      </c>
      <c r="BG371" t="b">
        <v>0</v>
      </c>
      <c r="BH371" s="79" t="str">
        <f>HYPERLINK("https://pbs.twimg.com/profile_banners/39364450/1534726095")</f>
        <v>https://pbs.twimg.com/profile_banners/39364450/1534726095</v>
      </c>
      <c r="BJ371" t="s">
        <v>4320</v>
      </c>
      <c r="BK371" t="b">
        <v>0</v>
      </c>
      <c r="BM371" t="s">
        <v>66</v>
      </c>
      <c r="BN371" t="s">
        <v>4322</v>
      </c>
      <c r="BO371" s="79" t="str">
        <f>HYPERLINK("https://twitter.com/reporteroiqq")</f>
        <v>https://twitter.com/reporteroiqq</v>
      </c>
      <c r="BP371" s="112" t="str">
        <f>REPLACE(INDEX(GroupVertices[Group], MATCH("~"&amp;Vertices[[#This Row],[Vertex]],GroupVertices[Vertex],0)),1,1,"")</f>
        <v>181</v>
      </c>
      <c r="BQ371" s="2"/>
    </row>
    <row r="372" spans="1:69" x14ac:dyDescent="0.25">
      <c r="A372" s="61" t="s">
        <v>407</v>
      </c>
      <c r="B372" s="62"/>
      <c r="C372" s="62"/>
      <c r="D372" s="63">
        <v>1.5</v>
      </c>
      <c r="E372" s="65"/>
      <c r="F372" s="97" t="str">
        <f>HYPERLINK("https://pbs.twimg.com/profile_images/1846893762015887360/dHJmR5Xm_normal.jpg")</f>
        <v>https://pbs.twimg.com/profile_images/1846893762015887360/dHJmR5Xm_normal.jpg</v>
      </c>
      <c r="G372" s="62"/>
      <c r="H372" s="66"/>
      <c r="I372" s="67"/>
      <c r="J372" s="67"/>
      <c r="K372" s="66" t="s">
        <v>4677</v>
      </c>
      <c r="L372" s="70"/>
      <c r="M372" s="71">
        <v>2567.935791015625</v>
      </c>
      <c r="N372" s="71">
        <v>1073.3807373046875</v>
      </c>
      <c r="O372" s="72"/>
      <c r="P372" s="73"/>
      <c r="Q372" s="73"/>
      <c r="R372" s="81"/>
      <c r="S372" s="45">
        <v>1</v>
      </c>
      <c r="T372" s="45">
        <v>1</v>
      </c>
      <c r="U372" s="46">
        <v>0</v>
      </c>
      <c r="V372" s="46">
        <v>0</v>
      </c>
      <c r="W372" s="47"/>
      <c r="X372" s="47"/>
      <c r="Y372" s="47"/>
      <c r="Z372" s="46"/>
      <c r="AA372" s="68">
        <v>372</v>
      </c>
      <c r="AB372"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72" s="69"/>
      <c r="AD372" t="s">
        <v>3035</v>
      </c>
      <c r="AE372" s="77" t="s">
        <v>2608</v>
      </c>
      <c r="AF372">
        <v>265</v>
      </c>
      <c r="AG372">
        <v>221</v>
      </c>
      <c r="AH372">
        <v>6826</v>
      </c>
      <c r="AI372">
        <v>0</v>
      </c>
      <c r="AJ372">
        <v>7597</v>
      </c>
      <c r="AK372">
        <v>636</v>
      </c>
      <c r="AL372" t="b">
        <v>0</v>
      </c>
      <c r="AM372" s="76">
        <v>44136.58829861111</v>
      </c>
      <c r="AO372" t="s">
        <v>3947</v>
      </c>
      <c r="AX372" t="b">
        <v>0</v>
      </c>
      <c r="BA372" t="b">
        <v>0</v>
      </c>
      <c r="BB372" t="b">
        <v>1</v>
      </c>
      <c r="BC372" t="b">
        <v>1</v>
      </c>
      <c r="BD372" t="b">
        <v>0</v>
      </c>
      <c r="BE372" t="b">
        <v>1</v>
      </c>
      <c r="BF372" t="b">
        <v>0</v>
      </c>
      <c r="BG372" t="b">
        <v>0</v>
      </c>
      <c r="BH372" s="79" t="str">
        <f>HYPERLINK("https://pbs.twimg.com/profile_banners/1322902872053481475/1667833554")</f>
        <v>https://pbs.twimg.com/profile_banners/1322902872053481475/1667833554</v>
      </c>
      <c r="BJ372" t="s">
        <v>4320</v>
      </c>
      <c r="BK372" t="b">
        <v>0</v>
      </c>
      <c r="BM372" t="s">
        <v>66</v>
      </c>
      <c r="BN372" t="s">
        <v>4322</v>
      </c>
      <c r="BO372" s="79" t="str">
        <f>HYPERLINK("https://twitter.com/palancopaola")</f>
        <v>https://twitter.com/palancopaola</v>
      </c>
      <c r="BP372" s="112" t="str">
        <f>REPLACE(INDEX(GroupVertices[Group], MATCH("~"&amp;Vertices[[#This Row],[Vertex]],GroupVertices[Vertex],0)),1,1,"")</f>
        <v>156</v>
      </c>
      <c r="BQ372" s="2"/>
    </row>
    <row r="373" spans="1:69" x14ac:dyDescent="0.25">
      <c r="A373" s="61" t="s">
        <v>668</v>
      </c>
      <c r="B373" s="62"/>
      <c r="C373" s="62"/>
      <c r="D373" s="63">
        <v>1.5</v>
      </c>
      <c r="E373" s="65"/>
      <c r="F373" s="97" t="str">
        <f>HYPERLINK("https://pbs.twimg.com/profile_images/1829060520965541888/3ljja_F8_normal.jpg")</f>
        <v>https://pbs.twimg.com/profile_images/1829060520965541888/3ljja_F8_normal.jpg</v>
      </c>
      <c r="G373" s="62"/>
      <c r="H373" s="66"/>
      <c r="I373" s="67"/>
      <c r="J373" s="67"/>
      <c r="K373" s="66" t="s">
        <v>4679</v>
      </c>
      <c r="L373" s="70"/>
      <c r="M373" s="71">
        <v>1659.8673095703125</v>
      </c>
      <c r="N373" s="71">
        <v>989.374267578125</v>
      </c>
      <c r="O373" s="72"/>
      <c r="P373" s="73"/>
      <c r="Q373" s="73"/>
      <c r="R373" s="81"/>
      <c r="S373" s="45">
        <v>1</v>
      </c>
      <c r="T373" s="45">
        <v>0</v>
      </c>
      <c r="U373" s="46">
        <v>0</v>
      </c>
      <c r="V373" s="46">
        <v>3.774E-3</v>
      </c>
      <c r="W373" s="47"/>
      <c r="X373" s="47"/>
      <c r="Y373" s="47"/>
      <c r="Z373" s="46"/>
      <c r="AA373" s="68">
        <v>373</v>
      </c>
      <c r="AB373"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73" s="69"/>
      <c r="AD373" t="s">
        <v>3037</v>
      </c>
      <c r="AE373" s="77" t="s">
        <v>3338</v>
      </c>
      <c r="AF373">
        <v>4421</v>
      </c>
      <c r="AG373">
        <v>614</v>
      </c>
      <c r="AH373">
        <v>7461</v>
      </c>
      <c r="AI373">
        <v>28</v>
      </c>
      <c r="AJ373">
        <v>4482</v>
      </c>
      <c r="AK373">
        <v>443</v>
      </c>
      <c r="AL373" t="b">
        <v>0</v>
      </c>
      <c r="AM373" s="76">
        <v>44096.336875000001</v>
      </c>
      <c r="AN373" t="s">
        <v>1769</v>
      </c>
      <c r="AO373" t="s">
        <v>3948</v>
      </c>
      <c r="AV373">
        <v>1.9113353287883899E+18</v>
      </c>
      <c r="AX373" t="b">
        <v>0</v>
      </c>
      <c r="AZ373" t="b">
        <v>0</v>
      </c>
      <c r="BA373" t="b">
        <v>1</v>
      </c>
      <c r="BB373" t="b">
        <v>0</v>
      </c>
      <c r="BC373" t="b">
        <v>1</v>
      </c>
      <c r="BD373" t="b">
        <v>0</v>
      </c>
      <c r="BE373" t="b">
        <v>1</v>
      </c>
      <c r="BF373" t="b">
        <v>0</v>
      </c>
      <c r="BG373" t="b">
        <v>0</v>
      </c>
      <c r="BH373" s="79" t="str">
        <f>HYPERLINK("https://pbs.twimg.com/profile_banners/1308316317041274880/1638653006")</f>
        <v>https://pbs.twimg.com/profile_banners/1308316317041274880/1638653006</v>
      </c>
      <c r="BJ373" t="s">
        <v>4320</v>
      </c>
      <c r="BK373" t="b">
        <v>0</v>
      </c>
      <c r="BM373" t="s">
        <v>65</v>
      </c>
      <c r="BN373" t="s">
        <v>4322</v>
      </c>
      <c r="BO373" s="79" t="str">
        <f>HYPERLINK("https://twitter.com/realidadesdiv")</f>
        <v>https://twitter.com/realidadesdiv</v>
      </c>
      <c r="BP373" s="112" t="str">
        <f>REPLACE(INDEX(GroupVertices[Group], MATCH("~"&amp;Vertices[[#This Row],[Vertex]],GroupVertices[Vertex],0)),1,1,"")</f>
        <v>25</v>
      </c>
      <c r="BQ373" s="2"/>
    </row>
    <row r="374" spans="1:69" x14ac:dyDescent="0.25">
      <c r="A374" s="61" t="s">
        <v>669</v>
      </c>
      <c r="B374" s="62"/>
      <c r="C374" s="62"/>
      <c r="D374" s="63">
        <v>1.5</v>
      </c>
      <c r="E374" s="65"/>
      <c r="F374" s="97" t="str">
        <f>HYPERLINK("https://pbs.twimg.com/profile_images/1754457777794080768/fHxuazAk_normal.jpg")</f>
        <v>https://pbs.twimg.com/profile_images/1754457777794080768/fHxuazAk_normal.jpg</v>
      </c>
      <c r="G374" s="62"/>
      <c r="H374" s="66"/>
      <c r="I374" s="67"/>
      <c r="J374" s="67"/>
      <c r="K374" s="66" t="s">
        <v>4680</v>
      </c>
      <c r="L374" s="70"/>
      <c r="M374" s="71">
        <v>2118.322998046875</v>
      </c>
      <c r="N374" s="71">
        <v>3656.074462890625</v>
      </c>
      <c r="O374" s="72"/>
      <c r="P374" s="73"/>
      <c r="Q374" s="73"/>
      <c r="R374" s="81"/>
      <c r="S374" s="45">
        <v>1</v>
      </c>
      <c r="T374" s="45">
        <v>0</v>
      </c>
      <c r="U374" s="46">
        <v>0</v>
      </c>
      <c r="V374" s="46">
        <v>3.774E-3</v>
      </c>
      <c r="W374" s="47"/>
      <c r="X374" s="47"/>
      <c r="Y374" s="47"/>
      <c r="Z374" s="46"/>
      <c r="AA374" s="68">
        <v>374</v>
      </c>
      <c r="AB374"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74" s="69"/>
      <c r="AD374" t="s">
        <v>3038</v>
      </c>
      <c r="AE374" s="77" t="s">
        <v>3339</v>
      </c>
      <c r="AF374">
        <v>7431</v>
      </c>
      <c r="AG374">
        <v>725</v>
      </c>
      <c r="AH374">
        <v>123585</v>
      </c>
      <c r="AI374">
        <v>0</v>
      </c>
      <c r="AJ374">
        <v>84287</v>
      </c>
      <c r="AK374">
        <v>10341</v>
      </c>
      <c r="AL374" t="b">
        <v>0</v>
      </c>
      <c r="AM374" s="76">
        <v>40421.919444444444</v>
      </c>
      <c r="AN374" t="s">
        <v>3431</v>
      </c>
      <c r="AO374" t="s">
        <v>3949</v>
      </c>
      <c r="AP374" s="79" t="str">
        <f>HYPERLINK("https://t.co/M60biE65rg")</f>
        <v>https://t.co/M60biE65rg</v>
      </c>
      <c r="AQ374" s="79" t="str">
        <f>HYPERLINK("http://lorzagirl.es")</f>
        <v>http://lorzagirl.es</v>
      </c>
      <c r="AR374" t="s">
        <v>4195</v>
      </c>
      <c r="AS374" s="79" t="str">
        <f>HYPERLINK("https://t.co/3SQsqImtjF")</f>
        <v>https://t.co/3SQsqImtjF</v>
      </c>
      <c r="AT374" s="79" t="str">
        <f>HYPERLINK("http://lektu.com/a/lorzagirl/86")</f>
        <v>http://lektu.com/a/lorzagirl/86</v>
      </c>
      <c r="AU374" t="s">
        <v>4308</v>
      </c>
      <c r="AW374" s="79" t="str">
        <f>HYPERLINK("https://t.co/M60biE65rg")</f>
        <v>https://t.co/M60biE65rg</v>
      </c>
      <c r="AX374" t="b">
        <v>0</v>
      </c>
      <c r="AZ374" t="b">
        <v>0</v>
      </c>
      <c r="BA374" t="b">
        <v>1</v>
      </c>
      <c r="BB374" t="b">
        <v>0</v>
      </c>
      <c r="BC374" t="b">
        <v>1</v>
      </c>
      <c r="BD374" t="b">
        <v>0</v>
      </c>
      <c r="BE374" t="b">
        <v>1</v>
      </c>
      <c r="BF374" t="b">
        <v>0</v>
      </c>
      <c r="BG374" t="b">
        <v>0</v>
      </c>
      <c r="BH374" s="79" t="str">
        <f>HYPERLINK("https://pbs.twimg.com/profile_banners/185396219/1736937998")</f>
        <v>https://pbs.twimg.com/profile_banners/185396219/1736937998</v>
      </c>
      <c r="BJ374" t="s">
        <v>4320</v>
      </c>
      <c r="BK374" t="b">
        <v>0</v>
      </c>
      <c r="BM374" t="s">
        <v>65</v>
      </c>
      <c r="BN374" t="s">
        <v>4322</v>
      </c>
      <c r="BO374" s="79" t="str">
        <f>HYPERLINK("https://twitter.com/lorzagirl")</f>
        <v>https://twitter.com/lorzagirl</v>
      </c>
      <c r="BP374" s="112" t="str">
        <f>REPLACE(INDEX(GroupVertices[Group], MATCH("~"&amp;Vertices[[#This Row],[Vertex]],GroupVertices[Vertex],0)),1,1,"")</f>
        <v>25</v>
      </c>
      <c r="BQ374" s="2"/>
    </row>
    <row r="375" spans="1:69" x14ac:dyDescent="0.25">
      <c r="A375" s="61" t="s">
        <v>670</v>
      </c>
      <c r="B375" s="62"/>
      <c r="C375" s="62"/>
      <c r="D375" s="63">
        <v>1.5</v>
      </c>
      <c r="E375" s="65"/>
      <c r="F375" s="97" t="str">
        <f>HYPERLINK("https://pbs.twimg.com/profile_images/1926633945656926208/jpMsFUIC_normal.jpg")</f>
        <v>https://pbs.twimg.com/profile_images/1926633945656926208/jpMsFUIC_normal.jpg</v>
      </c>
      <c r="G375" s="62"/>
      <c r="H375" s="66"/>
      <c r="I375" s="67"/>
      <c r="J375" s="67"/>
      <c r="K375" s="66" t="s">
        <v>4681</v>
      </c>
      <c r="L375" s="70"/>
      <c r="M375" s="71">
        <v>6190.77587890625</v>
      </c>
      <c r="N375" s="71">
        <v>807.278564453125</v>
      </c>
      <c r="O375" s="72"/>
      <c r="P375" s="73"/>
      <c r="Q375" s="73"/>
      <c r="R375" s="81"/>
      <c r="S375" s="45">
        <v>1</v>
      </c>
      <c r="T375" s="45">
        <v>0</v>
      </c>
      <c r="U375" s="46">
        <v>0</v>
      </c>
      <c r="V375" s="46">
        <v>3.774E-3</v>
      </c>
      <c r="W375" s="47"/>
      <c r="X375" s="47"/>
      <c r="Y375" s="47"/>
      <c r="Z375" s="46"/>
      <c r="AA375" s="68">
        <v>375</v>
      </c>
      <c r="AB375"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75" s="69"/>
      <c r="AD375" t="s">
        <v>3039</v>
      </c>
      <c r="AE375" s="77" t="s">
        <v>2461</v>
      </c>
      <c r="AF375">
        <v>87</v>
      </c>
      <c r="AG375">
        <v>294</v>
      </c>
      <c r="AH375">
        <v>4183</v>
      </c>
      <c r="AI375">
        <v>5</v>
      </c>
      <c r="AJ375">
        <v>25821</v>
      </c>
      <c r="AK375">
        <v>127</v>
      </c>
      <c r="AL375" t="b">
        <v>0</v>
      </c>
      <c r="AM375" s="76">
        <v>42347.663414351853</v>
      </c>
      <c r="AO375" t="s">
        <v>3950</v>
      </c>
      <c r="AX375" t="b">
        <v>0</v>
      </c>
      <c r="AZ375" t="b">
        <v>0</v>
      </c>
      <c r="BA375" t="b">
        <v>0</v>
      </c>
      <c r="BB375" t="b">
        <v>0</v>
      </c>
      <c r="BC375" t="b">
        <v>1</v>
      </c>
      <c r="BD375" t="b">
        <v>0</v>
      </c>
      <c r="BE375" t="b">
        <v>1</v>
      </c>
      <c r="BF375" t="b">
        <v>0</v>
      </c>
      <c r="BG375" t="b">
        <v>0</v>
      </c>
      <c r="BH375" s="79" t="str">
        <f>HYPERLINK("https://pbs.twimg.com/profile_banners/4428170668/1606414344")</f>
        <v>https://pbs.twimg.com/profile_banners/4428170668/1606414344</v>
      </c>
      <c r="BJ375" t="s">
        <v>4320</v>
      </c>
      <c r="BK375" t="b">
        <v>0</v>
      </c>
      <c r="BM375" t="s">
        <v>65</v>
      </c>
      <c r="BN375" t="s">
        <v>4322</v>
      </c>
      <c r="BO375" s="79" t="str">
        <f>HYPERLINK("https://twitter.com/scarlett_suzuya")</f>
        <v>https://twitter.com/scarlett_suzuya</v>
      </c>
      <c r="BP375" s="112" t="str">
        <f>REPLACE(INDEX(GroupVertices[Group], MATCH("~"&amp;Vertices[[#This Row],[Vertex]],GroupVertices[Vertex],0)),1,1,"")</f>
        <v>25</v>
      </c>
      <c r="BQ375" s="2"/>
    </row>
    <row r="376" spans="1:69" x14ac:dyDescent="0.25">
      <c r="A376" s="61" t="s">
        <v>409</v>
      </c>
      <c r="B376" s="62"/>
      <c r="C376" s="62"/>
      <c r="D376" s="63">
        <v>1.5</v>
      </c>
      <c r="E376" s="65"/>
      <c r="F376" s="97" t="str">
        <f>HYPERLINK("https://pbs.twimg.com/profile_images/1006564415687315458/EB4EDYFU_normal.jpg")</f>
        <v>https://pbs.twimg.com/profile_images/1006564415687315458/EB4EDYFU_normal.jpg</v>
      </c>
      <c r="G376" s="62"/>
      <c r="H376" s="66"/>
      <c r="I376" s="67"/>
      <c r="J376" s="67"/>
      <c r="K376" s="66" t="s">
        <v>4682</v>
      </c>
      <c r="L376" s="70"/>
      <c r="M376" s="71">
        <v>6725.33544921875</v>
      </c>
      <c r="N376" s="71">
        <v>5970.3544921875</v>
      </c>
      <c r="O376" s="72"/>
      <c r="P376" s="73"/>
      <c r="Q376" s="73"/>
      <c r="R376" s="81"/>
      <c r="S376" s="45">
        <v>0</v>
      </c>
      <c r="T376" s="45">
        <v>1</v>
      </c>
      <c r="U376" s="46">
        <v>0</v>
      </c>
      <c r="V376" s="46">
        <v>2.0960000000000002E-3</v>
      </c>
      <c r="W376" s="47"/>
      <c r="X376" s="47"/>
      <c r="Y376" s="47"/>
      <c r="Z376" s="46"/>
      <c r="AA376" s="68">
        <v>376</v>
      </c>
      <c r="AB376"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76" s="69"/>
      <c r="AD376" t="s">
        <v>3040</v>
      </c>
      <c r="AE376" s="77" t="s">
        <v>3340</v>
      </c>
      <c r="AF376">
        <v>153</v>
      </c>
      <c r="AG376">
        <v>411</v>
      </c>
      <c r="AH376">
        <v>7901</v>
      </c>
      <c r="AI376">
        <v>1</v>
      </c>
      <c r="AJ376">
        <v>41166</v>
      </c>
      <c r="AK376">
        <v>98</v>
      </c>
      <c r="AL376" t="b">
        <v>0</v>
      </c>
      <c r="AM376" s="76">
        <v>41532.665081018517</v>
      </c>
      <c r="AN376" t="s">
        <v>3569</v>
      </c>
      <c r="AX376" t="b">
        <v>0</v>
      </c>
      <c r="BA376" t="b">
        <v>0</v>
      </c>
      <c r="BB376" t="b">
        <v>1</v>
      </c>
      <c r="BC376" t="b">
        <v>1</v>
      </c>
      <c r="BD376" t="b">
        <v>0</v>
      </c>
      <c r="BE376" t="b">
        <v>1</v>
      </c>
      <c r="BF376" t="b">
        <v>0</v>
      </c>
      <c r="BG376" t="b">
        <v>0</v>
      </c>
      <c r="BH376" s="79" t="str">
        <f>HYPERLINK("https://pbs.twimg.com/profile_banners/1868253674/1538138742")</f>
        <v>https://pbs.twimg.com/profile_banners/1868253674/1538138742</v>
      </c>
      <c r="BJ376" t="s">
        <v>4320</v>
      </c>
      <c r="BK376" t="b">
        <v>0</v>
      </c>
      <c r="BM376" t="s">
        <v>66</v>
      </c>
      <c r="BN376" t="s">
        <v>4322</v>
      </c>
      <c r="BO376" s="79" t="str">
        <f>HYPERLINK("https://twitter.com/guiuinfo")</f>
        <v>https://twitter.com/guiuinfo</v>
      </c>
      <c r="BP376" s="112" t="str">
        <f>REPLACE(INDEX(GroupVertices[Group], MATCH("~"&amp;Vertices[[#This Row],[Vertex]],GroupVertices[Vertex],0)),1,1,"")</f>
        <v>70</v>
      </c>
      <c r="BQ376" s="2"/>
    </row>
    <row r="377" spans="1:69" x14ac:dyDescent="0.25">
      <c r="A377" s="61" t="s">
        <v>671</v>
      </c>
      <c r="B377" s="62"/>
      <c r="C377" s="62"/>
      <c r="D377" s="63">
        <v>1.5</v>
      </c>
      <c r="E377" s="65"/>
      <c r="F377" s="97" t="str">
        <f>HYPERLINK("https://pbs.twimg.com/profile_images/1731453674168229888/OTvaUrjo_normal.jpg")</f>
        <v>https://pbs.twimg.com/profile_images/1731453674168229888/OTvaUrjo_normal.jpg</v>
      </c>
      <c r="G377" s="62"/>
      <c r="H377" s="66"/>
      <c r="I377" s="67"/>
      <c r="J377" s="67"/>
      <c r="K377" s="66" t="s">
        <v>4683</v>
      </c>
      <c r="L377" s="70"/>
      <c r="M377" s="71">
        <v>7846.73681640625</v>
      </c>
      <c r="N377" s="71">
        <v>4190.03369140625</v>
      </c>
      <c r="O377" s="72"/>
      <c r="P377" s="73"/>
      <c r="Q377" s="73"/>
      <c r="R377" s="81"/>
      <c r="S377" s="45">
        <v>1</v>
      </c>
      <c r="T377" s="45">
        <v>0</v>
      </c>
      <c r="U377" s="46">
        <v>0</v>
      </c>
      <c r="V377" s="46">
        <v>2.0960000000000002E-3</v>
      </c>
      <c r="W377" s="47"/>
      <c r="X377" s="47"/>
      <c r="Y377" s="47"/>
      <c r="Z377" s="46"/>
      <c r="AA377" s="68">
        <v>377</v>
      </c>
      <c r="AB377"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77" s="69"/>
      <c r="AD377" t="s">
        <v>3041</v>
      </c>
      <c r="AE377" s="77" t="s">
        <v>2462</v>
      </c>
      <c r="AF377">
        <v>206417</v>
      </c>
      <c r="AG377">
        <v>4510</v>
      </c>
      <c r="AH377">
        <v>106372</v>
      </c>
      <c r="AI377">
        <v>1013</v>
      </c>
      <c r="AJ377">
        <v>100118</v>
      </c>
      <c r="AK377">
        <v>3554</v>
      </c>
      <c r="AL377" t="b">
        <v>0</v>
      </c>
      <c r="AM377" s="76">
        <v>42215.51971064815</v>
      </c>
      <c r="AN377" t="s">
        <v>3570</v>
      </c>
      <c r="AO377" t="s">
        <v>3951</v>
      </c>
      <c r="AX377" t="b">
        <v>0</v>
      </c>
      <c r="AZ377" t="b">
        <v>0</v>
      </c>
      <c r="BA377" t="b">
        <v>0</v>
      </c>
      <c r="BB377" t="b">
        <v>1</v>
      </c>
      <c r="BC377" t="b">
        <v>1</v>
      </c>
      <c r="BD377" t="b">
        <v>0</v>
      </c>
      <c r="BE377" t="b">
        <v>1</v>
      </c>
      <c r="BF377" t="b">
        <v>0</v>
      </c>
      <c r="BG377" t="b">
        <v>0</v>
      </c>
      <c r="BH377" s="79" t="str">
        <f>HYPERLINK("https://pbs.twimg.com/profile_banners/3395436645/1506918569")</f>
        <v>https://pbs.twimg.com/profile_banners/3395436645/1506918569</v>
      </c>
      <c r="BJ377" t="s">
        <v>4320</v>
      </c>
      <c r="BK377" t="b">
        <v>0</v>
      </c>
      <c r="BM377" t="s">
        <v>65</v>
      </c>
      <c r="BN377" t="s">
        <v>4322</v>
      </c>
      <c r="BO377" s="79" t="str">
        <f>HYPERLINK("https://twitter.com/antoniobanos_")</f>
        <v>https://twitter.com/antoniobanos_</v>
      </c>
      <c r="BP377" s="112" t="str">
        <f>REPLACE(INDEX(GroupVertices[Group], MATCH("~"&amp;Vertices[[#This Row],[Vertex]],GroupVertices[Vertex],0)),1,1,"")</f>
        <v>70</v>
      </c>
      <c r="BQ377" s="2"/>
    </row>
    <row r="378" spans="1:69" x14ac:dyDescent="0.25">
      <c r="A378" s="61" t="s">
        <v>411</v>
      </c>
      <c r="B378" s="62"/>
      <c r="C378" s="62"/>
      <c r="D378" s="63">
        <v>1.5</v>
      </c>
      <c r="E378" s="65"/>
      <c r="F378" s="97" t="str">
        <f>HYPERLINK("https://pbs.twimg.com/profile_images/1791977679844937728/2z4te_W__normal.jpg")</f>
        <v>https://pbs.twimg.com/profile_images/1791977679844937728/2z4te_W__normal.jpg</v>
      </c>
      <c r="G378" s="62"/>
      <c r="H378" s="66"/>
      <c r="I378" s="67"/>
      <c r="J378" s="67"/>
      <c r="K378" s="66" t="s">
        <v>4684</v>
      </c>
      <c r="L378" s="70"/>
      <c r="M378" s="71">
        <v>4499.38720703125</v>
      </c>
      <c r="N378" s="71">
        <v>2260.6845703125</v>
      </c>
      <c r="O378" s="72"/>
      <c r="P378" s="73"/>
      <c r="Q378" s="73"/>
      <c r="R378" s="81"/>
      <c r="S378" s="45">
        <v>0</v>
      </c>
      <c r="T378" s="45">
        <v>1</v>
      </c>
      <c r="U378" s="46">
        <v>0</v>
      </c>
      <c r="V378" s="46">
        <v>8.9449999999999998E-3</v>
      </c>
      <c r="W378" s="47"/>
      <c r="X378" s="47"/>
      <c r="Y378" s="47"/>
      <c r="Z378" s="46"/>
      <c r="AA378" s="68">
        <v>378</v>
      </c>
      <c r="AB378"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78" s="69"/>
      <c r="AD378" t="s">
        <v>411</v>
      </c>
      <c r="AE378" s="77" t="s">
        <v>2609</v>
      </c>
      <c r="AF378">
        <v>40</v>
      </c>
      <c r="AG378">
        <v>30</v>
      </c>
      <c r="AH378">
        <v>6423</v>
      </c>
      <c r="AI378">
        <v>1</v>
      </c>
      <c r="AJ378">
        <v>3308</v>
      </c>
      <c r="AK378">
        <v>77</v>
      </c>
      <c r="AL378" t="b">
        <v>0</v>
      </c>
      <c r="AM378" s="76">
        <v>45430.987233796295</v>
      </c>
      <c r="AX378" t="b">
        <v>0</v>
      </c>
      <c r="BA378" t="b">
        <v>0</v>
      </c>
      <c r="BB378" t="b">
        <v>1</v>
      </c>
      <c r="BC378" t="b">
        <v>1</v>
      </c>
      <c r="BD378" t="b">
        <v>0</v>
      </c>
      <c r="BE378" t="b">
        <v>0</v>
      </c>
      <c r="BF378" t="b">
        <v>0</v>
      </c>
      <c r="BG378" t="b">
        <v>0</v>
      </c>
      <c r="BJ378" t="s">
        <v>4320</v>
      </c>
      <c r="BK378" t="b">
        <v>0</v>
      </c>
      <c r="BM378" t="s">
        <v>66</v>
      </c>
      <c r="BN378" t="s">
        <v>4322</v>
      </c>
      <c r="BO378" s="79" t="str">
        <f>HYPERLINK("https://twitter.com/igna_iquique22")</f>
        <v>https://twitter.com/igna_iquique22</v>
      </c>
      <c r="BP378" s="112" t="str">
        <f>REPLACE(INDEX(GroupVertices[Group], MATCH("~"&amp;Vertices[[#This Row],[Vertex]],GroupVertices[Vertex],0)),1,1,"")</f>
        <v>7</v>
      </c>
      <c r="BQ378" s="2"/>
    </row>
    <row r="379" spans="1:69" x14ac:dyDescent="0.25">
      <c r="A379" s="61" t="s">
        <v>412</v>
      </c>
      <c r="B379" s="62"/>
      <c r="C379" s="62"/>
      <c r="D379" s="63">
        <v>1.5</v>
      </c>
      <c r="E379" s="65"/>
      <c r="F379" s="97" t="str">
        <f>HYPERLINK("https://pbs.twimg.com/profile_images/1774769382809276416/G6UKR6dz_normal.jpg")</f>
        <v>https://pbs.twimg.com/profile_images/1774769382809276416/G6UKR6dz_normal.jpg</v>
      </c>
      <c r="G379" s="62"/>
      <c r="H379" s="66"/>
      <c r="I379" s="67"/>
      <c r="J379" s="67"/>
      <c r="K379" s="66" t="s">
        <v>4685</v>
      </c>
      <c r="L379" s="70"/>
      <c r="M379" s="71">
        <v>537.660888671875</v>
      </c>
      <c r="N379" s="71">
        <v>4354.2998046875</v>
      </c>
      <c r="O379" s="72"/>
      <c r="P379" s="73"/>
      <c r="Q379" s="73"/>
      <c r="R379" s="81"/>
      <c r="S379" s="45">
        <v>2</v>
      </c>
      <c r="T379" s="45">
        <v>1</v>
      </c>
      <c r="U379" s="46">
        <v>0</v>
      </c>
      <c r="V379" s="46">
        <v>2.0960000000000002E-3</v>
      </c>
      <c r="W379" s="47"/>
      <c r="X379" s="47"/>
      <c r="Y379" s="47"/>
      <c r="Z379" s="46"/>
      <c r="AA379" s="68">
        <v>379</v>
      </c>
      <c r="AB379"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79" s="69"/>
      <c r="AD379" t="s">
        <v>3042</v>
      </c>
      <c r="AE379" s="77" t="s">
        <v>3341</v>
      </c>
      <c r="AF379">
        <v>366258</v>
      </c>
      <c r="AG379">
        <v>4485</v>
      </c>
      <c r="AH379">
        <v>181469</v>
      </c>
      <c r="AI379">
        <v>1622</v>
      </c>
      <c r="AJ379">
        <v>76391</v>
      </c>
      <c r="AK379">
        <v>6237</v>
      </c>
      <c r="AL379" t="b">
        <v>0</v>
      </c>
      <c r="AM379" s="76">
        <v>40566.735578703701</v>
      </c>
      <c r="AN379" t="s">
        <v>3431</v>
      </c>
      <c r="AO379" t="s">
        <v>3952</v>
      </c>
      <c r="AV379">
        <v>1.9259493277818501E+18</v>
      </c>
      <c r="AX379" t="b">
        <v>1</v>
      </c>
      <c r="BA379" t="b">
        <v>0</v>
      </c>
      <c r="BB379" t="b">
        <v>0</v>
      </c>
      <c r="BC379" t="b">
        <v>1</v>
      </c>
      <c r="BD379" t="b">
        <v>0</v>
      </c>
      <c r="BE379" t="b">
        <v>1</v>
      </c>
      <c r="BF379" t="b">
        <v>0</v>
      </c>
      <c r="BG379" t="b">
        <v>0</v>
      </c>
      <c r="BH379" s="79" t="str">
        <f>HYPERLINK("https://pbs.twimg.com/profile_banners/241993704/1712927903")</f>
        <v>https://pbs.twimg.com/profile_banners/241993704/1712927903</v>
      </c>
      <c r="BJ379" t="s">
        <v>4320</v>
      </c>
      <c r="BK379" t="b">
        <v>0</v>
      </c>
      <c r="BM379" t="s">
        <v>66</v>
      </c>
      <c r="BN379" t="s">
        <v>4322</v>
      </c>
      <c r="BO379" s="79" t="str">
        <f>HYPERLINK("https://twitter.com/ldpsincomplejos")</f>
        <v>https://twitter.com/ldpsincomplejos</v>
      </c>
      <c r="BP379" s="112" t="str">
        <f>REPLACE(INDEX(GroupVertices[Group], MATCH("~"&amp;Vertices[[#This Row],[Vertex]],GroupVertices[Vertex],0)),1,1,"")</f>
        <v>84</v>
      </c>
      <c r="BQ379" s="2"/>
    </row>
    <row r="380" spans="1:69" x14ac:dyDescent="0.25">
      <c r="A380" s="61" t="s">
        <v>413</v>
      </c>
      <c r="B380" s="62"/>
      <c r="C380" s="62"/>
      <c r="D380" s="63">
        <v>1.5</v>
      </c>
      <c r="E380" s="65"/>
      <c r="F380" s="97" t="str">
        <f>HYPERLINK("https://pbs.twimg.com/profile_images/1777335243655004160/9eCuOQwV_normal.jpg")</f>
        <v>https://pbs.twimg.com/profile_images/1777335243655004160/9eCuOQwV_normal.jpg</v>
      </c>
      <c r="G380" s="62"/>
      <c r="H380" s="66"/>
      <c r="I380" s="67"/>
      <c r="J380" s="67"/>
      <c r="K380" s="66" t="s">
        <v>4686</v>
      </c>
      <c r="L380" s="70"/>
      <c r="M380" s="71">
        <v>926.01080322265625</v>
      </c>
      <c r="N380" s="71">
        <v>7090.265625</v>
      </c>
      <c r="O380" s="72"/>
      <c r="P380" s="73"/>
      <c r="Q380" s="73"/>
      <c r="R380" s="81"/>
      <c r="S380" s="45">
        <v>0</v>
      </c>
      <c r="T380" s="45">
        <v>1</v>
      </c>
      <c r="U380" s="46">
        <v>0</v>
      </c>
      <c r="V380" s="46">
        <v>2.0960000000000002E-3</v>
      </c>
      <c r="W380" s="47"/>
      <c r="X380" s="47"/>
      <c r="Y380" s="47"/>
      <c r="Z380" s="46"/>
      <c r="AA380" s="68">
        <v>380</v>
      </c>
      <c r="AB380"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80" s="69"/>
      <c r="AD380" t="s">
        <v>3043</v>
      </c>
      <c r="AE380" s="77" t="s">
        <v>3342</v>
      </c>
      <c r="AF380">
        <v>1900</v>
      </c>
      <c r="AG380">
        <v>1945</v>
      </c>
      <c r="AH380">
        <v>10449</v>
      </c>
      <c r="AI380">
        <v>2</v>
      </c>
      <c r="AJ380">
        <v>65095</v>
      </c>
      <c r="AK380">
        <v>3254</v>
      </c>
      <c r="AL380" t="b">
        <v>0</v>
      </c>
      <c r="AM380" s="76">
        <v>40846.491122685184</v>
      </c>
      <c r="AN380" t="s">
        <v>3571</v>
      </c>
      <c r="AO380" t="s">
        <v>3953</v>
      </c>
      <c r="AV380">
        <v>1.90632273671821E+18</v>
      </c>
      <c r="AX380" t="b">
        <v>0</v>
      </c>
      <c r="BA380" t="b">
        <v>0</v>
      </c>
      <c r="BB380" t="b">
        <v>1</v>
      </c>
      <c r="BC380" t="b">
        <v>1</v>
      </c>
      <c r="BD380" t="b">
        <v>0</v>
      </c>
      <c r="BE380" t="b">
        <v>0</v>
      </c>
      <c r="BF380" t="b">
        <v>0</v>
      </c>
      <c r="BG380" t="b">
        <v>0</v>
      </c>
      <c r="BH380" s="79" t="str">
        <f>HYPERLINK("https://pbs.twimg.com/profile_banners/401333458/1612025486")</f>
        <v>https://pbs.twimg.com/profile_banners/401333458/1612025486</v>
      </c>
      <c r="BJ380" t="s">
        <v>4320</v>
      </c>
      <c r="BK380" t="b">
        <v>0</v>
      </c>
      <c r="BM380" t="s">
        <v>66</v>
      </c>
      <c r="BN380" t="s">
        <v>4322</v>
      </c>
      <c r="BO380" s="79" t="str">
        <f>HYPERLINK("https://twitter.com/martabravogarci")</f>
        <v>https://twitter.com/martabravogarci</v>
      </c>
      <c r="BP380" s="112" t="str">
        <f>REPLACE(INDEX(GroupVertices[Group], MATCH("~"&amp;Vertices[[#This Row],[Vertex]],GroupVertices[Vertex],0)),1,1,"")</f>
        <v>84</v>
      </c>
      <c r="BQ380" s="2"/>
    </row>
    <row r="381" spans="1:69" x14ac:dyDescent="0.25">
      <c r="A381" s="61" t="s">
        <v>672</v>
      </c>
      <c r="B381" s="62"/>
      <c r="C381" s="62"/>
      <c r="D381" s="63">
        <v>1.5</v>
      </c>
      <c r="E381" s="65"/>
      <c r="F381" s="97" t="str">
        <f>HYPERLINK("https://pbs.twimg.com/profile_images/1821193734203023360/DoQhuzVA_normal.jpg")</f>
        <v>https://pbs.twimg.com/profile_images/1821193734203023360/DoQhuzVA_normal.jpg</v>
      </c>
      <c r="G381" s="62"/>
      <c r="H381" s="66"/>
      <c r="I381" s="67"/>
      <c r="J381" s="67"/>
      <c r="K381" s="66" t="s">
        <v>4688</v>
      </c>
      <c r="L381" s="70"/>
      <c r="M381" s="71">
        <v>1997.958251953125</v>
      </c>
      <c r="N381" s="71">
        <v>8407.2353515625</v>
      </c>
      <c r="O381" s="72"/>
      <c r="P381" s="73"/>
      <c r="Q381" s="73"/>
      <c r="R381" s="81"/>
      <c r="S381" s="45">
        <v>1</v>
      </c>
      <c r="T381" s="45">
        <v>0</v>
      </c>
      <c r="U381" s="46">
        <v>0</v>
      </c>
      <c r="V381" s="46">
        <v>5.391E-3</v>
      </c>
      <c r="W381" s="47"/>
      <c r="X381" s="47"/>
      <c r="Y381" s="47"/>
      <c r="Z381" s="46"/>
      <c r="AA381" s="68">
        <v>381</v>
      </c>
      <c r="AB381"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81" s="69"/>
      <c r="AD381" t="s">
        <v>3045</v>
      </c>
      <c r="AE381" s="77" t="s">
        <v>2464</v>
      </c>
      <c r="AF381">
        <v>27</v>
      </c>
      <c r="AG381">
        <v>83</v>
      </c>
      <c r="AH381">
        <v>3545</v>
      </c>
      <c r="AI381">
        <v>0</v>
      </c>
      <c r="AJ381">
        <v>376</v>
      </c>
      <c r="AK381">
        <v>315</v>
      </c>
      <c r="AL381" t="b">
        <v>0</v>
      </c>
      <c r="AM381" s="76">
        <v>42878.96947916667</v>
      </c>
      <c r="AN381" t="s">
        <v>3573</v>
      </c>
      <c r="AO381" t="s">
        <v>3955</v>
      </c>
      <c r="AX381" t="b">
        <v>0</v>
      </c>
      <c r="AZ381" t="b">
        <v>0</v>
      </c>
      <c r="BA381" t="b">
        <v>0</v>
      </c>
      <c r="BB381" t="b">
        <v>1</v>
      </c>
      <c r="BC381" t="b">
        <v>1</v>
      </c>
      <c r="BD381" t="b">
        <v>0</v>
      </c>
      <c r="BE381" t="b">
        <v>0</v>
      </c>
      <c r="BF381" t="b">
        <v>0</v>
      </c>
      <c r="BG381" t="b">
        <v>0</v>
      </c>
      <c r="BH381" s="79" t="str">
        <f>HYPERLINK("https://pbs.twimg.com/profile_banners/867157204318789637/1495581910")</f>
        <v>https://pbs.twimg.com/profile_banners/867157204318789637/1495581910</v>
      </c>
      <c r="BJ381" t="s">
        <v>4320</v>
      </c>
      <c r="BK381" t="b">
        <v>0</v>
      </c>
      <c r="BM381" t="s">
        <v>65</v>
      </c>
      <c r="BN381" t="s">
        <v>4322</v>
      </c>
      <c r="BO381" s="79" t="str">
        <f>HYPERLINK("https://twitter.com/kanano76")</f>
        <v>https://twitter.com/kanano76</v>
      </c>
      <c r="BP381" s="112" t="str">
        <f>REPLACE(INDEX(GroupVertices[Group], MATCH("~"&amp;Vertices[[#This Row],[Vertex]],GroupVertices[Vertex],0)),1,1,"")</f>
        <v>9</v>
      </c>
      <c r="BQ381" s="2"/>
    </row>
    <row r="382" spans="1:69" x14ac:dyDescent="0.25">
      <c r="A382" s="61" t="s">
        <v>415</v>
      </c>
      <c r="B382" s="62"/>
      <c r="C382" s="62"/>
      <c r="D382" s="63">
        <v>1.5</v>
      </c>
      <c r="E382" s="65"/>
      <c r="F382" s="97" t="str">
        <f>HYPERLINK("https://pbs.twimg.com/profile_images/1838198821668417536/UazKPZ5L_normal.jpg")</f>
        <v>https://pbs.twimg.com/profile_images/1838198821668417536/UazKPZ5L_normal.jpg</v>
      </c>
      <c r="G382" s="62"/>
      <c r="H382" s="66"/>
      <c r="I382" s="67"/>
      <c r="J382" s="67"/>
      <c r="K382" s="66" t="s">
        <v>4689</v>
      </c>
      <c r="L382" s="70"/>
      <c r="M382" s="71">
        <v>8213.455078125</v>
      </c>
      <c r="N382" s="71">
        <v>9068.25</v>
      </c>
      <c r="O382" s="72"/>
      <c r="P382" s="73"/>
      <c r="Q382" s="73"/>
      <c r="R382" s="81"/>
      <c r="S382" s="45">
        <v>1</v>
      </c>
      <c r="T382" s="45">
        <v>1</v>
      </c>
      <c r="U382" s="46">
        <v>0</v>
      </c>
      <c r="V382" s="46">
        <v>0</v>
      </c>
      <c r="W382" s="47"/>
      <c r="X382" s="47"/>
      <c r="Y382" s="47"/>
      <c r="Z382" s="46"/>
      <c r="AA382" s="68">
        <v>382</v>
      </c>
      <c r="AB382"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82" s="69"/>
      <c r="AD382" t="s">
        <v>3046</v>
      </c>
      <c r="AE382" s="77" t="s">
        <v>3343</v>
      </c>
      <c r="AF382">
        <v>1927891</v>
      </c>
      <c r="AG382">
        <v>689</v>
      </c>
      <c r="AH382">
        <v>63841</v>
      </c>
      <c r="AI382">
        <v>4288</v>
      </c>
      <c r="AJ382">
        <v>13323</v>
      </c>
      <c r="AK382">
        <v>23684</v>
      </c>
      <c r="AL382" t="b">
        <v>0</v>
      </c>
      <c r="AM382" s="76">
        <v>39956.90284722222</v>
      </c>
      <c r="AN382" t="s">
        <v>3400</v>
      </c>
      <c r="AO382" t="s">
        <v>3956</v>
      </c>
      <c r="AP382" s="79" t="str">
        <f>HYPERLINK("https://t.co/Nf0sqdEGZh")</f>
        <v>https://t.co/Nf0sqdEGZh</v>
      </c>
      <c r="AQ382" s="79" t="str">
        <f>HYPERLINK("https://www.gob.cl/")</f>
        <v>https://www.gob.cl/</v>
      </c>
      <c r="AR382" t="s">
        <v>4196</v>
      </c>
      <c r="AV382">
        <v>1.9292618363035799E+18</v>
      </c>
      <c r="AW382" s="79" t="str">
        <f>HYPERLINK("https://t.co/Nf0sqdEGZh")</f>
        <v>https://t.co/Nf0sqdEGZh</v>
      </c>
      <c r="AX382" t="b">
        <v>1</v>
      </c>
      <c r="AZ382" t="b">
        <v>1</v>
      </c>
      <c r="BA382" t="b">
        <v>0</v>
      </c>
      <c r="BB382" t="b">
        <v>1</v>
      </c>
      <c r="BC382" t="b">
        <v>0</v>
      </c>
      <c r="BD382" t="b">
        <v>0</v>
      </c>
      <c r="BE382" t="b">
        <v>1</v>
      </c>
      <c r="BF382" t="b">
        <v>0</v>
      </c>
      <c r="BG382" t="b">
        <v>0</v>
      </c>
      <c r="BH382" s="79" t="str">
        <f>HYPERLINK("https://pbs.twimg.com/profile_banners/42102939/1748782838")</f>
        <v>https://pbs.twimg.com/profile_banners/42102939/1748782838</v>
      </c>
      <c r="BJ382" t="s">
        <v>4320</v>
      </c>
      <c r="BK382" t="b">
        <v>1</v>
      </c>
      <c r="BM382" t="s">
        <v>66</v>
      </c>
      <c r="BN382" t="s">
        <v>4322</v>
      </c>
      <c r="BO382" s="79" t="str">
        <f>HYPERLINK("https://twitter.com/gobiernodechile")</f>
        <v>https://twitter.com/gobiernodechile</v>
      </c>
      <c r="BP382" s="112" t="str">
        <f>REPLACE(INDEX(GroupVertices[Group], MATCH("~"&amp;Vertices[[#This Row],[Vertex]],GroupVertices[Vertex],0)),1,1,"")</f>
        <v>210</v>
      </c>
      <c r="BQ382" s="2"/>
    </row>
    <row r="383" spans="1:69" x14ac:dyDescent="0.25">
      <c r="A383" s="61" t="s">
        <v>416</v>
      </c>
      <c r="B383" s="62"/>
      <c r="C383" s="62"/>
      <c r="D383" s="63">
        <v>1.5</v>
      </c>
      <c r="E383" s="65"/>
      <c r="F383" s="97" t="str">
        <f>HYPERLINK("https://pbs.twimg.com/profile_images/1762917124257845248/GkkAX8i9_normal.jpg")</f>
        <v>https://pbs.twimg.com/profile_images/1762917124257845248/GkkAX8i9_normal.jpg</v>
      </c>
      <c r="G383" s="62"/>
      <c r="H383" s="66"/>
      <c r="I383" s="67"/>
      <c r="J383" s="67"/>
      <c r="K383" s="66" t="s">
        <v>4690</v>
      </c>
      <c r="L383" s="70"/>
      <c r="M383" s="71">
        <v>9674.763671875</v>
      </c>
      <c r="N383" s="71">
        <v>3854.33447265625</v>
      </c>
      <c r="O383" s="72"/>
      <c r="P383" s="73"/>
      <c r="Q383" s="73"/>
      <c r="R383" s="81"/>
      <c r="S383" s="45">
        <v>1</v>
      </c>
      <c r="T383" s="45">
        <v>1</v>
      </c>
      <c r="U383" s="46">
        <v>0</v>
      </c>
      <c r="V383" s="46">
        <v>0</v>
      </c>
      <c r="W383" s="47"/>
      <c r="X383" s="47"/>
      <c r="Y383" s="47"/>
      <c r="Z383" s="46"/>
      <c r="AA383" s="68">
        <v>383</v>
      </c>
      <c r="AB383"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83" s="69"/>
      <c r="AD383" t="s">
        <v>3047</v>
      </c>
      <c r="AE383" s="77" t="s">
        <v>3344</v>
      </c>
      <c r="AF383">
        <v>6889</v>
      </c>
      <c r="AG383">
        <v>474</v>
      </c>
      <c r="AH383">
        <v>39190</v>
      </c>
      <c r="AI383">
        <v>40</v>
      </c>
      <c r="AJ383">
        <v>8366</v>
      </c>
      <c r="AK383">
        <v>3546</v>
      </c>
      <c r="AL383" t="b">
        <v>0</v>
      </c>
      <c r="AM383" s="76">
        <v>41744.81517361111</v>
      </c>
      <c r="AO383" t="s">
        <v>3957</v>
      </c>
      <c r="AP383" s="79" t="str">
        <f>HYPERLINK("https://t.co/EXLfBbkxnG")</f>
        <v>https://t.co/EXLfBbkxnG</v>
      </c>
      <c r="AQ383" s="79" t="str">
        <f>HYPERLINK("https://maule.mineduc.cl/")</f>
        <v>https://maule.mineduc.cl/</v>
      </c>
      <c r="AR383" t="s">
        <v>4197</v>
      </c>
      <c r="AW383" s="79" t="str">
        <f>HYPERLINK("https://t.co/EXLfBbkxnG")</f>
        <v>https://t.co/EXLfBbkxnG</v>
      </c>
      <c r="AX383" t="b">
        <v>0</v>
      </c>
      <c r="BA383" t="b">
        <v>1</v>
      </c>
      <c r="BB383" t="b">
        <v>0</v>
      </c>
      <c r="BC383" t="b">
        <v>1</v>
      </c>
      <c r="BD383" t="b">
        <v>0</v>
      </c>
      <c r="BE383" t="b">
        <v>0</v>
      </c>
      <c r="BF383" t="b">
        <v>0</v>
      </c>
      <c r="BG383" t="b">
        <v>0</v>
      </c>
      <c r="BH383" s="79" t="str">
        <f>HYPERLINK("https://pbs.twimg.com/profile_banners/2445925304/1741723922")</f>
        <v>https://pbs.twimg.com/profile_banners/2445925304/1741723922</v>
      </c>
      <c r="BJ383" t="s">
        <v>4320</v>
      </c>
      <c r="BK383" t="b">
        <v>0</v>
      </c>
      <c r="BM383" t="s">
        <v>66</v>
      </c>
      <c r="BN383" t="s">
        <v>4322</v>
      </c>
      <c r="BO383" s="79" t="str">
        <f>HYPERLINK("https://twitter.com/secreducmaule")</f>
        <v>https://twitter.com/secreducmaule</v>
      </c>
      <c r="BP383" s="112" t="str">
        <f>REPLACE(INDEX(GroupVertices[Group], MATCH("~"&amp;Vertices[[#This Row],[Vertex]],GroupVertices[Vertex],0)),1,1,"")</f>
        <v>155</v>
      </c>
      <c r="BQ383" s="2"/>
    </row>
    <row r="384" spans="1:69" x14ac:dyDescent="0.25">
      <c r="A384" s="61" t="s">
        <v>417</v>
      </c>
      <c r="B384" s="62"/>
      <c r="C384" s="62"/>
      <c r="D384" s="63">
        <v>1.5</v>
      </c>
      <c r="E384" s="65"/>
      <c r="F384" s="97" t="str">
        <f>HYPERLINK("https://pbs.twimg.com/profile_images/378800000262011603/4ce05e2010943aed036f00ebd23d9c8e_normal.jpeg")</f>
        <v>https://pbs.twimg.com/profile_images/378800000262011603/4ce05e2010943aed036f00ebd23d9c8e_normal.jpeg</v>
      </c>
      <c r="G384" s="62"/>
      <c r="H384" s="66"/>
      <c r="I384" s="67"/>
      <c r="J384" s="67"/>
      <c r="K384" s="66" t="s">
        <v>4691</v>
      </c>
      <c r="L384" s="70"/>
      <c r="M384" s="71">
        <v>6899.01416015625</v>
      </c>
      <c r="N384" s="71">
        <v>8442.935546875</v>
      </c>
      <c r="O384" s="72"/>
      <c r="P384" s="73"/>
      <c r="Q384" s="73"/>
      <c r="R384" s="81"/>
      <c r="S384" s="45">
        <v>0</v>
      </c>
      <c r="T384" s="45">
        <v>1</v>
      </c>
      <c r="U384" s="46">
        <v>0</v>
      </c>
      <c r="V384" s="46">
        <v>1.1181E-2</v>
      </c>
      <c r="W384" s="47"/>
      <c r="X384" s="47"/>
      <c r="Y384" s="47"/>
      <c r="Z384" s="46"/>
      <c r="AA384" s="68">
        <v>384</v>
      </c>
      <c r="AB384"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84" s="69"/>
      <c r="AD384" t="s">
        <v>3048</v>
      </c>
      <c r="AE384" s="77" t="s">
        <v>3345</v>
      </c>
      <c r="AF384">
        <v>41274</v>
      </c>
      <c r="AG384">
        <v>909</v>
      </c>
      <c r="AH384">
        <v>91352</v>
      </c>
      <c r="AI384">
        <v>522</v>
      </c>
      <c r="AJ384">
        <v>18520</v>
      </c>
      <c r="AK384">
        <v>2452</v>
      </c>
      <c r="AL384" t="b">
        <v>0</v>
      </c>
      <c r="AM384" s="76">
        <v>40727.484791666669</v>
      </c>
      <c r="AN384" t="s">
        <v>3574</v>
      </c>
      <c r="AO384" t="s">
        <v>3958</v>
      </c>
      <c r="AP384" s="79" t="str">
        <f>HYPERLINK("https://t.co/lMOX8nzsy8")</f>
        <v>https://t.co/lMOX8nzsy8</v>
      </c>
      <c r="AQ384" s="79" t="str">
        <f>HYPERLINK("http://luisrubio.mx")</f>
        <v>http://luisrubio.mx</v>
      </c>
      <c r="AR384" t="s">
        <v>4198</v>
      </c>
      <c r="AW384" s="79" t="str">
        <f>HYPERLINK("https://t.co/lMOX8nzsy8")</f>
        <v>https://t.co/lMOX8nzsy8</v>
      </c>
      <c r="AX384" t="b">
        <v>0</v>
      </c>
      <c r="BA384" t="b">
        <v>0</v>
      </c>
      <c r="BB384" t="b">
        <v>1</v>
      </c>
      <c r="BC384" t="b">
        <v>1</v>
      </c>
      <c r="BD384" t="b">
        <v>0</v>
      </c>
      <c r="BE384" t="b">
        <v>1</v>
      </c>
      <c r="BF384" t="b">
        <v>0</v>
      </c>
      <c r="BG384" t="b">
        <v>0</v>
      </c>
      <c r="BJ384" t="s">
        <v>4320</v>
      </c>
      <c r="BK384" t="b">
        <v>0</v>
      </c>
      <c r="BM384" t="s">
        <v>66</v>
      </c>
      <c r="BN384" t="s">
        <v>4322</v>
      </c>
      <c r="BO384" s="79" t="str">
        <f>HYPERLINK("https://twitter.com/lrubiof")</f>
        <v>https://twitter.com/lrubiof</v>
      </c>
      <c r="BP384" s="112" t="str">
        <f>REPLACE(INDEX(GroupVertices[Group], MATCH("~"&amp;Vertices[[#This Row],[Vertex]],GroupVertices[Vertex],0)),1,1,"")</f>
        <v>4</v>
      </c>
      <c r="BQ384" s="2"/>
    </row>
    <row r="385" spans="1:69" x14ac:dyDescent="0.25">
      <c r="A385" s="61" t="s">
        <v>419</v>
      </c>
      <c r="B385" s="62"/>
      <c r="C385" s="62"/>
      <c r="D385" s="63">
        <v>1.5</v>
      </c>
      <c r="E385" s="65"/>
      <c r="F385" s="97" t="str">
        <f>HYPERLINK("https://pbs.twimg.com/profile_images/1810281901216690176/2wScVzJF_normal.jpg")</f>
        <v>https://pbs.twimg.com/profile_images/1810281901216690176/2wScVzJF_normal.jpg</v>
      </c>
      <c r="G385" s="62"/>
      <c r="H385" s="66"/>
      <c r="I385" s="67"/>
      <c r="J385" s="67"/>
      <c r="K385" s="66" t="s">
        <v>4692</v>
      </c>
      <c r="L385" s="70"/>
      <c r="M385" s="71">
        <v>6741.708984375</v>
      </c>
      <c r="N385" s="71">
        <v>623.07879638671875</v>
      </c>
      <c r="O385" s="72"/>
      <c r="P385" s="73"/>
      <c r="Q385" s="73"/>
      <c r="R385" s="81"/>
      <c r="S385" s="45">
        <v>1</v>
      </c>
      <c r="T385" s="45">
        <v>1</v>
      </c>
      <c r="U385" s="46">
        <v>0</v>
      </c>
      <c r="V385" s="46">
        <v>0</v>
      </c>
      <c r="W385" s="47"/>
      <c r="X385" s="47"/>
      <c r="Y385" s="47"/>
      <c r="Z385" s="46"/>
      <c r="AA385" s="68">
        <v>385</v>
      </c>
      <c r="AB385"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85" s="69"/>
      <c r="AD385" t="s">
        <v>3049</v>
      </c>
      <c r="AE385" s="77" t="s">
        <v>2611</v>
      </c>
      <c r="AF385">
        <v>180</v>
      </c>
      <c r="AG385">
        <v>221</v>
      </c>
      <c r="AH385">
        <v>5016</v>
      </c>
      <c r="AI385">
        <v>0</v>
      </c>
      <c r="AJ385">
        <v>3602</v>
      </c>
      <c r="AK385">
        <v>623</v>
      </c>
      <c r="AL385" t="b">
        <v>0</v>
      </c>
      <c r="AM385" s="76">
        <v>43332.560543981483</v>
      </c>
      <c r="AN385" t="s">
        <v>3575</v>
      </c>
      <c r="AO385" t="s">
        <v>3959</v>
      </c>
      <c r="AP385" s="79" t="str">
        <f>HYPERLINK("https://t.co/eQdC1AlBC1")</f>
        <v>https://t.co/eQdC1AlBC1</v>
      </c>
      <c r="AQ385" s="79" t="str">
        <f>HYPERLINK("http://www.instagram.com/javitxufv/")</f>
        <v>http://www.instagram.com/javitxufv/</v>
      </c>
      <c r="AR385" t="s">
        <v>4199</v>
      </c>
      <c r="AV385">
        <v>1.78496899578064E+18</v>
      </c>
      <c r="AW385" s="79" t="str">
        <f>HYPERLINK("https://t.co/eQdC1AlBC1")</f>
        <v>https://t.co/eQdC1AlBC1</v>
      </c>
      <c r="AX385" t="b">
        <v>0</v>
      </c>
      <c r="BA385" t="b">
        <v>0</v>
      </c>
      <c r="BB385" t="b">
        <v>0</v>
      </c>
      <c r="BC385" t="b">
        <v>1</v>
      </c>
      <c r="BD385" t="b">
        <v>0</v>
      </c>
      <c r="BE385" t="b">
        <v>1</v>
      </c>
      <c r="BF385" t="b">
        <v>0</v>
      </c>
      <c r="BG385" t="b">
        <v>0</v>
      </c>
      <c r="BH385" s="79" t="str">
        <f>HYPERLINK("https://pbs.twimg.com/profile_banners/1031533103989309442/1736540168")</f>
        <v>https://pbs.twimg.com/profile_banners/1031533103989309442/1736540168</v>
      </c>
      <c r="BJ385" t="s">
        <v>4320</v>
      </c>
      <c r="BK385" t="b">
        <v>0</v>
      </c>
      <c r="BM385" t="s">
        <v>66</v>
      </c>
      <c r="BN385" t="s">
        <v>4322</v>
      </c>
      <c r="BO385" s="79" t="str">
        <f>HYPERLINK("https://twitter.com/javitxufv")</f>
        <v>https://twitter.com/javitxufv</v>
      </c>
      <c r="BP385" s="112" t="str">
        <f>REPLACE(INDEX(GroupVertices[Group], MATCH("~"&amp;Vertices[[#This Row],[Vertex]],GroupVertices[Vertex],0)),1,1,"")</f>
        <v>150</v>
      </c>
      <c r="BQ385" s="2"/>
    </row>
    <row r="386" spans="1:69" x14ac:dyDescent="0.25">
      <c r="A386" s="61" t="s">
        <v>673</v>
      </c>
      <c r="B386" s="62"/>
      <c r="C386" s="62"/>
      <c r="D386" s="63">
        <v>1.5</v>
      </c>
      <c r="E386" s="65"/>
      <c r="F386" s="97" t="str">
        <f>HYPERLINK("https://pbs.twimg.com/profile_images/1852958702145564672/ab-RRdUu_normal.jpg")</f>
        <v>https://pbs.twimg.com/profile_images/1852958702145564672/ab-RRdUu_normal.jpg</v>
      </c>
      <c r="G386" s="62"/>
      <c r="H386" s="66"/>
      <c r="I386" s="67"/>
      <c r="J386" s="67"/>
      <c r="K386" s="66" t="s">
        <v>4694</v>
      </c>
      <c r="L386" s="70"/>
      <c r="M386" s="71">
        <v>3839.23876953125</v>
      </c>
      <c r="N386" s="71">
        <v>1738.864990234375</v>
      </c>
      <c r="O386" s="72"/>
      <c r="P386" s="73"/>
      <c r="Q386" s="73"/>
      <c r="R386" s="81"/>
      <c r="S386" s="45">
        <v>1</v>
      </c>
      <c r="T386" s="45">
        <v>0</v>
      </c>
      <c r="U386" s="46">
        <v>0</v>
      </c>
      <c r="V386" s="46">
        <v>2.7950000000000002E-3</v>
      </c>
      <c r="W386" s="47"/>
      <c r="X386" s="47"/>
      <c r="Y386" s="47"/>
      <c r="Z386" s="46"/>
      <c r="AA386" s="68">
        <v>386</v>
      </c>
      <c r="AB386"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86" s="69"/>
      <c r="AD386" t="s">
        <v>3051</v>
      </c>
      <c r="AE386" s="77" t="s">
        <v>3346</v>
      </c>
      <c r="AF386">
        <v>68582</v>
      </c>
      <c r="AG386">
        <v>1520</v>
      </c>
      <c r="AH386">
        <v>60685</v>
      </c>
      <c r="AI386">
        <v>660</v>
      </c>
      <c r="AJ386">
        <v>12175</v>
      </c>
      <c r="AK386">
        <v>14654</v>
      </c>
      <c r="AL386" t="b">
        <v>0</v>
      </c>
      <c r="AM386" s="76">
        <v>40680.338819444441</v>
      </c>
      <c r="AO386" t="s">
        <v>3961</v>
      </c>
      <c r="AP386" s="79" t="str">
        <f>HYPERLINK("https://t.co/iwg9TL61li")</f>
        <v>https://t.co/iwg9TL61li</v>
      </c>
      <c r="AQ386" s="79" t="str">
        <f>HYPERLINK("https://www.juntadeandalucia.es/organismos/saludyfamilias.html")</f>
        <v>https://www.juntadeandalucia.es/organismos/saludyfamilias.html</v>
      </c>
      <c r="AR386" t="s">
        <v>4201</v>
      </c>
      <c r="AW386" s="79" t="str">
        <f>HYPERLINK("https://t.co/iwg9TL61li")</f>
        <v>https://t.co/iwg9TL61li</v>
      </c>
      <c r="AX386" t="b">
        <v>0</v>
      </c>
      <c r="AZ386" t="b">
        <v>0</v>
      </c>
      <c r="BA386" t="b">
        <v>0</v>
      </c>
      <c r="BB386" t="b">
        <v>0</v>
      </c>
      <c r="BC386" t="b">
        <v>0</v>
      </c>
      <c r="BD386" t="b">
        <v>0</v>
      </c>
      <c r="BE386" t="b">
        <v>0</v>
      </c>
      <c r="BF386" t="b">
        <v>0</v>
      </c>
      <c r="BG386" t="b">
        <v>0</v>
      </c>
      <c r="BH386" s="79" t="str">
        <f>HYPERLINK("https://pbs.twimg.com/profile_banners/300136823/1741622797")</f>
        <v>https://pbs.twimg.com/profile_banners/300136823/1741622797</v>
      </c>
      <c r="BJ386" t="s">
        <v>4320</v>
      </c>
      <c r="BK386" t="b">
        <v>0</v>
      </c>
      <c r="BM386" t="s">
        <v>65</v>
      </c>
      <c r="BN386" t="s">
        <v>4322</v>
      </c>
      <c r="BO386" s="79" t="str">
        <f>HYPERLINK("https://twitter.com/saludand")</f>
        <v>https://twitter.com/saludand</v>
      </c>
      <c r="BP386" s="112" t="str">
        <f>REPLACE(INDEX(GroupVertices[Group], MATCH("~"&amp;Vertices[[#This Row],[Vertex]],GroupVertices[Vertex],0)),1,1,"")</f>
        <v>35</v>
      </c>
      <c r="BQ386" s="2"/>
    </row>
    <row r="387" spans="1:69" x14ac:dyDescent="0.25">
      <c r="A387" s="61" t="s">
        <v>674</v>
      </c>
      <c r="B387" s="62"/>
      <c r="C387" s="62"/>
      <c r="D387" s="63">
        <v>1.5</v>
      </c>
      <c r="E387" s="65"/>
      <c r="F387" s="97" t="str">
        <f>HYPERLINK("https://pbs.twimg.com/profile_images/1673043277870669824/TrQQD3pT_normal.jpg")</f>
        <v>https://pbs.twimg.com/profile_images/1673043277870669824/TrQQD3pT_normal.jpg</v>
      </c>
      <c r="G387" s="62"/>
      <c r="H387" s="66"/>
      <c r="I387" s="67"/>
      <c r="J387" s="67"/>
      <c r="K387" s="66" t="s">
        <v>4695</v>
      </c>
      <c r="L387" s="70"/>
      <c r="M387" s="71">
        <v>4064.063232421875</v>
      </c>
      <c r="N387" s="71">
        <v>9210.2041015625</v>
      </c>
      <c r="O387" s="72"/>
      <c r="P387" s="73"/>
      <c r="Q387" s="73"/>
      <c r="R387" s="81"/>
      <c r="S387" s="45">
        <v>1</v>
      </c>
      <c r="T387" s="45">
        <v>0</v>
      </c>
      <c r="U387" s="46">
        <v>0</v>
      </c>
      <c r="V387" s="46">
        <v>2.7950000000000002E-3</v>
      </c>
      <c r="W387" s="47"/>
      <c r="X387" s="47"/>
      <c r="Y387" s="47"/>
      <c r="Z387" s="46"/>
      <c r="AA387" s="68">
        <v>387</v>
      </c>
      <c r="AB387"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87" s="69"/>
      <c r="AD387" t="s">
        <v>3052</v>
      </c>
      <c r="AE387" s="77" t="s">
        <v>2467</v>
      </c>
      <c r="AF387">
        <v>499</v>
      </c>
      <c r="AG387">
        <v>565</v>
      </c>
      <c r="AH387">
        <v>18537</v>
      </c>
      <c r="AI387">
        <v>10</v>
      </c>
      <c r="AJ387">
        <v>15134</v>
      </c>
      <c r="AK387">
        <v>1469</v>
      </c>
      <c r="AL387" t="b">
        <v>0</v>
      </c>
      <c r="AM387" s="76">
        <v>40573.612881944442</v>
      </c>
      <c r="AN387" t="s">
        <v>3553</v>
      </c>
      <c r="AO387" t="s">
        <v>3962</v>
      </c>
      <c r="AP387" s="79" t="str">
        <f>HYPERLINK("https://t.co/t4bcapGCvp")</f>
        <v>https://t.co/t4bcapGCvp</v>
      </c>
      <c r="AQ387" s="79" t="str">
        <f>HYPERLINK("https://instagram.com/develatter")</f>
        <v>https://instagram.com/develatter</v>
      </c>
      <c r="AR387" t="s">
        <v>4202</v>
      </c>
      <c r="AV387">
        <v>1.8245333991360599E+18</v>
      </c>
      <c r="AW387" s="79" t="str">
        <f>HYPERLINK("https://t.co/t4bcapGCvp")</f>
        <v>https://t.co/t4bcapGCvp</v>
      </c>
      <c r="AX387" t="b">
        <v>0</v>
      </c>
      <c r="AZ387" t="b">
        <v>0</v>
      </c>
      <c r="BA387" t="b">
        <v>0</v>
      </c>
      <c r="BB387" t="b">
        <v>0</v>
      </c>
      <c r="BC387" t="b">
        <v>0</v>
      </c>
      <c r="BD387" t="b">
        <v>0</v>
      </c>
      <c r="BE387" t="b">
        <v>1</v>
      </c>
      <c r="BF387" t="b">
        <v>0</v>
      </c>
      <c r="BG387" t="b">
        <v>0</v>
      </c>
      <c r="BH387" s="79" t="str">
        <f>HYPERLINK("https://pbs.twimg.com/profile_banners/244955241/1609253887")</f>
        <v>https://pbs.twimg.com/profile_banners/244955241/1609253887</v>
      </c>
      <c r="BJ387" t="s">
        <v>4321</v>
      </c>
      <c r="BK387" t="b">
        <v>0</v>
      </c>
      <c r="BM387" t="s">
        <v>65</v>
      </c>
      <c r="BN387" t="s">
        <v>4322</v>
      </c>
      <c r="BO387" s="79" t="str">
        <f>HYPERLINK("https://twitter.com/lattecast")</f>
        <v>https://twitter.com/lattecast</v>
      </c>
      <c r="BP387" s="112" t="str">
        <f>REPLACE(INDEX(GroupVertices[Group], MATCH("~"&amp;Vertices[[#This Row],[Vertex]],GroupVertices[Vertex],0)),1,1,"")</f>
        <v>35</v>
      </c>
      <c r="BQ387" s="2"/>
    </row>
    <row r="388" spans="1:69" x14ac:dyDescent="0.25">
      <c r="A388" s="61" t="s">
        <v>421</v>
      </c>
      <c r="B388" s="62"/>
      <c r="C388" s="62"/>
      <c r="D388" s="63">
        <v>1.5</v>
      </c>
      <c r="E388" s="65"/>
      <c r="F388" s="97" t="str">
        <f>HYPERLINK("https://pbs.twimg.com/profile_images/1340328048810471425/tZ5ITgVx_normal.jpg")</f>
        <v>https://pbs.twimg.com/profile_images/1340328048810471425/tZ5ITgVx_normal.jpg</v>
      </c>
      <c r="G388" s="62"/>
      <c r="H388" s="66"/>
      <c r="I388" s="67"/>
      <c r="J388" s="67"/>
      <c r="K388" s="66" t="s">
        <v>4696</v>
      </c>
      <c r="L388" s="70"/>
      <c r="M388" s="71">
        <v>8518.8271484375</v>
      </c>
      <c r="N388" s="71">
        <v>8736.572265625</v>
      </c>
      <c r="O388" s="72"/>
      <c r="P388" s="73"/>
      <c r="Q388" s="73"/>
      <c r="R388" s="81"/>
      <c r="S388" s="45">
        <v>1</v>
      </c>
      <c r="T388" s="45">
        <v>1</v>
      </c>
      <c r="U388" s="46">
        <v>0</v>
      </c>
      <c r="V388" s="46">
        <v>0</v>
      </c>
      <c r="W388" s="47"/>
      <c r="X388" s="47"/>
      <c r="Y388" s="47"/>
      <c r="Z388" s="46"/>
      <c r="AA388" s="68">
        <v>388</v>
      </c>
      <c r="AB388"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88" s="69"/>
      <c r="AD388" t="s">
        <v>3053</v>
      </c>
      <c r="AE388" s="77" t="s">
        <v>3347</v>
      </c>
      <c r="AF388">
        <v>7769</v>
      </c>
      <c r="AG388">
        <v>7960</v>
      </c>
      <c r="AH388">
        <v>135511</v>
      </c>
      <c r="AI388">
        <v>19</v>
      </c>
      <c r="AJ388">
        <v>98321</v>
      </c>
      <c r="AK388">
        <v>1717</v>
      </c>
      <c r="AL388" t="b">
        <v>0</v>
      </c>
      <c r="AM388" s="76">
        <v>40387.237384259257</v>
      </c>
      <c r="AN388" t="s">
        <v>3576</v>
      </c>
      <c r="AO388" t="s">
        <v>3963</v>
      </c>
      <c r="AX388" t="b">
        <v>0</v>
      </c>
      <c r="BA388" t="b">
        <v>0</v>
      </c>
      <c r="BB388" t="b">
        <v>0</v>
      </c>
      <c r="BC388" t="b">
        <v>0</v>
      </c>
      <c r="BD388" t="b">
        <v>0</v>
      </c>
      <c r="BE388" t="b">
        <v>1</v>
      </c>
      <c r="BF388" t="b">
        <v>0</v>
      </c>
      <c r="BG388" t="b">
        <v>0</v>
      </c>
      <c r="BH388" s="79" t="str">
        <f>HYPERLINK("https://pbs.twimg.com/profile_banners/171801469/1607199268")</f>
        <v>https://pbs.twimg.com/profile_banners/171801469/1607199268</v>
      </c>
      <c r="BJ388" t="s">
        <v>4320</v>
      </c>
      <c r="BK388" t="b">
        <v>0</v>
      </c>
      <c r="BM388" t="s">
        <v>66</v>
      </c>
      <c r="BN388" t="s">
        <v>4322</v>
      </c>
      <c r="BO388" s="79" t="str">
        <f>HYPERLINK("https://twitter.com/antirreelexion")</f>
        <v>https://twitter.com/antirreelexion</v>
      </c>
      <c r="BP388" s="112" t="str">
        <f>REPLACE(INDEX(GroupVertices[Group], MATCH("~"&amp;Vertices[[#This Row],[Vertex]],GroupVertices[Vertex],0)),1,1,"")</f>
        <v>117</v>
      </c>
      <c r="BQ388" s="2"/>
    </row>
    <row r="389" spans="1:69" x14ac:dyDescent="0.25">
      <c r="A389" s="61" t="s">
        <v>423</v>
      </c>
      <c r="B389" s="62"/>
      <c r="C389" s="62"/>
      <c r="D389" s="63">
        <v>1.5</v>
      </c>
      <c r="E389" s="65"/>
      <c r="F389" s="97" t="str">
        <f>HYPERLINK("https://pbs.twimg.com/profile_images/1501531758466113539/yJxipmEA_normal.jpg")</f>
        <v>https://pbs.twimg.com/profile_images/1501531758466113539/yJxipmEA_normal.jpg</v>
      </c>
      <c r="G389" s="62"/>
      <c r="H389" s="66"/>
      <c r="I389" s="67"/>
      <c r="J389" s="67"/>
      <c r="K389" s="66" t="s">
        <v>4698</v>
      </c>
      <c r="L389" s="70"/>
      <c r="M389" s="71">
        <v>379.37905883789063</v>
      </c>
      <c r="N389" s="71">
        <v>6538.24658203125</v>
      </c>
      <c r="O389" s="72"/>
      <c r="P389" s="73"/>
      <c r="Q389" s="73"/>
      <c r="R389" s="81"/>
      <c r="S389" s="45">
        <v>2</v>
      </c>
      <c r="T389" s="45">
        <v>1</v>
      </c>
      <c r="U389" s="46">
        <v>0</v>
      </c>
      <c r="V389" s="46">
        <v>4.1929999999999997E-3</v>
      </c>
      <c r="W389" s="47"/>
      <c r="X389" s="47"/>
      <c r="Y389" s="47"/>
      <c r="Z389" s="46"/>
      <c r="AA389" s="68">
        <v>389</v>
      </c>
      <c r="AB389"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89" s="69"/>
      <c r="AD389" t="s">
        <v>3055</v>
      </c>
      <c r="AE389" s="77" t="s">
        <v>3349</v>
      </c>
      <c r="AF389">
        <v>114906</v>
      </c>
      <c r="AG389">
        <v>6059</v>
      </c>
      <c r="AH389">
        <v>86139</v>
      </c>
      <c r="AI389">
        <v>1606</v>
      </c>
      <c r="AJ389">
        <v>2848</v>
      </c>
      <c r="AK389">
        <v>19406</v>
      </c>
      <c r="AL389" t="b">
        <v>0</v>
      </c>
      <c r="AM389" s="76">
        <v>40421.706516203703</v>
      </c>
      <c r="AN389" t="s">
        <v>3578</v>
      </c>
      <c r="AO389" t="s">
        <v>3965</v>
      </c>
      <c r="AP389" s="79" t="str">
        <f>HYPERLINK("https://t.co/HgPinYtdi4")</f>
        <v>https://t.co/HgPinYtdi4</v>
      </c>
      <c r="AQ389" s="79" t="str">
        <f>HYPERLINK("https://saempleo.es")</f>
        <v>https://saempleo.es</v>
      </c>
      <c r="AR389" t="s">
        <v>4203</v>
      </c>
      <c r="AV389">
        <v>1.90414933639871E+18</v>
      </c>
      <c r="AW389" s="79" t="str">
        <f>HYPERLINK("https://t.co/HgPinYtdi4")</f>
        <v>https://t.co/HgPinYtdi4</v>
      </c>
      <c r="AX389" t="b">
        <v>0</v>
      </c>
      <c r="BA389" t="b">
        <v>1</v>
      </c>
      <c r="BB389" t="b">
        <v>1</v>
      </c>
      <c r="BC389" t="b">
        <v>0</v>
      </c>
      <c r="BD389" t="b">
        <v>0</v>
      </c>
      <c r="BE389" t="b">
        <v>1</v>
      </c>
      <c r="BF389" t="b">
        <v>0</v>
      </c>
      <c r="BG389" t="b">
        <v>0</v>
      </c>
      <c r="BH389" s="79" t="str">
        <f>HYPERLINK("https://pbs.twimg.com/profile_banners/185290338/1742806935")</f>
        <v>https://pbs.twimg.com/profile_banners/185290338/1742806935</v>
      </c>
      <c r="BJ389" t="s">
        <v>4320</v>
      </c>
      <c r="BK389" t="b">
        <v>0</v>
      </c>
      <c r="BM389" t="s">
        <v>66</v>
      </c>
      <c r="BN389" t="s">
        <v>4322</v>
      </c>
      <c r="BO389" s="79" t="str">
        <f>HYPERLINK("https://twitter.com/saempleo")</f>
        <v>https://twitter.com/saempleo</v>
      </c>
      <c r="BP389" s="112" t="str">
        <f>REPLACE(INDEX(GroupVertices[Group], MATCH("~"&amp;Vertices[[#This Row],[Vertex]],GroupVertices[Vertex],0)),1,1,"")</f>
        <v>14</v>
      </c>
      <c r="BQ389" s="2"/>
    </row>
    <row r="390" spans="1:69" x14ac:dyDescent="0.25">
      <c r="A390" s="61" t="s">
        <v>425</v>
      </c>
      <c r="B390" s="62"/>
      <c r="C390" s="62"/>
      <c r="D390" s="63">
        <v>1.5</v>
      </c>
      <c r="E390" s="65"/>
      <c r="F390" s="97" t="str">
        <f>HYPERLINK("https://pbs.twimg.com/profile_images/1568714598353715204/yMSRbyYv_normal.jpg")</f>
        <v>https://pbs.twimg.com/profile_images/1568714598353715204/yMSRbyYv_normal.jpg</v>
      </c>
      <c r="G390" s="62"/>
      <c r="H390" s="66"/>
      <c r="I390" s="67"/>
      <c r="J390" s="67"/>
      <c r="K390" s="66" t="s">
        <v>4699</v>
      </c>
      <c r="L390" s="70"/>
      <c r="M390" s="71">
        <v>7735.82568359375</v>
      </c>
      <c r="N390" s="71">
        <v>3433.3037109375</v>
      </c>
      <c r="O390" s="72"/>
      <c r="P390" s="73"/>
      <c r="Q390" s="73"/>
      <c r="R390" s="81"/>
      <c r="S390" s="45">
        <v>0</v>
      </c>
      <c r="T390" s="45">
        <v>1</v>
      </c>
      <c r="U390" s="46">
        <v>0</v>
      </c>
      <c r="V390" s="46">
        <v>2.0960000000000002E-3</v>
      </c>
      <c r="W390" s="47"/>
      <c r="X390" s="47"/>
      <c r="Y390" s="47"/>
      <c r="Z390" s="46"/>
      <c r="AA390" s="68">
        <v>390</v>
      </c>
      <c r="AB390"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90" s="69"/>
      <c r="AD390" t="s">
        <v>3056</v>
      </c>
      <c r="AE390" s="77" t="s">
        <v>2613</v>
      </c>
      <c r="AF390">
        <v>380</v>
      </c>
      <c r="AG390">
        <v>1131</v>
      </c>
      <c r="AH390">
        <v>12209</v>
      </c>
      <c r="AI390">
        <v>3</v>
      </c>
      <c r="AJ390">
        <v>15760</v>
      </c>
      <c r="AK390">
        <v>1043</v>
      </c>
      <c r="AL390" t="b">
        <v>0</v>
      </c>
      <c r="AM390" s="76">
        <v>43443.103981481479</v>
      </c>
      <c r="AN390" t="s">
        <v>3579</v>
      </c>
      <c r="AO390" t="s">
        <v>3966</v>
      </c>
      <c r="AV390">
        <v>1.4478829787141199E+18</v>
      </c>
      <c r="AX390" t="b">
        <v>0</v>
      </c>
      <c r="BA390" t="b">
        <v>1</v>
      </c>
      <c r="BB390" t="b">
        <v>1</v>
      </c>
      <c r="BC390" t="b">
        <v>1</v>
      </c>
      <c r="BD390" t="b">
        <v>0</v>
      </c>
      <c r="BE390" t="b">
        <v>1</v>
      </c>
      <c r="BF390" t="b">
        <v>0</v>
      </c>
      <c r="BG390" t="b">
        <v>0</v>
      </c>
      <c r="BH390" s="79" t="str">
        <f>HYPERLINK("https://pbs.twimg.com/profile_banners/1071592705065660417/1661024357")</f>
        <v>https://pbs.twimg.com/profile_banners/1071592705065660417/1661024357</v>
      </c>
      <c r="BJ390" t="s">
        <v>4320</v>
      </c>
      <c r="BK390" t="b">
        <v>0</v>
      </c>
      <c r="BM390" t="s">
        <v>66</v>
      </c>
      <c r="BN390" t="s">
        <v>4322</v>
      </c>
      <c r="BO390" s="79" t="str">
        <f>HYPERLINK("https://twitter.com/lvillatorod")</f>
        <v>https://twitter.com/lvillatorod</v>
      </c>
      <c r="BP390" s="112" t="str">
        <f>REPLACE(INDEX(GroupVertices[Group], MATCH("~"&amp;Vertices[[#This Row],[Vertex]],GroupVertices[Vertex],0)),1,1,"")</f>
        <v>50</v>
      </c>
      <c r="BQ390" s="2"/>
    </row>
    <row r="391" spans="1:69" x14ac:dyDescent="0.25">
      <c r="A391" s="61" t="s">
        <v>675</v>
      </c>
      <c r="B391" s="62"/>
      <c r="C391" s="62"/>
      <c r="D391" s="63">
        <v>1.5</v>
      </c>
      <c r="E391" s="65"/>
      <c r="F391" s="97" t="str">
        <f>HYPERLINK("https://pbs.twimg.com/profile_images/1923861815835983873/03bCB1F6_normal.jpg")</f>
        <v>https://pbs.twimg.com/profile_images/1923861815835983873/03bCB1F6_normal.jpg</v>
      </c>
      <c r="G391" s="62"/>
      <c r="H391" s="66"/>
      <c r="I391" s="67"/>
      <c r="J391" s="67"/>
      <c r="K391" s="66" t="s">
        <v>4700</v>
      </c>
      <c r="L391" s="70"/>
      <c r="M391" s="71">
        <v>9037.591796875</v>
      </c>
      <c r="N391" s="71">
        <v>5374.482421875</v>
      </c>
      <c r="O391" s="72"/>
      <c r="P391" s="73"/>
      <c r="Q391" s="73"/>
      <c r="R391" s="81"/>
      <c r="S391" s="45">
        <v>1</v>
      </c>
      <c r="T391" s="45">
        <v>0</v>
      </c>
      <c r="U391" s="46">
        <v>0</v>
      </c>
      <c r="V391" s="46">
        <v>2.0960000000000002E-3</v>
      </c>
      <c r="W391" s="47"/>
      <c r="X391" s="47"/>
      <c r="Y391" s="47"/>
      <c r="Z391" s="46"/>
      <c r="AA391" s="68">
        <v>391</v>
      </c>
      <c r="AB391"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91" s="69"/>
      <c r="AD391" t="s">
        <v>3057</v>
      </c>
      <c r="AE391" s="77" t="s">
        <v>2468</v>
      </c>
      <c r="AF391">
        <v>40549</v>
      </c>
      <c r="AG391">
        <v>1094</v>
      </c>
      <c r="AH391">
        <v>12065</v>
      </c>
      <c r="AI391">
        <v>192</v>
      </c>
      <c r="AJ391">
        <v>31950</v>
      </c>
      <c r="AK391">
        <v>1019</v>
      </c>
      <c r="AL391" t="b">
        <v>0</v>
      </c>
      <c r="AM391" s="76">
        <v>40685.356539351851</v>
      </c>
      <c r="AN391" t="s">
        <v>3580</v>
      </c>
      <c r="AO391" t="s">
        <v>3967</v>
      </c>
      <c r="AX391" t="b">
        <v>0</v>
      </c>
      <c r="AZ391" t="b">
        <v>0</v>
      </c>
      <c r="BA391" t="b">
        <v>1</v>
      </c>
      <c r="BB391" t="b">
        <v>0</v>
      </c>
      <c r="BC391" t="b">
        <v>1</v>
      </c>
      <c r="BD391" t="b">
        <v>0</v>
      </c>
      <c r="BE391" t="b">
        <v>1</v>
      </c>
      <c r="BF391" t="b">
        <v>0</v>
      </c>
      <c r="BG391" t="b">
        <v>0</v>
      </c>
      <c r="BH391" s="79" t="str">
        <f>HYPERLINK("https://pbs.twimg.com/profile_banners/303085304/1711578449")</f>
        <v>https://pbs.twimg.com/profile_banners/303085304/1711578449</v>
      </c>
      <c r="BJ391" t="s">
        <v>4320</v>
      </c>
      <c r="BK391" t="b">
        <v>0</v>
      </c>
      <c r="BM391" t="s">
        <v>65</v>
      </c>
      <c r="BN391" t="s">
        <v>4322</v>
      </c>
      <c r="BO391" s="79" t="str">
        <f>HYPERLINK("https://twitter.com/ireneaguiarg")</f>
        <v>https://twitter.com/ireneaguiarg</v>
      </c>
      <c r="BP391" s="112" t="str">
        <f>REPLACE(INDEX(GroupVertices[Group], MATCH("~"&amp;Vertices[[#This Row],[Vertex]],GroupVertices[Vertex],0)),1,1,"")</f>
        <v>50</v>
      </c>
      <c r="BQ391" s="2"/>
    </row>
    <row r="392" spans="1:69" x14ac:dyDescent="0.25">
      <c r="A392" s="61" t="s">
        <v>426</v>
      </c>
      <c r="B392" s="62"/>
      <c r="C392" s="62"/>
      <c r="D392" s="63">
        <v>1.5</v>
      </c>
      <c r="E392" s="65"/>
      <c r="F392" s="97" t="str">
        <f>HYPERLINK("https://pbs.twimg.com/profile_images/1815121852924080128/-Fs80fUh_normal.jpg")</f>
        <v>https://pbs.twimg.com/profile_images/1815121852924080128/-Fs80fUh_normal.jpg</v>
      </c>
      <c r="G392" s="62"/>
      <c r="H392" s="66"/>
      <c r="I392" s="67"/>
      <c r="J392" s="67"/>
      <c r="K392" s="66" t="s">
        <v>4701</v>
      </c>
      <c r="L392" s="70"/>
      <c r="M392" s="71">
        <v>7217.8173828125</v>
      </c>
      <c r="N392" s="71">
        <v>966.5103759765625</v>
      </c>
      <c r="O392" s="72"/>
      <c r="P392" s="73"/>
      <c r="Q392" s="73"/>
      <c r="R392" s="81"/>
      <c r="S392" s="45">
        <v>1</v>
      </c>
      <c r="T392" s="45">
        <v>1</v>
      </c>
      <c r="U392" s="46">
        <v>0</v>
      </c>
      <c r="V392" s="46">
        <v>0</v>
      </c>
      <c r="W392" s="47"/>
      <c r="X392" s="47"/>
      <c r="Y392" s="47"/>
      <c r="Z392" s="46"/>
      <c r="AA392" s="68">
        <v>392</v>
      </c>
      <c r="AB392"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92" s="69"/>
      <c r="AD392" t="s">
        <v>3058</v>
      </c>
      <c r="AE392" s="77" t="s">
        <v>2614</v>
      </c>
      <c r="AF392">
        <v>2</v>
      </c>
      <c r="AG392">
        <v>1</v>
      </c>
      <c r="AH392">
        <v>750</v>
      </c>
      <c r="AI392">
        <v>0</v>
      </c>
      <c r="AJ392">
        <v>1894</v>
      </c>
      <c r="AK392">
        <v>0</v>
      </c>
      <c r="AL392" t="b">
        <v>0</v>
      </c>
      <c r="AM392" s="76">
        <v>45448.044652777775</v>
      </c>
      <c r="AO392" t="s">
        <v>3968</v>
      </c>
      <c r="AX392" t="b">
        <v>0</v>
      </c>
      <c r="BA392" t="b">
        <v>0</v>
      </c>
      <c r="BB392" t="b">
        <v>1</v>
      </c>
      <c r="BC392" t="b">
        <v>1</v>
      </c>
      <c r="BD392" t="b">
        <v>0</v>
      </c>
      <c r="BE392" t="b">
        <v>0</v>
      </c>
      <c r="BF392" t="b">
        <v>0</v>
      </c>
      <c r="BG392" t="b">
        <v>0</v>
      </c>
      <c r="BH392" s="79" t="str">
        <f>HYPERLINK("https://pbs.twimg.com/profile_banners/1798158788551135233/1726830907")</f>
        <v>https://pbs.twimg.com/profile_banners/1798158788551135233/1726830907</v>
      </c>
      <c r="BJ392" t="s">
        <v>4320</v>
      </c>
      <c r="BK392" t="b">
        <v>0</v>
      </c>
      <c r="BM392" t="s">
        <v>66</v>
      </c>
      <c r="BN392" t="s">
        <v>4322</v>
      </c>
      <c r="BO392" s="79" t="str">
        <f>HYPERLINK("https://twitter.com/marcosguti66611")</f>
        <v>https://twitter.com/marcosguti66611</v>
      </c>
      <c r="BP392" s="112" t="str">
        <f>REPLACE(INDEX(GroupVertices[Group], MATCH("~"&amp;Vertices[[#This Row],[Vertex]],GroupVertices[Vertex],0)),1,1,"")</f>
        <v>114</v>
      </c>
      <c r="BQ392" s="2"/>
    </row>
    <row r="393" spans="1:69" x14ac:dyDescent="0.25">
      <c r="A393" s="61" t="s">
        <v>427</v>
      </c>
      <c r="B393" s="62"/>
      <c r="C393" s="62"/>
      <c r="D393" s="63">
        <v>1.5</v>
      </c>
      <c r="E393" s="65"/>
      <c r="F393" s="97" t="str">
        <f>HYPERLINK("https://pbs.twimg.com/profile_images/1605567760821633024/HvUwbCnX_normal.jpg")</f>
        <v>https://pbs.twimg.com/profile_images/1605567760821633024/HvUwbCnX_normal.jpg</v>
      </c>
      <c r="G393" s="62"/>
      <c r="H393" s="66"/>
      <c r="I393" s="67"/>
      <c r="J393" s="67"/>
      <c r="K393" s="66" t="s">
        <v>4702</v>
      </c>
      <c r="L393" s="70"/>
      <c r="M393" s="71">
        <v>6011.44677734375</v>
      </c>
      <c r="N393" s="71">
        <v>745.06658935546875</v>
      </c>
      <c r="O393" s="72"/>
      <c r="P393" s="73"/>
      <c r="Q393" s="73"/>
      <c r="R393" s="81"/>
      <c r="S393" s="45">
        <v>1</v>
      </c>
      <c r="T393" s="45">
        <v>1</v>
      </c>
      <c r="U393" s="46">
        <v>0</v>
      </c>
      <c r="V393" s="46">
        <v>0</v>
      </c>
      <c r="W393" s="47"/>
      <c r="X393" s="47"/>
      <c r="Y393" s="47"/>
      <c r="Z393" s="46"/>
      <c r="AA393" s="68">
        <v>393</v>
      </c>
      <c r="AB393"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93" s="69"/>
      <c r="AD393" t="s">
        <v>2735</v>
      </c>
      <c r="AE393" s="77" t="s">
        <v>3350</v>
      </c>
      <c r="AF393">
        <v>881129</v>
      </c>
      <c r="AG393">
        <v>10</v>
      </c>
      <c r="AH393">
        <v>625770</v>
      </c>
      <c r="AI393">
        <v>2326</v>
      </c>
      <c r="AJ393">
        <v>2045</v>
      </c>
      <c r="AK393">
        <v>217081</v>
      </c>
      <c r="AL393" t="b">
        <v>0</v>
      </c>
      <c r="AM393" s="76">
        <v>39918.721493055556</v>
      </c>
      <c r="AN393" t="s">
        <v>3581</v>
      </c>
      <c r="AO393" t="s">
        <v>3969</v>
      </c>
      <c r="AP393" s="79" t="str">
        <f>HYPERLINK("https://t.co/Zmd4xcn4QF")</f>
        <v>https://t.co/Zmd4xcn4QF</v>
      </c>
      <c r="AQ393" s="79" t="str">
        <f>HYPERLINK("http://elpais.com.uy")</f>
        <v>http://elpais.com.uy</v>
      </c>
      <c r="AR393" t="s">
        <v>4204</v>
      </c>
      <c r="AS393" s="79" t="str">
        <f>HYPERLINK("https://t.co/VXNWFXpspS")</f>
        <v>https://t.co/VXNWFXpspS</v>
      </c>
      <c r="AT393" s="79" t="str">
        <f>HYPERLINK("http://elpais.uy/linkenbio")</f>
        <v>http://elpais.uy/linkenbio</v>
      </c>
      <c r="AU393" t="s">
        <v>4310</v>
      </c>
      <c r="AV393">
        <v>1.92852351022734E+18</v>
      </c>
      <c r="AW393" s="79" t="str">
        <f>HYPERLINK("https://t.co/Zmd4xcn4QF")</f>
        <v>https://t.co/Zmd4xcn4QF</v>
      </c>
      <c r="AX393" t="b">
        <v>1</v>
      </c>
      <c r="BA393" t="b">
        <v>0</v>
      </c>
      <c r="BB393" t="b">
        <v>1</v>
      </c>
      <c r="BC393" t="b">
        <v>0</v>
      </c>
      <c r="BD393" t="b">
        <v>0</v>
      </c>
      <c r="BE393" t="b">
        <v>1</v>
      </c>
      <c r="BF393" t="b">
        <v>0</v>
      </c>
      <c r="BG393" t="b">
        <v>0</v>
      </c>
      <c r="BH393" s="79" t="str">
        <f>HYPERLINK("https://pbs.twimg.com/profile_banners/31459537/1642084271")</f>
        <v>https://pbs.twimg.com/profile_banners/31459537/1642084271</v>
      </c>
      <c r="BJ393" t="s">
        <v>4321</v>
      </c>
      <c r="BK393" t="b">
        <v>0</v>
      </c>
      <c r="BM393" t="s">
        <v>66</v>
      </c>
      <c r="BN393" t="s">
        <v>4322</v>
      </c>
      <c r="BO393" s="79" t="str">
        <f>HYPERLINK("https://twitter.com/elpaisuy")</f>
        <v>https://twitter.com/elpaisuy</v>
      </c>
      <c r="BP393" s="112" t="str">
        <f>REPLACE(INDEX(GroupVertices[Group], MATCH("~"&amp;Vertices[[#This Row],[Vertex]],GroupVertices[Vertex],0)),1,1,"")</f>
        <v>200</v>
      </c>
      <c r="BQ393" s="2"/>
    </row>
    <row r="394" spans="1:69" x14ac:dyDescent="0.25">
      <c r="A394" s="61" t="s">
        <v>428</v>
      </c>
      <c r="B394" s="62"/>
      <c r="C394" s="62"/>
      <c r="D394" s="63">
        <v>1.5</v>
      </c>
      <c r="E394" s="65"/>
      <c r="F394" s="97" t="str">
        <f>HYPERLINK("https://pbs.twimg.com/profile_images/1924193052744167424/Fr2Wvomr_normal.jpg")</f>
        <v>https://pbs.twimg.com/profile_images/1924193052744167424/Fr2Wvomr_normal.jpg</v>
      </c>
      <c r="G394" s="62"/>
      <c r="H394" s="66"/>
      <c r="I394" s="67"/>
      <c r="J394" s="67"/>
      <c r="K394" s="66" t="s">
        <v>4703</v>
      </c>
      <c r="L394" s="70"/>
      <c r="M394" s="71">
        <v>4599.1962890625</v>
      </c>
      <c r="N394" s="71">
        <v>208.23014831542969</v>
      </c>
      <c r="O394" s="72"/>
      <c r="P394" s="73"/>
      <c r="Q394" s="73"/>
      <c r="R394" s="81"/>
      <c r="S394" s="45">
        <v>1</v>
      </c>
      <c r="T394" s="45">
        <v>1</v>
      </c>
      <c r="U394" s="46">
        <v>0</v>
      </c>
      <c r="V394" s="46">
        <v>0</v>
      </c>
      <c r="W394" s="47"/>
      <c r="X394" s="47"/>
      <c r="Y394" s="47"/>
      <c r="Z394" s="46"/>
      <c r="AA394" s="68">
        <v>394</v>
      </c>
      <c r="AB394"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94" s="69"/>
      <c r="AD394" t="s">
        <v>3059</v>
      </c>
      <c r="AE394" s="77" t="s">
        <v>2615</v>
      </c>
      <c r="AF394">
        <v>19199</v>
      </c>
      <c r="AG394">
        <v>18323</v>
      </c>
      <c r="AH394">
        <v>408157</v>
      </c>
      <c r="AI394">
        <v>14</v>
      </c>
      <c r="AJ394">
        <v>276798</v>
      </c>
      <c r="AK394">
        <v>6327</v>
      </c>
      <c r="AL394" t="b">
        <v>0</v>
      </c>
      <c r="AM394" s="76">
        <v>42816.752708333333</v>
      </c>
      <c r="AN394" t="s">
        <v>3582</v>
      </c>
      <c r="AO394" t="s">
        <v>3970</v>
      </c>
      <c r="AX394" t="b">
        <v>0</v>
      </c>
      <c r="BA394" t="b">
        <v>0</v>
      </c>
      <c r="BB394" t="b">
        <v>1</v>
      </c>
      <c r="BC394" t="b">
        <v>0</v>
      </c>
      <c r="BD394" t="b">
        <v>0</v>
      </c>
      <c r="BE394" t="b">
        <v>1</v>
      </c>
      <c r="BF394" t="b">
        <v>0</v>
      </c>
      <c r="BG394" t="b">
        <v>0</v>
      </c>
      <c r="BH394" s="79" t="str">
        <f>HYPERLINK("https://pbs.twimg.com/profile_banners/844610602345615360/1706384283")</f>
        <v>https://pbs.twimg.com/profile_banners/844610602345615360/1706384283</v>
      </c>
      <c r="BJ394" t="s">
        <v>4320</v>
      </c>
      <c r="BK394" t="b">
        <v>0</v>
      </c>
      <c r="BM394" t="s">
        <v>66</v>
      </c>
      <c r="BN394" t="s">
        <v>4322</v>
      </c>
      <c r="BO394" s="79" t="str">
        <f>HYPERLINK("https://twitter.com/milenaeldan")</f>
        <v>https://twitter.com/milenaeldan</v>
      </c>
      <c r="BP394" s="112" t="str">
        <f>REPLACE(INDEX(GroupVertices[Group], MATCH("~"&amp;Vertices[[#This Row],[Vertex]],GroupVertices[Vertex],0)),1,1,"")</f>
        <v>152</v>
      </c>
      <c r="BQ394" s="2"/>
    </row>
    <row r="395" spans="1:69" x14ac:dyDescent="0.25">
      <c r="A395" s="61" t="s">
        <v>429</v>
      </c>
      <c r="B395" s="62"/>
      <c r="C395" s="62"/>
      <c r="D395" s="63">
        <v>1.5</v>
      </c>
      <c r="E395" s="65"/>
      <c r="F395" s="97" t="str">
        <f>HYPERLINK("https://pbs.twimg.com/profile_images/1887605732863873025/3yKibnOu_normal.jpg")</f>
        <v>https://pbs.twimg.com/profile_images/1887605732863873025/3yKibnOu_normal.jpg</v>
      </c>
      <c r="G395" s="62"/>
      <c r="H395" s="66"/>
      <c r="I395" s="67"/>
      <c r="J395" s="67"/>
      <c r="K395" s="66" t="s">
        <v>4704</v>
      </c>
      <c r="L395" s="70"/>
      <c r="M395" s="71">
        <v>1236.124755859375</v>
      </c>
      <c r="N395" s="71">
        <v>3935.201171875</v>
      </c>
      <c r="O395" s="72"/>
      <c r="P395" s="73"/>
      <c r="Q395" s="73"/>
      <c r="R395" s="81"/>
      <c r="S395" s="45">
        <v>1</v>
      </c>
      <c r="T395" s="45">
        <v>1</v>
      </c>
      <c r="U395" s="46">
        <v>0</v>
      </c>
      <c r="V395" s="46">
        <v>0</v>
      </c>
      <c r="W395" s="47"/>
      <c r="X395" s="47"/>
      <c r="Y395" s="47"/>
      <c r="Z395" s="46"/>
      <c r="AA395" s="68">
        <v>395</v>
      </c>
      <c r="AB395"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95" s="69"/>
      <c r="AD395" t="s">
        <v>3060</v>
      </c>
      <c r="AE395" s="77" t="s">
        <v>3351</v>
      </c>
      <c r="AF395">
        <v>57270</v>
      </c>
      <c r="AG395">
        <v>2449</v>
      </c>
      <c r="AH395">
        <v>136550</v>
      </c>
      <c r="AI395">
        <v>232</v>
      </c>
      <c r="AJ395">
        <v>715</v>
      </c>
      <c r="AK395">
        <v>11719</v>
      </c>
      <c r="AL395" t="b">
        <v>0</v>
      </c>
      <c r="AM395" s="76">
        <v>40036.669282407405</v>
      </c>
      <c r="AN395" t="s">
        <v>3583</v>
      </c>
      <c r="AO395" t="s">
        <v>3971</v>
      </c>
      <c r="AP395" s="79" t="str">
        <f>HYPERLINK("https://t.co/tsgQNaKizd")</f>
        <v>https://t.co/tsgQNaKizd</v>
      </c>
      <c r="AQ395" s="79" t="str">
        <f>HYPERLINK("http://www.ladiscusion.cl")</f>
        <v>http://www.ladiscusion.cl</v>
      </c>
      <c r="AR395" t="s">
        <v>1189</v>
      </c>
      <c r="AV395">
        <v>1.9298821008674601E+18</v>
      </c>
      <c r="AW395" s="79" t="str">
        <f>HYPERLINK("https://t.co/tsgQNaKizd")</f>
        <v>https://t.co/tsgQNaKizd</v>
      </c>
      <c r="AX395" t="b">
        <v>0</v>
      </c>
      <c r="BA395" t="b">
        <v>1</v>
      </c>
      <c r="BB395" t="b">
        <v>0</v>
      </c>
      <c r="BC395" t="b">
        <v>0</v>
      </c>
      <c r="BD395" t="b">
        <v>0</v>
      </c>
      <c r="BE395" t="b">
        <v>1</v>
      </c>
      <c r="BF395" t="b">
        <v>0</v>
      </c>
      <c r="BG395" t="b">
        <v>0</v>
      </c>
      <c r="BH395" s="79" t="str">
        <f>HYPERLINK("https://pbs.twimg.com/profile_banners/64751347/1738875208")</f>
        <v>https://pbs.twimg.com/profile_banners/64751347/1738875208</v>
      </c>
      <c r="BJ395" t="s">
        <v>4320</v>
      </c>
      <c r="BK395" t="b">
        <v>0</v>
      </c>
      <c r="BM395" t="s">
        <v>66</v>
      </c>
      <c r="BN395" t="s">
        <v>4322</v>
      </c>
      <c r="BO395" s="79" t="str">
        <f>HYPERLINK("https://twitter.com/ladiscusioncl")</f>
        <v>https://twitter.com/ladiscusioncl</v>
      </c>
      <c r="BP395" s="112" t="str">
        <f>REPLACE(INDEX(GroupVertices[Group], MATCH("~"&amp;Vertices[[#This Row],[Vertex]],GroupVertices[Vertex],0)),1,1,"")</f>
        <v>174</v>
      </c>
      <c r="BQ395" s="2"/>
    </row>
    <row r="396" spans="1:69" x14ac:dyDescent="0.25">
      <c r="A396" s="61" t="s">
        <v>430</v>
      </c>
      <c r="B396" s="62"/>
      <c r="C396" s="62"/>
      <c r="D396" s="63">
        <v>1.5</v>
      </c>
      <c r="E396" s="65"/>
      <c r="F396" s="97" t="str">
        <f>HYPERLINK("https://pbs.twimg.com/profile_images/1929299125423501312/Q3EF-X1t_normal.jpg")</f>
        <v>https://pbs.twimg.com/profile_images/1929299125423501312/Q3EF-X1t_normal.jpg</v>
      </c>
      <c r="G396" s="62"/>
      <c r="H396" s="66"/>
      <c r="I396" s="67"/>
      <c r="J396" s="67"/>
      <c r="K396" s="66" t="s">
        <v>4705</v>
      </c>
      <c r="L396" s="70"/>
      <c r="M396" s="71">
        <v>1659.471435546875</v>
      </c>
      <c r="N396" s="71">
        <v>6083.47119140625</v>
      </c>
      <c r="O396" s="72"/>
      <c r="P396" s="73"/>
      <c r="Q396" s="73"/>
      <c r="R396" s="81"/>
      <c r="S396" s="45">
        <v>0</v>
      </c>
      <c r="T396" s="45">
        <v>1</v>
      </c>
      <c r="U396" s="46">
        <v>0</v>
      </c>
      <c r="V396" s="46">
        <v>2.3883000000000001E-2</v>
      </c>
      <c r="W396" s="47"/>
      <c r="X396" s="47"/>
      <c r="Y396" s="47"/>
      <c r="Z396" s="46"/>
      <c r="AA396" s="68">
        <v>396</v>
      </c>
      <c r="AB396"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96" s="69"/>
      <c r="AD396" t="s">
        <v>3061</v>
      </c>
      <c r="AE396" s="77" t="s">
        <v>3352</v>
      </c>
      <c r="AF396">
        <v>3207</v>
      </c>
      <c r="AG396">
        <v>2161</v>
      </c>
      <c r="AH396">
        <v>66474</v>
      </c>
      <c r="AI396">
        <v>35</v>
      </c>
      <c r="AJ396">
        <v>41118</v>
      </c>
      <c r="AK396">
        <v>2797</v>
      </c>
      <c r="AL396" t="b">
        <v>0</v>
      </c>
      <c r="AM396" s="76">
        <v>42268.174386574072</v>
      </c>
      <c r="AN396" t="s">
        <v>3584</v>
      </c>
      <c r="AO396" t="s">
        <v>3972</v>
      </c>
      <c r="AP396" s="79" t="str">
        <f>HYPERLINK("https://t.co/8uOjKg8XD4")</f>
        <v>https://t.co/8uOjKg8XD4</v>
      </c>
      <c r="AQ396" s="79" t="str">
        <f>HYPERLINK("https://spotify.link/kvdbOHHoWIb")</f>
        <v>https://spotify.link/kvdbOHHoWIb</v>
      </c>
      <c r="AR396" t="s">
        <v>4205</v>
      </c>
      <c r="AV396">
        <v>1.59480405328384E+18</v>
      </c>
      <c r="AW396" s="79" t="str">
        <f>HYPERLINK("https://t.co/8uOjKg8XD4")</f>
        <v>https://t.co/8uOjKg8XD4</v>
      </c>
      <c r="AX396" t="b">
        <v>0</v>
      </c>
      <c r="BA396" t="b">
        <v>0</v>
      </c>
      <c r="BB396" t="b">
        <v>0</v>
      </c>
      <c r="BC396" t="b">
        <v>1</v>
      </c>
      <c r="BD396" t="b">
        <v>0</v>
      </c>
      <c r="BE396" t="b">
        <v>1</v>
      </c>
      <c r="BF396" t="b">
        <v>0</v>
      </c>
      <c r="BG396" t="b">
        <v>0</v>
      </c>
      <c r="BH396" s="79" t="str">
        <f>HYPERLINK("https://pbs.twimg.com/profile_banners/3724564216/1747436202")</f>
        <v>https://pbs.twimg.com/profile_banners/3724564216/1747436202</v>
      </c>
      <c r="BJ396" t="s">
        <v>4320</v>
      </c>
      <c r="BK396" t="b">
        <v>0</v>
      </c>
      <c r="BM396" t="s">
        <v>66</v>
      </c>
      <c r="BN396" t="s">
        <v>4322</v>
      </c>
      <c r="BO396" s="79" t="str">
        <f>HYPERLINK("https://twitter.com/koobambis")</f>
        <v>https://twitter.com/koobambis</v>
      </c>
      <c r="BP396" s="112" t="str">
        <f>REPLACE(INDEX(GroupVertices[Group], MATCH("~"&amp;Vertices[[#This Row],[Vertex]],GroupVertices[Vertex],0)),1,1,"")</f>
        <v>1</v>
      </c>
      <c r="BQ396" s="2"/>
    </row>
    <row r="397" spans="1:69" x14ac:dyDescent="0.25">
      <c r="A397" s="61" t="s">
        <v>431</v>
      </c>
      <c r="B397" s="62"/>
      <c r="C397" s="62"/>
      <c r="D397" s="63">
        <v>1.5</v>
      </c>
      <c r="E397" s="65"/>
      <c r="F397" s="97" t="str">
        <f>HYPERLINK("https://pbs.twimg.com/profile_images/1839300245714513922/jC2vA0-A_normal.jpg")</f>
        <v>https://pbs.twimg.com/profile_images/1839300245714513922/jC2vA0-A_normal.jpg</v>
      </c>
      <c r="G397" s="62"/>
      <c r="H397" s="66"/>
      <c r="I397" s="67"/>
      <c r="J397" s="67"/>
      <c r="K397" s="66" t="s">
        <v>4706</v>
      </c>
      <c r="L397" s="70"/>
      <c r="M397" s="71">
        <v>2564.906494140625</v>
      </c>
      <c r="N397" s="71">
        <v>9556.8154296875</v>
      </c>
      <c r="O397" s="72"/>
      <c r="P397" s="73"/>
      <c r="Q397" s="73"/>
      <c r="R397" s="81"/>
      <c r="S397" s="45">
        <v>1</v>
      </c>
      <c r="T397" s="45">
        <v>1</v>
      </c>
      <c r="U397" s="46">
        <v>0</v>
      </c>
      <c r="V397" s="46">
        <v>0</v>
      </c>
      <c r="W397" s="47"/>
      <c r="X397" s="47"/>
      <c r="Y397" s="47"/>
      <c r="Z397" s="46"/>
      <c r="AA397" s="68">
        <v>397</v>
      </c>
      <c r="AB397"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97" s="69"/>
      <c r="AD397" t="s">
        <v>3062</v>
      </c>
      <c r="AE397" s="77" t="s">
        <v>3353</v>
      </c>
      <c r="AF397">
        <v>3441</v>
      </c>
      <c r="AG397">
        <v>2681</v>
      </c>
      <c r="AH397">
        <v>82004</v>
      </c>
      <c r="AI397">
        <v>40</v>
      </c>
      <c r="AJ397">
        <v>23774</v>
      </c>
      <c r="AK397">
        <v>2128</v>
      </c>
      <c r="AL397" t="b">
        <v>0</v>
      </c>
      <c r="AM397" s="76">
        <v>40199.816203703704</v>
      </c>
      <c r="AN397" t="s">
        <v>3585</v>
      </c>
      <c r="AO397" t="s">
        <v>3973</v>
      </c>
      <c r="AP397" s="79" t="str">
        <f>HYPERLINK("https://t.co/WdqgRrof17")</f>
        <v>https://t.co/WdqgRrof17</v>
      </c>
      <c r="AQ397" s="79" t="str">
        <f>HYPERLINK("http://www.redliberal.cl")</f>
        <v>http://www.redliberal.cl</v>
      </c>
      <c r="AR397" t="s">
        <v>4206</v>
      </c>
      <c r="AV397">
        <v>1.85766491812573E+18</v>
      </c>
      <c r="AW397" s="79" t="str">
        <f>HYPERLINK("https://t.co/WdqgRrof17")</f>
        <v>https://t.co/WdqgRrof17</v>
      </c>
      <c r="AX397" t="b">
        <v>0</v>
      </c>
      <c r="BA397" t="b">
        <v>1</v>
      </c>
      <c r="BB397" t="b">
        <v>0</v>
      </c>
      <c r="BC397" t="b">
        <v>0</v>
      </c>
      <c r="BD397" t="b">
        <v>0</v>
      </c>
      <c r="BE397" t="b">
        <v>1</v>
      </c>
      <c r="BF397" t="b">
        <v>0</v>
      </c>
      <c r="BG397" t="b">
        <v>0</v>
      </c>
      <c r="BH397" s="79" t="str">
        <f>HYPERLINK("https://pbs.twimg.com/profile_banners/107179612/1707830442")</f>
        <v>https://pbs.twimg.com/profile_banners/107179612/1707830442</v>
      </c>
      <c r="BJ397" t="s">
        <v>4320</v>
      </c>
      <c r="BK397" t="b">
        <v>0</v>
      </c>
      <c r="BM397" t="s">
        <v>66</v>
      </c>
      <c r="BN397" t="s">
        <v>4322</v>
      </c>
      <c r="BO397" s="79" t="str">
        <f>HYPERLINK("https://twitter.com/elchappa")</f>
        <v>https://twitter.com/elchappa</v>
      </c>
      <c r="BP397" s="112" t="str">
        <f>REPLACE(INDEX(GroupVertices[Group], MATCH("~"&amp;Vertices[[#This Row],[Vertex]],GroupVertices[Vertex],0)),1,1,"")</f>
        <v>182</v>
      </c>
      <c r="BQ397" s="2"/>
    </row>
    <row r="398" spans="1:69" x14ac:dyDescent="0.25">
      <c r="A398" s="61" t="s">
        <v>432</v>
      </c>
      <c r="B398" s="62"/>
      <c r="C398" s="62"/>
      <c r="D398" s="63">
        <v>1.5</v>
      </c>
      <c r="E398" s="65"/>
      <c r="F398" s="97" t="str">
        <f>HYPERLINK("https://pbs.twimg.com/profile_images/1633459104935976960/NJQTYisi_normal.jpg")</f>
        <v>https://pbs.twimg.com/profile_images/1633459104935976960/NJQTYisi_normal.jpg</v>
      </c>
      <c r="G398" s="62"/>
      <c r="H398" s="66"/>
      <c r="I398" s="67"/>
      <c r="J398" s="67"/>
      <c r="K398" s="66" t="s">
        <v>4707</v>
      </c>
      <c r="L398" s="70"/>
      <c r="M398" s="71">
        <v>9862.744140625</v>
      </c>
      <c r="N398" s="71">
        <v>6725.67431640625</v>
      </c>
      <c r="O398" s="72"/>
      <c r="P398" s="73"/>
      <c r="Q398" s="73"/>
      <c r="R398" s="81"/>
      <c r="S398" s="45">
        <v>0</v>
      </c>
      <c r="T398" s="45">
        <v>1</v>
      </c>
      <c r="U398" s="46">
        <v>0</v>
      </c>
      <c r="V398" s="46">
        <v>2.0960000000000002E-3</v>
      </c>
      <c r="W398" s="47"/>
      <c r="X398" s="47"/>
      <c r="Y398" s="47"/>
      <c r="Z398" s="46"/>
      <c r="AA398" s="68">
        <v>398</v>
      </c>
      <c r="AB398"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0</v>
      </c>
      <c r="AC398" s="69"/>
      <c r="AD398" t="s">
        <v>3063</v>
      </c>
      <c r="AE398" s="77" t="s">
        <v>2616</v>
      </c>
      <c r="AF398">
        <v>1</v>
      </c>
      <c r="AG398">
        <v>30</v>
      </c>
      <c r="AH398">
        <v>426</v>
      </c>
      <c r="AI398">
        <v>0</v>
      </c>
      <c r="AJ398">
        <v>1644</v>
      </c>
      <c r="AK398">
        <v>1</v>
      </c>
      <c r="AL398" t="b">
        <v>0</v>
      </c>
      <c r="AM398" s="76">
        <v>44936.186388888891</v>
      </c>
      <c r="AX398" t="b">
        <v>0</v>
      </c>
      <c r="BA398" t="b">
        <v>0</v>
      </c>
      <c r="BB398" t="b">
        <v>1</v>
      </c>
      <c r="BC398" t="b">
        <v>1</v>
      </c>
      <c r="BD398" t="b">
        <v>0</v>
      </c>
      <c r="BE398" t="b">
        <v>0</v>
      </c>
      <c r="BF398" t="b">
        <v>0</v>
      </c>
      <c r="BG398" t="b">
        <v>0</v>
      </c>
      <c r="BH398" s="79" t="str">
        <f>HYPERLINK("https://pbs.twimg.com/profile_banners/1612667522532212736/1678281985")</f>
        <v>https://pbs.twimg.com/profile_banners/1612667522532212736/1678281985</v>
      </c>
      <c r="BJ398" t="s">
        <v>4320</v>
      </c>
      <c r="BK398" t="b">
        <v>0</v>
      </c>
      <c r="BM398" t="s">
        <v>66</v>
      </c>
      <c r="BN398" t="s">
        <v>4322</v>
      </c>
      <c r="BO398" s="79" t="str">
        <f>HYPERLINK("https://twitter.com/garcinuno91")</f>
        <v>https://twitter.com/garcinuno91</v>
      </c>
      <c r="BP398" s="112" t="str">
        <f>REPLACE(INDEX(GroupVertices[Group], MATCH("~"&amp;Vertices[[#This Row],[Vertex]],GroupVertices[Vertex],0)),1,1,"")</f>
        <v>67</v>
      </c>
      <c r="BQ398" s="2"/>
    </row>
    <row r="399" spans="1:69" x14ac:dyDescent="0.25">
      <c r="A399" s="61" t="s">
        <v>676</v>
      </c>
      <c r="B399" s="62"/>
      <c r="C399" s="62"/>
      <c r="D399" s="63">
        <v>1.5</v>
      </c>
      <c r="E399" s="65"/>
      <c r="F399" s="97" t="str">
        <f>HYPERLINK("https://pbs.twimg.com/profile_images/525964848736526336/M4mym1Cx_normal.jpeg")</f>
        <v>https://pbs.twimg.com/profile_images/525964848736526336/M4mym1Cx_normal.jpeg</v>
      </c>
      <c r="G399" s="62"/>
      <c r="H399" s="66"/>
      <c r="I399" s="67"/>
      <c r="J399" s="67"/>
      <c r="K399" s="66" t="s">
        <v>4708</v>
      </c>
      <c r="L399" s="70"/>
      <c r="M399" s="71">
        <v>9678.4912109375</v>
      </c>
      <c r="N399" s="71">
        <v>4759.37451171875</v>
      </c>
      <c r="O399" s="72"/>
      <c r="P399" s="73"/>
      <c r="Q399" s="73"/>
      <c r="R399" s="81"/>
      <c r="S399" s="45">
        <v>1</v>
      </c>
      <c r="T399" s="45">
        <v>0</v>
      </c>
      <c r="U399" s="46">
        <v>0</v>
      </c>
      <c r="V399" s="46">
        <v>2.0960000000000002E-3</v>
      </c>
      <c r="W399" s="47"/>
      <c r="X399" s="47"/>
      <c r="Y399" s="47"/>
      <c r="Z399" s="46"/>
      <c r="AA399" s="68">
        <v>399</v>
      </c>
      <c r="AB399"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399" s="69"/>
      <c r="AD399" t="s">
        <v>3064</v>
      </c>
      <c r="AE399" s="77" t="s">
        <v>2470</v>
      </c>
      <c r="AF399">
        <v>6819</v>
      </c>
      <c r="AG399">
        <v>1509</v>
      </c>
      <c r="AH399">
        <v>133742</v>
      </c>
      <c r="AI399">
        <v>32</v>
      </c>
      <c r="AJ399">
        <v>83110</v>
      </c>
      <c r="AK399">
        <v>3240</v>
      </c>
      <c r="AL399" t="b">
        <v>0</v>
      </c>
      <c r="AM399" s="76">
        <v>39924.630358796298</v>
      </c>
      <c r="AN399" t="s">
        <v>3586</v>
      </c>
      <c r="AO399" t="s">
        <v>3974</v>
      </c>
      <c r="AV399">
        <v>1.9248324416775601E+18</v>
      </c>
      <c r="AX399" t="b">
        <v>0</v>
      </c>
      <c r="AZ399" t="b">
        <v>0</v>
      </c>
      <c r="BA399" t="b">
        <v>0</v>
      </c>
      <c r="BB399" t="b">
        <v>0</v>
      </c>
      <c r="BC399" t="b">
        <v>0</v>
      </c>
      <c r="BD399" t="b">
        <v>0</v>
      </c>
      <c r="BE399" t="b">
        <v>1</v>
      </c>
      <c r="BF399" t="b">
        <v>0</v>
      </c>
      <c r="BG399" t="b">
        <v>0</v>
      </c>
      <c r="BH399" s="79" t="str">
        <f>HYPERLINK("https://pbs.twimg.com/profile_banners/33930729/1519311184")</f>
        <v>https://pbs.twimg.com/profile_banners/33930729/1519311184</v>
      </c>
      <c r="BJ399" t="s">
        <v>4320</v>
      </c>
      <c r="BK399" t="b">
        <v>0</v>
      </c>
      <c r="BM399" t="s">
        <v>65</v>
      </c>
      <c r="BN399" t="s">
        <v>4322</v>
      </c>
      <c r="BO399" s="79" t="str">
        <f>HYPERLINK("https://twitter.com/mrsvanburen")</f>
        <v>https://twitter.com/mrsvanburen</v>
      </c>
      <c r="BP399" s="112" t="str">
        <f>REPLACE(INDEX(GroupVertices[Group], MATCH("~"&amp;Vertices[[#This Row],[Vertex]],GroupVertices[Vertex],0)),1,1,"")</f>
        <v>67</v>
      </c>
      <c r="BQ399" s="2"/>
    </row>
    <row r="400" spans="1:69" x14ac:dyDescent="0.25">
      <c r="A400" s="61" t="s">
        <v>433</v>
      </c>
      <c r="B400" s="62"/>
      <c r="C400" s="62"/>
      <c r="D400" s="63">
        <v>1.5</v>
      </c>
      <c r="E400" s="65"/>
      <c r="F400" s="97" t="str">
        <f>HYPERLINK("https://pbs.twimg.com/profile_images/1704471609883447296/SzdgFUxY_normal.jpg")</f>
        <v>https://pbs.twimg.com/profile_images/1704471609883447296/SzdgFUxY_normal.jpg</v>
      </c>
      <c r="G400" s="62"/>
      <c r="H400" s="66"/>
      <c r="I400" s="67"/>
      <c r="J400" s="67"/>
      <c r="K400" s="66" t="s">
        <v>4709</v>
      </c>
      <c r="L400" s="70"/>
      <c r="M400" s="71">
        <v>858.0281982421875</v>
      </c>
      <c r="N400" s="71">
        <v>6664.60986328125</v>
      </c>
      <c r="O400" s="72"/>
      <c r="P400" s="73"/>
      <c r="Q400" s="73"/>
      <c r="R400" s="81"/>
      <c r="S400" s="45">
        <v>1</v>
      </c>
      <c r="T400" s="45">
        <v>1</v>
      </c>
      <c r="U400" s="46">
        <v>0</v>
      </c>
      <c r="V400" s="46">
        <v>0</v>
      </c>
      <c r="W400" s="47"/>
      <c r="X400" s="47"/>
      <c r="Y400" s="47"/>
      <c r="Z400" s="46"/>
      <c r="AA400" s="68">
        <v>400</v>
      </c>
      <c r="AB400"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00" s="69"/>
      <c r="AD400" t="s">
        <v>3065</v>
      </c>
      <c r="AE400" s="77" t="s">
        <v>3354</v>
      </c>
      <c r="AF400">
        <v>1675</v>
      </c>
      <c r="AG400">
        <v>2742</v>
      </c>
      <c r="AH400">
        <v>19699</v>
      </c>
      <c r="AI400">
        <v>4</v>
      </c>
      <c r="AJ400">
        <v>939</v>
      </c>
      <c r="AK400">
        <v>5993</v>
      </c>
      <c r="AL400" t="b">
        <v>0</v>
      </c>
      <c r="AM400" s="76">
        <v>40463.666597222225</v>
      </c>
      <c r="AN400" t="s">
        <v>3587</v>
      </c>
      <c r="AO400" t="s">
        <v>3975</v>
      </c>
      <c r="AP400" s="79" t="str">
        <f>HYPERLINK("https://t.co/PkCd9B1UWm")</f>
        <v>https://t.co/PkCd9B1UWm</v>
      </c>
      <c r="AQ400" s="79" t="str">
        <f>HYPERLINK("http://www.pacificotelevisionhd.cl")</f>
        <v>http://www.pacificotelevisionhd.cl</v>
      </c>
      <c r="AR400" t="s">
        <v>1190</v>
      </c>
      <c r="AW400" s="79" t="str">
        <f>HYPERLINK("https://t.co/PkCd9B1UWm")</f>
        <v>https://t.co/PkCd9B1UWm</v>
      </c>
      <c r="AX400" t="b">
        <v>0</v>
      </c>
      <c r="BA400" t="b">
        <v>1</v>
      </c>
      <c r="BB400" t="b">
        <v>1</v>
      </c>
      <c r="BC400" t="b">
        <v>1</v>
      </c>
      <c r="BD400" t="b">
        <v>0</v>
      </c>
      <c r="BE400" t="b">
        <v>0</v>
      </c>
      <c r="BF400" t="b">
        <v>0</v>
      </c>
      <c r="BG400" t="b">
        <v>0</v>
      </c>
      <c r="BH400" s="79" t="str">
        <f>HYPERLINK("https://pbs.twimg.com/profile_banners/201774528/1698460610")</f>
        <v>https://pbs.twimg.com/profile_banners/201774528/1698460610</v>
      </c>
      <c r="BJ400" t="s">
        <v>4320</v>
      </c>
      <c r="BK400" t="b">
        <v>0</v>
      </c>
      <c r="BM400" t="s">
        <v>66</v>
      </c>
      <c r="BN400" t="s">
        <v>4322</v>
      </c>
      <c r="BO400" s="79" t="str">
        <f>HYPERLINK("https://twitter.com/pacifico_tv")</f>
        <v>https://twitter.com/pacifico_tv</v>
      </c>
      <c r="BP400" s="112" t="str">
        <f>REPLACE(INDEX(GroupVertices[Group], MATCH("~"&amp;Vertices[[#This Row],[Vertex]],GroupVertices[Vertex],0)),1,1,"")</f>
        <v>118</v>
      </c>
      <c r="BQ400" s="2"/>
    </row>
    <row r="401" spans="1:69" x14ac:dyDescent="0.25">
      <c r="A401" s="61" t="s">
        <v>434</v>
      </c>
      <c r="B401" s="62"/>
      <c r="C401" s="62"/>
      <c r="D401" s="63">
        <v>1.5</v>
      </c>
      <c r="E401" s="65"/>
      <c r="F401" s="97" t="str">
        <f>HYPERLINK("https://pbs.twimg.com/profile_images/1637895745964482560/UB450i2f_normal.jpg")</f>
        <v>https://pbs.twimg.com/profile_images/1637895745964482560/UB450i2f_normal.jpg</v>
      </c>
      <c r="G401" s="62"/>
      <c r="H401" s="66"/>
      <c r="I401" s="67"/>
      <c r="J401" s="67"/>
      <c r="K401" s="66" t="s">
        <v>4710</v>
      </c>
      <c r="L401" s="70"/>
      <c r="M401" s="71">
        <v>6456.4638671875</v>
      </c>
      <c r="N401" s="71">
        <v>8965.4931640625</v>
      </c>
      <c r="O401" s="72"/>
      <c r="P401" s="73"/>
      <c r="Q401" s="73"/>
      <c r="R401" s="81"/>
      <c r="S401" s="45">
        <v>1</v>
      </c>
      <c r="T401" s="45">
        <v>1</v>
      </c>
      <c r="U401" s="46">
        <v>0</v>
      </c>
      <c r="V401" s="46">
        <v>0</v>
      </c>
      <c r="W401" s="47"/>
      <c r="X401" s="47"/>
      <c r="Y401" s="47"/>
      <c r="Z401" s="46"/>
      <c r="AA401" s="68">
        <v>401</v>
      </c>
      <c r="AB401"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01" s="69"/>
      <c r="AD401" t="s">
        <v>1384</v>
      </c>
      <c r="AE401" s="77" t="s">
        <v>3355</v>
      </c>
      <c r="AF401">
        <v>53686</v>
      </c>
      <c r="AG401">
        <v>15847</v>
      </c>
      <c r="AH401">
        <v>67238</v>
      </c>
      <c r="AI401">
        <v>152</v>
      </c>
      <c r="AJ401">
        <v>1682</v>
      </c>
      <c r="AK401">
        <v>24314</v>
      </c>
      <c r="AL401" t="b">
        <v>0</v>
      </c>
      <c r="AM401" s="76">
        <v>39985.214583333334</v>
      </c>
      <c r="AN401" t="s">
        <v>3588</v>
      </c>
      <c r="AO401" t="s">
        <v>3976</v>
      </c>
      <c r="AP401" s="79" t="str">
        <f>HYPERLINK("https://t.co/EBsJuo4RS8")</f>
        <v>https://t.co/EBsJuo4RS8</v>
      </c>
      <c r="AQ401" s="79" t="str">
        <f>HYPERLINK("https://vlnradio.cl")</f>
        <v>https://vlnradio.cl</v>
      </c>
      <c r="AR401" t="s">
        <v>1191</v>
      </c>
      <c r="AW401" s="79" t="str">
        <f>HYPERLINK("https://t.co/EBsJuo4RS8")</f>
        <v>https://t.co/EBsJuo4RS8</v>
      </c>
      <c r="AX401" t="b">
        <v>0</v>
      </c>
      <c r="BA401" t="b">
        <v>1</v>
      </c>
      <c r="BB401" t="b">
        <v>1</v>
      </c>
      <c r="BC401" t="b">
        <v>1</v>
      </c>
      <c r="BD401" t="b">
        <v>0</v>
      </c>
      <c r="BE401" t="b">
        <v>1</v>
      </c>
      <c r="BF401" t="b">
        <v>0</v>
      </c>
      <c r="BG401" t="b">
        <v>0</v>
      </c>
      <c r="BH401" s="79" t="str">
        <f>HYPERLINK("https://pbs.twimg.com/profile_banners/49239316/1748724342")</f>
        <v>https://pbs.twimg.com/profile_banners/49239316/1748724342</v>
      </c>
      <c r="BJ401" t="s">
        <v>4320</v>
      </c>
      <c r="BK401" t="b">
        <v>0</v>
      </c>
      <c r="BM401" t="s">
        <v>66</v>
      </c>
      <c r="BN401" t="s">
        <v>4322</v>
      </c>
      <c r="BO401" s="79" t="str">
        <f>HYPERLINK("https://twitter.com/vlnradio")</f>
        <v>https://twitter.com/vlnradio</v>
      </c>
      <c r="BP401" s="112" t="str">
        <f>REPLACE(INDEX(GroupVertices[Group], MATCH("~"&amp;Vertices[[#This Row],[Vertex]],GroupVertices[Vertex],0)),1,1,"")</f>
        <v>193</v>
      </c>
      <c r="BQ401" s="2"/>
    </row>
    <row r="402" spans="1:69" x14ac:dyDescent="0.25">
      <c r="A402" s="61" t="s">
        <v>436</v>
      </c>
      <c r="B402" s="62"/>
      <c r="C402" s="62"/>
      <c r="D402" s="63">
        <v>1.5</v>
      </c>
      <c r="E402" s="65"/>
      <c r="F402" s="97" t="str">
        <f>HYPERLINK("https://pbs.twimg.com/profile_images/1727355694783807488/AvyQSPUm_normal.jpg")</f>
        <v>https://pbs.twimg.com/profile_images/1727355694783807488/AvyQSPUm_normal.jpg</v>
      </c>
      <c r="G402" s="62"/>
      <c r="H402" s="66"/>
      <c r="I402" s="67"/>
      <c r="J402" s="67"/>
      <c r="K402" s="66" t="s">
        <v>4711</v>
      </c>
      <c r="L402" s="70"/>
      <c r="M402" s="71">
        <v>4193.9609375</v>
      </c>
      <c r="N402" s="71">
        <v>9532.4111328125</v>
      </c>
      <c r="O402" s="72"/>
      <c r="P402" s="73"/>
      <c r="Q402" s="73"/>
      <c r="R402" s="81"/>
      <c r="S402" s="45">
        <v>1</v>
      </c>
      <c r="T402" s="45">
        <v>1</v>
      </c>
      <c r="U402" s="46">
        <v>0</v>
      </c>
      <c r="V402" s="46">
        <v>0</v>
      </c>
      <c r="W402" s="47"/>
      <c r="X402" s="47"/>
      <c r="Y402" s="47"/>
      <c r="Z402" s="46"/>
      <c r="AA402" s="68">
        <v>402</v>
      </c>
      <c r="AB402"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02" s="69"/>
      <c r="AD402" t="s">
        <v>3066</v>
      </c>
      <c r="AE402" s="77" t="s">
        <v>3356</v>
      </c>
      <c r="AF402">
        <v>26922</v>
      </c>
      <c r="AG402">
        <v>1447</v>
      </c>
      <c r="AH402">
        <v>62930</v>
      </c>
      <c r="AI402">
        <v>101</v>
      </c>
      <c r="AJ402">
        <v>2414</v>
      </c>
      <c r="AK402">
        <v>27455</v>
      </c>
      <c r="AL402" t="b">
        <v>0</v>
      </c>
      <c r="AM402" s="76">
        <v>40146.162800925929</v>
      </c>
      <c r="AN402" t="s">
        <v>3504</v>
      </c>
      <c r="AO402" t="s">
        <v>3977</v>
      </c>
      <c r="AP402" s="79" t="str">
        <f>HYPERLINK("https://t.co/ajw1DsxQq6")</f>
        <v>https://t.co/ajw1DsxQq6</v>
      </c>
      <c r="AQ402" s="79" t="str">
        <f>HYPERLINK("http://www.radiopaulina.cl")</f>
        <v>http://www.radiopaulina.cl</v>
      </c>
      <c r="AR402" t="s">
        <v>1193</v>
      </c>
      <c r="AW402" s="79" t="str">
        <f>HYPERLINK("https://t.co/ajw1DsxQq6")</f>
        <v>https://t.co/ajw1DsxQq6</v>
      </c>
      <c r="AX402" t="b">
        <v>1</v>
      </c>
      <c r="BA402" t="b">
        <v>0</v>
      </c>
      <c r="BB402" t="b">
        <v>0</v>
      </c>
      <c r="BC402" t="b">
        <v>0</v>
      </c>
      <c r="BD402" t="b">
        <v>0</v>
      </c>
      <c r="BE402" t="b">
        <v>1</v>
      </c>
      <c r="BF402" t="b">
        <v>0</v>
      </c>
      <c r="BG402" t="b">
        <v>0</v>
      </c>
      <c r="BH402" s="79" t="str">
        <f>HYPERLINK("https://pbs.twimg.com/profile_banners/93319559/1700668666")</f>
        <v>https://pbs.twimg.com/profile_banners/93319559/1700668666</v>
      </c>
      <c r="BJ402" t="s">
        <v>4320</v>
      </c>
      <c r="BK402" t="b">
        <v>0</v>
      </c>
      <c r="BM402" t="s">
        <v>66</v>
      </c>
      <c r="BN402" t="s">
        <v>4322</v>
      </c>
      <c r="BO402" s="79" t="str">
        <f>HYPERLINK("https://twitter.com/radiopaulina")</f>
        <v>https://twitter.com/radiopaulina</v>
      </c>
      <c r="BP402" s="112" t="str">
        <f>REPLACE(INDEX(GroupVertices[Group], MATCH("~"&amp;Vertices[[#This Row],[Vertex]],GroupVertices[Vertex],0)),1,1,"")</f>
        <v>177</v>
      </c>
      <c r="BQ402" s="2"/>
    </row>
    <row r="403" spans="1:69" x14ac:dyDescent="0.25">
      <c r="A403" s="61" t="s">
        <v>437</v>
      </c>
      <c r="B403" s="62"/>
      <c r="C403" s="62"/>
      <c r="D403" s="63">
        <v>1.5</v>
      </c>
      <c r="E403" s="65"/>
      <c r="F403" s="97" t="str">
        <f>HYPERLINK("https://pbs.twimg.com/profile_images/1838097967997149184/LDMFQgFY_normal.png")</f>
        <v>https://pbs.twimg.com/profile_images/1838097967997149184/LDMFQgFY_normal.png</v>
      </c>
      <c r="G403" s="62"/>
      <c r="H403" s="66"/>
      <c r="I403" s="67"/>
      <c r="J403" s="67"/>
      <c r="K403" s="66" t="s">
        <v>4712</v>
      </c>
      <c r="L403" s="70"/>
      <c r="M403" s="71">
        <v>1278.884521484375</v>
      </c>
      <c r="N403" s="71">
        <v>2957.619384765625</v>
      </c>
      <c r="O403" s="72"/>
      <c r="P403" s="73"/>
      <c r="Q403" s="73"/>
      <c r="R403" s="81"/>
      <c r="S403" s="45">
        <v>1</v>
      </c>
      <c r="T403" s="45">
        <v>1</v>
      </c>
      <c r="U403" s="46">
        <v>0</v>
      </c>
      <c r="V403" s="46">
        <v>0</v>
      </c>
      <c r="W403" s="47"/>
      <c r="X403" s="47"/>
      <c r="Y403" s="47"/>
      <c r="Z403" s="46"/>
      <c r="AA403" s="68">
        <v>403</v>
      </c>
      <c r="AB403"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03" s="69"/>
      <c r="AD403" t="s">
        <v>3067</v>
      </c>
      <c r="AE403" s="77" t="s">
        <v>2617</v>
      </c>
      <c r="AF403">
        <v>4936</v>
      </c>
      <c r="AG403">
        <v>5708</v>
      </c>
      <c r="AH403">
        <v>67831</v>
      </c>
      <c r="AI403">
        <v>9</v>
      </c>
      <c r="AJ403">
        <v>8269</v>
      </c>
      <c r="AK403">
        <v>13746</v>
      </c>
      <c r="AL403" t="b">
        <v>0</v>
      </c>
      <c r="AM403" s="76">
        <v>44126.150740740741</v>
      </c>
      <c r="AN403" t="s">
        <v>3589</v>
      </c>
      <c r="AO403" t="s">
        <v>3978</v>
      </c>
      <c r="AP403" s="79" t="str">
        <f>HYPERLINK("https://t.co/AOHwBjDWT9")</f>
        <v>https://t.co/AOHwBjDWT9</v>
      </c>
      <c r="AQ403" s="79" t="str">
        <f>HYPERLINK("http://pasancosas-conce.blogspot.com")</f>
        <v>http://pasancosas-conce.blogspot.com</v>
      </c>
      <c r="AR403" t="s">
        <v>4207</v>
      </c>
      <c r="AS403" s="79" t="str">
        <f>HYPERLINK("https://t.co/S53LIfAdcP")</f>
        <v>https://t.co/S53LIfAdcP</v>
      </c>
      <c r="AT403" s="79" t="str">
        <f>HYPERLINK("http://pasancosas.blog")</f>
        <v>http://pasancosas.blog</v>
      </c>
      <c r="AU403" t="s">
        <v>4311</v>
      </c>
      <c r="AV403">
        <v>1.9297464576468401E+18</v>
      </c>
      <c r="AW403" s="79" t="str">
        <f>HYPERLINK("https://t.co/AOHwBjDWT9")</f>
        <v>https://t.co/AOHwBjDWT9</v>
      </c>
      <c r="AX403" t="b">
        <v>0</v>
      </c>
      <c r="BA403" t="b">
        <v>0</v>
      </c>
      <c r="BB403" t="b">
        <v>0</v>
      </c>
      <c r="BC403" t="b">
        <v>1</v>
      </c>
      <c r="BD403" t="b">
        <v>0</v>
      </c>
      <c r="BE403" t="b">
        <v>1</v>
      </c>
      <c r="BF403" t="b">
        <v>0</v>
      </c>
      <c r="BG403" t="b">
        <v>0</v>
      </c>
      <c r="BH403" s="79" t="str">
        <f>HYPERLINK("https://pbs.twimg.com/profile_banners/1319120511796973568/1741236413")</f>
        <v>https://pbs.twimg.com/profile_banners/1319120511796973568/1741236413</v>
      </c>
      <c r="BJ403" t="s">
        <v>4320</v>
      </c>
      <c r="BK403" t="b">
        <v>0</v>
      </c>
      <c r="BM403" t="s">
        <v>66</v>
      </c>
      <c r="BN403" t="s">
        <v>4322</v>
      </c>
      <c r="BO403" s="79" t="str">
        <f>HYPERLINK("https://twitter.com/biopasan")</f>
        <v>https://twitter.com/biopasan</v>
      </c>
      <c r="BP403" s="112" t="str">
        <f>REPLACE(INDEX(GroupVertices[Group], MATCH("~"&amp;Vertices[[#This Row],[Vertex]],GroupVertices[Vertex],0)),1,1,"")</f>
        <v>148</v>
      </c>
      <c r="BQ403" s="2"/>
    </row>
    <row r="404" spans="1:69" x14ac:dyDescent="0.25">
      <c r="A404" s="61" t="s">
        <v>438</v>
      </c>
      <c r="B404" s="62"/>
      <c r="C404" s="62"/>
      <c r="D404" s="63">
        <v>1.5</v>
      </c>
      <c r="E404" s="65"/>
      <c r="F404" s="97" t="str">
        <f>HYPERLINK("https://pbs.twimg.com/profile_images/1918706212738093056/xXAZADLH_normal.jpg")</f>
        <v>https://pbs.twimg.com/profile_images/1918706212738093056/xXAZADLH_normal.jpg</v>
      </c>
      <c r="G404" s="62"/>
      <c r="H404" s="66"/>
      <c r="I404" s="67"/>
      <c r="J404" s="67"/>
      <c r="K404" s="66" t="s">
        <v>4713</v>
      </c>
      <c r="L404" s="70"/>
      <c r="M404" s="71">
        <v>1107.590087890625</v>
      </c>
      <c r="N404" s="71">
        <v>7937.3359375</v>
      </c>
      <c r="O404" s="72"/>
      <c r="P404" s="73"/>
      <c r="Q404" s="73"/>
      <c r="R404" s="81"/>
      <c r="S404" s="45">
        <v>0</v>
      </c>
      <c r="T404" s="45">
        <v>1</v>
      </c>
      <c r="U404" s="46">
        <v>0</v>
      </c>
      <c r="V404" s="46">
        <v>2.0960000000000002E-3</v>
      </c>
      <c r="W404" s="47"/>
      <c r="X404" s="47"/>
      <c r="Y404" s="47"/>
      <c r="Z404" s="46"/>
      <c r="AA404" s="68">
        <v>404</v>
      </c>
      <c r="AB404"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04" s="69"/>
      <c r="AD404" t="s">
        <v>3068</v>
      </c>
      <c r="AE404" s="77" t="s">
        <v>2618</v>
      </c>
      <c r="AF404">
        <v>24667</v>
      </c>
      <c r="AG404">
        <v>1057</v>
      </c>
      <c r="AH404">
        <v>48339</v>
      </c>
      <c r="AI404">
        <v>16</v>
      </c>
      <c r="AJ404">
        <v>60361</v>
      </c>
      <c r="AK404">
        <v>1228</v>
      </c>
      <c r="AL404" t="b">
        <v>0</v>
      </c>
      <c r="AM404" s="76">
        <v>45178.627384259256</v>
      </c>
      <c r="AO404" t="s">
        <v>3979</v>
      </c>
      <c r="AX404" t="b">
        <v>0</v>
      </c>
      <c r="BA404" t="b">
        <v>0</v>
      </c>
      <c r="BB404" t="b">
        <v>0</v>
      </c>
      <c r="BC404" t="b">
        <v>1</v>
      </c>
      <c r="BD404" t="b">
        <v>0</v>
      </c>
      <c r="BE404" t="b">
        <v>0</v>
      </c>
      <c r="BF404" t="b">
        <v>0</v>
      </c>
      <c r="BG404" t="b">
        <v>0</v>
      </c>
      <c r="BH404" s="79" t="str">
        <f>HYPERLINK("https://pbs.twimg.com/profile_banners/1700525261794471936/1695254409")</f>
        <v>https://pbs.twimg.com/profile_banners/1700525261794471936/1695254409</v>
      </c>
      <c r="BJ404" t="s">
        <v>4320</v>
      </c>
      <c r="BK404" t="b">
        <v>0</v>
      </c>
      <c r="BM404" t="s">
        <v>66</v>
      </c>
      <c r="BN404" t="s">
        <v>4322</v>
      </c>
      <c r="BO404" s="79" t="str">
        <f>HYPERLINK("https://twitter.com/zurdaburguesa")</f>
        <v>https://twitter.com/zurdaburguesa</v>
      </c>
      <c r="BP404" s="112" t="str">
        <f>REPLACE(INDEX(GroupVertices[Group], MATCH("~"&amp;Vertices[[#This Row],[Vertex]],GroupVertices[Vertex],0)),1,1,"")</f>
        <v>112</v>
      </c>
      <c r="BQ404" s="2"/>
    </row>
    <row r="405" spans="1:69" x14ac:dyDescent="0.25">
      <c r="A405" s="61" t="s">
        <v>443</v>
      </c>
      <c r="B405" s="62"/>
      <c r="C405" s="62"/>
      <c r="D405" s="63">
        <v>1.5</v>
      </c>
      <c r="E405" s="65"/>
      <c r="F405" s="97" t="str">
        <f>HYPERLINK("https://pbs.twimg.com/profile_images/1728187078628757504/vLXttC8E_normal.jpg")</f>
        <v>https://pbs.twimg.com/profile_images/1728187078628757504/vLXttC8E_normal.jpg</v>
      </c>
      <c r="G405" s="62"/>
      <c r="H405" s="66"/>
      <c r="I405" s="67"/>
      <c r="J405" s="67"/>
      <c r="K405" s="66" t="s">
        <v>4714</v>
      </c>
      <c r="L405" s="70"/>
      <c r="M405" s="71">
        <v>699.19781494140625</v>
      </c>
      <c r="N405" s="71">
        <v>7130.7626953125</v>
      </c>
      <c r="O405" s="72"/>
      <c r="P405" s="73"/>
      <c r="Q405" s="73"/>
      <c r="R405" s="81"/>
      <c r="S405" s="45">
        <v>2</v>
      </c>
      <c r="T405" s="45">
        <v>1</v>
      </c>
      <c r="U405" s="46">
        <v>0</v>
      </c>
      <c r="V405" s="46">
        <v>2.0960000000000002E-3</v>
      </c>
      <c r="W405" s="47"/>
      <c r="X405" s="47"/>
      <c r="Y405" s="47"/>
      <c r="Z405" s="46"/>
      <c r="AA405" s="68">
        <v>405</v>
      </c>
      <c r="AB405"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05" s="69"/>
      <c r="AD405" t="s">
        <v>3069</v>
      </c>
      <c r="AE405" s="77" t="s">
        <v>3357</v>
      </c>
      <c r="AF405">
        <v>3902</v>
      </c>
      <c r="AG405">
        <v>974</v>
      </c>
      <c r="AH405">
        <v>80294</v>
      </c>
      <c r="AI405">
        <v>7</v>
      </c>
      <c r="AJ405">
        <v>33004</v>
      </c>
      <c r="AK405">
        <v>7268</v>
      </c>
      <c r="AL405" t="b">
        <v>0</v>
      </c>
      <c r="AM405" s="76">
        <v>41333.088703703703</v>
      </c>
      <c r="AO405" t="s">
        <v>3980</v>
      </c>
      <c r="AV405">
        <v>1.76649838672575E+18</v>
      </c>
      <c r="AX405" t="b">
        <v>0</v>
      </c>
      <c r="BA405" t="b">
        <v>1</v>
      </c>
      <c r="BB405" t="b">
        <v>0</v>
      </c>
      <c r="BC405" t="b">
        <v>0</v>
      </c>
      <c r="BD405" t="b">
        <v>0</v>
      </c>
      <c r="BE405" t="b">
        <v>0</v>
      </c>
      <c r="BF405" t="b">
        <v>0</v>
      </c>
      <c r="BG405" t="b">
        <v>0</v>
      </c>
      <c r="BH405" s="79" t="str">
        <f>HYPERLINK("https://pbs.twimg.com/profile_banners/1226459472/1567720398")</f>
        <v>https://pbs.twimg.com/profile_banners/1226459472/1567720398</v>
      </c>
      <c r="BJ405" t="s">
        <v>4321</v>
      </c>
      <c r="BK405" t="b">
        <v>0</v>
      </c>
      <c r="BM405" t="s">
        <v>66</v>
      </c>
      <c r="BN405" t="s">
        <v>4322</v>
      </c>
      <c r="BO405" s="79" t="str">
        <f>HYPERLINK("https://twitter.com/restrepovelez0")</f>
        <v>https://twitter.com/restrepovelez0</v>
      </c>
      <c r="BP405" s="112" t="str">
        <f>REPLACE(INDEX(GroupVertices[Group], MATCH("~"&amp;Vertices[[#This Row],[Vertex]],GroupVertices[Vertex],0)),1,1,"")</f>
        <v>112</v>
      </c>
      <c r="BQ405" s="2"/>
    </row>
    <row r="406" spans="1:69" x14ac:dyDescent="0.25">
      <c r="A406" s="61" t="s">
        <v>439</v>
      </c>
      <c r="B406" s="62"/>
      <c r="C406" s="62"/>
      <c r="D406" s="63">
        <v>1.5</v>
      </c>
      <c r="E406" s="65"/>
      <c r="F406" s="97" t="str">
        <f>HYPERLINK("https://pbs.twimg.com/profile_images/1613561062560768001/iaP9TZ3K_normal.jpg")</f>
        <v>https://pbs.twimg.com/profile_images/1613561062560768001/iaP9TZ3K_normal.jpg</v>
      </c>
      <c r="G406" s="62"/>
      <c r="H406" s="66"/>
      <c r="I406" s="67"/>
      <c r="J406" s="67"/>
      <c r="K406" s="66" t="s">
        <v>4715</v>
      </c>
      <c r="L406" s="70"/>
      <c r="M406" s="71">
        <v>8445.9814453125</v>
      </c>
      <c r="N406" s="71">
        <v>3810.501953125</v>
      </c>
      <c r="O406" s="72"/>
      <c r="P406" s="73"/>
      <c r="Q406" s="73"/>
      <c r="R406" s="81"/>
      <c r="S406" s="45">
        <v>0</v>
      </c>
      <c r="T406" s="45">
        <v>1</v>
      </c>
      <c r="U406" s="46">
        <v>0</v>
      </c>
      <c r="V406" s="46">
        <v>3.1449999999999998E-3</v>
      </c>
      <c r="W406" s="47"/>
      <c r="X406" s="47"/>
      <c r="Y406" s="47"/>
      <c r="Z406" s="46"/>
      <c r="AA406" s="68">
        <v>406</v>
      </c>
      <c r="AB406"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06" s="69"/>
      <c r="AD406" t="s">
        <v>3070</v>
      </c>
      <c r="AE406" s="77" t="s">
        <v>2619</v>
      </c>
      <c r="AF406">
        <v>31</v>
      </c>
      <c r="AG406">
        <v>136</v>
      </c>
      <c r="AH406">
        <v>12010</v>
      </c>
      <c r="AI406">
        <v>5</v>
      </c>
      <c r="AJ406">
        <v>2766</v>
      </c>
      <c r="AK406">
        <v>2563</v>
      </c>
      <c r="AL406" t="b">
        <v>0</v>
      </c>
      <c r="AM406" s="76">
        <v>44929.064756944441</v>
      </c>
      <c r="AX406" t="b">
        <v>0</v>
      </c>
      <c r="BA406" t="b">
        <v>0</v>
      </c>
      <c r="BB406" t="b">
        <v>1</v>
      </c>
      <c r="BC406" t="b">
        <v>1</v>
      </c>
      <c r="BD406" t="b">
        <v>0</v>
      </c>
      <c r="BE406" t="b">
        <v>0</v>
      </c>
      <c r="BF406" t="b">
        <v>0</v>
      </c>
      <c r="BG406" t="b">
        <v>0</v>
      </c>
      <c r="BH406" s="79" t="str">
        <f>HYPERLINK("https://pbs.twimg.com/profile_banners/1610086619205206018/1677420963")</f>
        <v>https://pbs.twimg.com/profile_banners/1610086619205206018/1677420963</v>
      </c>
      <c r="BJ406" t="s">
        <v>4320</v>
      </c>
      <c r="BK406" t="b">
        <v>0</v>
      </c>
      <c r="BM406" t="s">
        <v>66</v>
      </c>
      <c r="BN406" t="s">
        <v>4322</v>
      </c>
      <c r="BO406" s="79" t="str">
        <f>HYPERLINK("https://twitter.com/patfercam")</f>
        <v>https://twitter.com/patfercam</v>
      </c>
      <c r="BP406" s="112" t="str">
        <f>REPLACE(INDEX(GroupVertices[Group], MATCH("~"&amp;Vertices[[#This Row],[Vertex]],GroupVertices[Vertex],0)),1,1,"")</f>
        <v>22</v>
      </c>
      <c r="BQ406" s="2"/>
    </row>
    <row r="407" spans="1:69" x14ac:dyDescent="0.25">
      <c r="A407" s="61" t="s">
        <v>440</v>
      </c>
      <c r="B407" s="62"/>
      <c r="C407" s="62"/>
      <c r="D407" s="63">
        <v>1.5</v>
      </c>
      <c r="E407" s="65"/>
      <c r="F407" s="97" t="str">
        <f>HYPERLINK("https://pbs.twimg.com/profile_images/1929213139708440576/yfLm63ez_normal.jpg")</f>
        <v>https://pbs.twimg.com/profile_images/1929213139708440576/yfLm63ez_normal.jpg</v>
      </c>
      <c r="G407" s="62"/>
      <c r="H407" s="66"/>
      <c r="I407" s="67"/>
      <c r="J407" s="67"/>
      <c r="K407" s="66" t="s">
        <v>4716</v>
      </c>
      <c r="L407" s="70"/>
      <c r="M407" s="71">
        <v>417.75189208984375</v>
      </c>
      <c r="N407" s="71">
        <v>3622.080810546875</v>
      </c>
      <c r="O407" s="72"/>
      <c r="P407" s="73"/>
      <c r="Q407" s="73"/>
      <c r="R407" s="81"/>
      <c r="S407" s="45">
        <v>0</v>
      </c>
      <c r="T407" s="45">
        <v>1</v>
      </c>
      <c r="U407" s="46">
        <v>0</v>
      </c>
      <c r="V407" s="46">
        <v>2.0960000000000002E-3</v>
      </c>
      <c r="W407" s="47"/>
      <c r="X407" s="47"/>
      <c r="Y407" s="47"/>
      <c r="Z407" s="46"/>
      <c r="AA407" s="68">
        <v>407</v>
      </c>
      <c r="AB407"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07" s="69"/>
      <c r="AD407" t="s">
        <v>3071</v>
      </c>
      <c r="AE407" s="77" t="s">
        <v>3358</v>
      </c>
      <c r="AF407">
        <v>104</v>
      </c>
      <c r="AG407">
        <v>148</v>
      </c>
      <c r="AH407">
        <v>14653</v>
      </c>
      <c r="AI407">
        <v>9</v>
      </c>
      <c r="AJ407">
        <v>17068</v>
      </c>
      <c r="AK407">
        <v>558</v>
      </c>
      <c r="AL407" t="b">
        <v>0</v>
      </c>
      <c r="AM407" s="76">
        <v>40240.053356481483</v>
      </c>
      <c r="AN407" t="s">
        <v>3475</v>
      </c>
      <c r="AO407" t="s">
        <v>3981</v>
      </c>
      <c r="AV407">
        <v>1.0707402221100401E+18</v>
      </c>
      <c r="AX407" t="b">
        <v>0</v>
      </c>
      <c r="BA407" t="b">
        <v>0</v>
      </c>
      <c r="BB407" t="b">
        <v>1</v>
      </c>
      <c r="BC407" t="b">
        <v>0</v>
      </c>
      <c r="BD407" t="b">
        <v>0</v>
      </c>
      <c r="BE407" t="b">
        <v>1</v>
      </c>
      <c r="BF407" t="b">
        <v>0</v>
      </c>
      <c r="BG407" t="b">
        <v>0</v>
      </c>
      <c r="BH407" s="79" t="str">
        <f>HYPERLINK("https://pbs.twimg.com/profile_banners/119225892/1730730650")</f>
        <v>https://pbs.twimg.com/profile_banners/119225892/1730730650</v>
      </c>
      <c r="BJ407" t="s">
        <v>4320</v>
      </c>
      <c r="BK407" t="b">
        <v>0</v>
      </c>
      <c r="BM407" t="s">
        <v>66</v>
      </c>
      <c r="BN407" t="s">
        <v>4322</v>
      </c>
      <c r="BO407" s="79" t="str">
        <f>HYPERLINK("https://twitter.com/elclan29")</f>
        <v>https://twitter.com/elclan29</v>
      </c>
      <c r="BP407" s="112" t="str">
        <f>REPLACE(INDEX(GroupVertices[Group], MATCH("~"&amp;Vertices[[#This Row],[Vertex]],GroupVertices[Vertex],0)),1,1,"")</f>
        <v>46</v>
      </c>
      <c r="BQ407" s="2"/>
    </row>
    <row r="408" spans="1:69" x14ac:dyDescent="0.25">
      <c r="A408" s="61" t="s">
        <v>677</v>
      </c>
      <c r="B408" s="62"/>
      <c r="C408" s="62"/>
      <c r="D408" s="63">
        <v>1.5</v>
      </c>
      <c r="E408" s="65"/>
      <c r="F408" s="97" t="str">
        <f>HYPERLINK("https://pbs.twimg.com/profile_images/1675946039860162560/I76lfiPu_normal.jpg")</f>
        <v>https://pbs.twimg.com/profile_images/1675946039860162560/I76lfiPu_normal.jpg</v>
      </c>
      <c r="G408" s="62"/>
      <c r="H408" s="66"/>
      <c r="I408" s="67"/>
      <c r="J408" s="67"/>
      <c r="K408" s="66" t="s">
        <v>4717</v>
      </c>
      <c r="L408" s="70"/>
      <c r="M408" s="71">
        <v>1612.7591552734375</v>
      </c>
      <c r="N408" s="71">
        <v>4696.40673828125</v>
      </c>
      <c r="O408" s="72"/>
      <c r="P408" s="73"/>
      <c r="Q408" s="73"/>
      <c r="R408" s="81"/>
      <c r="S408" s="45">
        <v>1</v>
      </c>
      <c r="T408" s="45">
        <v>0</v>
      </c>
      <c r="U408" s="46">
        <v>0</v>
      </c>
      <c r="V408" s="46">
        <v>2.0960000000000002E-3</v>
      </c>
      <c r="W408" s="47"/>
      <c r="X408" s="47"/>
      <c r="Y408" s="47"/>
      <c r="Z408" s="46"/>
      <c r="AA408" s="68">
        <v>408</v>
      </c>
      <c r="AB408"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08" s="69"/>
      <c r="AD408" t="s">
        <v>3072</v>
      </c>
      <c r="AE408" s="77" t="s">
        <v>2472</v>
      </c>
      <c r="AF408">
        <v>220509</v>
      </c>
      <c r="AG408">
        <v>907</v>
      </c>
      <c r="AH408">
        <v>10312</v>
      </c>
      <c r="AI408">
        <v>524</v>
      </c>
      <c r="AJ408">
        <v>50993</v>
      </c>
      <c r="AK408">
        <v>2494</v>
      </c>
      <c r="AL408" t="b">
        <v>0</v>
      </c>
      <c r="AM408" s="76">
        <v>41481.992060185185</v>
      </c>
      <c r="AN408" t="s">
        <v>3590</v>
      </c>
      <c r="AO408" t="s">
        <v>3982</v>
      </c>
      <c r="AP408" s="79" t="str">
        <f>HYPERLINK("https://t.co/8zZfuwcUcZ")</f>
        <v>https://t.co/8zZfuwcUcZ</v>
      </c>
      <c r="AQ408" s="79" t="str">
        <f>HYPERLINK("https://www.youtube.com/channel/UC-szrWWIUhm8Imy9s8fWHng")</f>
        <v>https://www.youtube.com/channel/UC-szrWWIUhm8Imy9s8fWHng</v>
      </c>
      <c r="AR408" t="s">
        <v>4208</v>
      </c>
      <c r="AV408">
        <v>1.7185906768733901E+18</v>
      </c>
      <c r="AW408" s="79" t="str">
        <f>HYPERLINK("https://t.co/8zZfuwcUcZ")</f>
        <v>https://t.co/8zZfuwcUcZ</v>
      </c>
      <c r="AX408" t="b">
        <v>1</v>
      </c>
      <c r="AZ408" t="b">
        <v>0</v>
      </c>
      <c r="BA408" t="b">
        <v>1</v>
      </c>
      <c r="BB408" t="b">
        <v>1</v>
      </c>
      <c r="BC408" t="b">
        <v>1</v>
      </c>
      <c r="BD408" t="b">
        <v>0</v>
      </c>
      <c r="BE408" t="b">
        <v>1</v>
      </c>
      <c r="BF408" t="b">
        <v>0</v>
      </c>
      <c r="BG408" t="b">
        <v>0</v>
      </c>
      <c r="BH408" s="79" t="str">
        <f>HYPERLINK("https://pbs.twimg.com/profile_banners/1624130744/1731611974")</f>
        <v>https://pbs.twimg.com/profile_banners/1624130744/1731611974</v>
      </c>
      <c r="BJ408" t="s">
        <v>4320</v>
      </c>
      <c r="BK408" t="b">
        <v>0</v>
      </c>
      <c r="BM408" t="s">
        <v>65</v>
      </c>
      <c r="BN408" t="s">
        <v>4322</v>
      </c>
      <c r="BO408" s="79" t="str">
        <f>HYPERLINK("https://twitter.com/alanbarrosoa")</f>
        <v>https://twitter.com/alanbarrosoa</v>
      </c>
      <c r="BP408" s="112" t="str">
        <f>REPLACE(INDEX(GroupVertices[Group], MATCH("~"&amp;Vertices[[#This Row],[Vertex]],GroupVertices[Vertex],0)),1,1,"")</f>
        <v>46</v>
      </c>
      <c r="BQ408" s="2"/>
    </row>
    <row r="409" spans="1:69" x14ac:dyDescent="0.25">
      <c r="A409" s="61" t="s">
        <v>441</v>
      </c>
      <c r="B409" s="62"/>
      <c r="C409" s="62"/>
      <c r="D409" s="63">
        <v>1.5</v>
      </c>
      <c r="E409" s="65"/>
      <c r="F409" s="97" t="str">
        <f>HYPERLINK("https://pbs.twimg.com/profile_images/1692931351882743809/Zs5214DT_normal.jpg")</f>
        <v>https://pbs.twimg.com/profile_images/1692931351882743809/Zs5214DT_normal.jpg</v>
      </c>
      <c r="G409" s="62"/>
      <c r="H409" s="66"/>
      <c r="I409" s="67"/>
      <c r="J409" s="67"/>
      <c r="K409" s="66" t="s">
        <v>4718</v>
      </c>
      <c r="L409" s="70"/>
      <c r="M409" s="71">
        <v>472.43646240234375</v>
      </c>
      <c r="N409" s="71">
        <v>5037.83740234375</v>
      </c>
      <c r="O409" s="72"/>
      <c r="P409" s="73"/>
      <c r="Q409" s="73"/>
      <c r="R409" s="81"/>
      <c r="S409" s="45">
        <v>1</v>
      </c>
      <c r="T409" s="45">
        <v>1</v>
      </c>
      <c r="U409" s="46">
        <v>0</v>
      </c>
      <c r="V409" s="46">
        <v>0</v>
      </c>
      <c r="W409" s="47"/>
      <c r="X409" s="47"/>
      <c r="Y409" s="47"/>
      <c r="Z409" s="46"/>
      <c r="AA409" s="68">
        <v>409</v>
      </c>
      <c r="AB409"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09" s="69"/>
      <c r="AD409" t="s">
        <v>3073</v>
      </c>
      <c r="AE409" s="77" t="s">
        <v>3359</v>
      </c>
      <c r="AF409">
        <v>41897</v>
      </c>
      <c r="AG409">
        <v>239</v>
      </c>
      <c r="AH409">
        <v>152529</v>
      </c>
      <c r="AI409">
        <v>140</v>
      </c>
      <c r="AJ409">
        <v>31</v>
      </c>
      <c r="AK409">
        <v>58740</v>
      </c>
      <c r="AL409" t="b">
        <v>0</v>
      </c>
      <c r="AM409" s="76">
        <v>39816.166597222225</v>
      </c>
      <c r="AN409" t="s">
        <v>3591</v>
      </c>
      <c r="AO409" t="s">
        <v>3983</v>
      </c>
      <c r="AP409" s="79" t="str">
        <f>HYPERLINK("https://t.co/1iAPcK4u8Y")</f>
        <v>https://t.co/1iAPcK4u8Y</v>
      </c>
      <c r="AQ409" s="79" t="str">
        <f>HYPERLINK("https://www.paislobo.cl")</f>
        <v>https://www.paislobo.cl</v>
      </c>
      <c r="AR409" t="s">
        <v>1194</v>
      </c>
      <c r="AW409" s="79" t="str">
        <f>HYPERLINK("https://t.co/1iAPcK4u8Y")</f>
        <v>https://t.co/1iAPcK4u8Y</v>
      </c>
      <c r="AX409" t="b">
        <v>1</v>
      </c>
      <c r="BA409" t="b">
        <v>1</v>
      </c>
      <c r="BB409" t="b">
        <v>1</v>
      </c>
      <c r="BC409" t="b">
        <v>0</v>
      </c>
      <c r="BD409" t="b">
        <v>0</v>
      </c>
      <c r="BE409" t="b">
        <v>1</v>
      </c>
      <c r="BF409" t="b">
        <v>0</v>
      </c>
      <c r="BG409" t="b">
        <v>0</v>
      </c>
      <c r="BH409" s="79" t="str">
        <f>HYPERLINK("https://pbs.twimg.com/profile_banners/18572502/1722179749")</f>
        <v>https://pbs.twimg.com/profile_banners/18572502/1722179749</v>
      </c>
      <c r="BJ409" t="s">
        <v>4320</v>
      </c>
      <c r="BK409" t="b">
        <v>0</v>
      </c>
      <c r="BM409" t="s">
        <v>66</v>
      </c>
      <c r="BN409" t="s">
        <v>4322</v>
      </c>
      <c r="BO409" s="79" t="str">
        <f>HYPERLINK("https://twitter.com/paislobo")</f>
        <v>https://twitter.com/paislobo</v>
      </c>
      <c r="BP409" s="112" t="str">
        <f>REPLACE(INDEX(GroupVertices[Group], MATCH("~"&amp;Vertices[[#This Row],[Vertex]],GroupVertices[Vertex],0)),1,1,"")</f>
        <v>179</v>
      </c>
      <c r="BQ409" s="2"/>
    </row>
    <row r="410" spans="1:69" x14ac:dyDescent="0.25">
      <c r="A410" s="61" t="s">
        <v>442</v>
      </c>
      <c r="B410" s="62"/>
      <c r="C410" s="62"/>
      <c r="D410" s="63">
        <v>1.5</v>
      </c>
      <c r="E410" s="65"/>
      <c r="F410" s="97" t="str">
        <f>HYPERLINK("https://pbs.twimg.com/profile_images/1821281624547266560/wljefXBA_normal.jpg")</f>
        <v>https://pbs.twimg.com/profile_images/1821281624547266560/wljefXBA_normal.jpg</v>
      </c>
      <c r="G410" s="62"/>
      <c r="H410" s="66"/>
      <c r="I410" s="67"/>
      <c r="J410" s="67"/>
      <c r="K410" s="66" t="s">
        <v>4719</v>
      </c>
      <c r="L410" s="70"/>
      <c r="M410" s="71">
        <v>1164.467529296875</v>
      </c>
      <c r="N410" s="71">
        <v>6572.6552734375</v>
      </c>
      <c r="O410" s="72"/>
      <c r="P410" s="73"/>
      <c r="Q410" s="73"/>
      <c r="R410" s="81"/>
      <c r="S410" s="45">
        <v>0</v>
      </c>
      <c r="T410" s="45">
        <v>1</v>
      </c>
      <c r="U410" s="46">
        <v>0</v>
      </c>
      <c r="V410" s="46">
        <v>2.0960000000000002E-3</v>
      </c>
      <c r="W410" s="47"/>
      <c r="X410" s="47"/>
      <c r="Y410" s="47"/>
      <c r="Z410" s="46"/>
      <c r="AA410" s="68">
        <v>410</v>
      </c>
      <c r="AB410"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10" s="69"/>
      <c r="AD410" t="s">
        <v>3074</v>
      </c>
      <c r="AE410" s="77" t="s">
        <v>2620</v>
      </c>
      <c r="AF410">
        <v>84</v>
      </c>
      <c r="AG410">
        <v>122</v>
      </c>
      <c r="AH410">
        <v>811</v>
      </c>
      <c r="AI410">
        <v>1</v>
      </c>
      <c r="AJ410">
        <v>42566</v>
      </c>
      <c r="AK410">
        <v>58</v>
      </c>
      <c r="AL410" t="b">
        <v>0</v>
      </c>
      <c r="AM410" s="76">
        <v>44453.595543981479</v>
      </c>
      <c r="AN410" t="s">
        <v>3592</v>
      </c>
      <c r="AO410" t="s">
        <v>3984</v>
      </c>
      <c r="AP410" s="79" t="str">
        <f>HYPERLINK("https://t.co/25Obq4t8pg")</f>
        <v>https://t.co/25Obq4t8pg</v>
      </c>
      <c r="AQ410" s="79" t="str">
        <f>HYPERLINK("https://boxd.it/2v7lr")</f>
        <v>https://boxd.it/2v7lr</v>
      </c>
      <c r="AR410" t="s">
        <v>4209</v>
      </c>
      <c r="AV410">
        <v>1.5049370563714099E+18</v>
      </c>
      <c r="AW410" s="79" t="str">
        <f>HYPERLINK("https://t.co/25Obq4t8pg")</f>
        <v>https://t.co/25Obq4t8pg</v>
      </c>
      <c r="AX410" t="b">
        <v>0</v>
      </c>
      <c r="BA410" t="b">
        <v>1</v>
      </c>
      <c r="BB410" t="b">
        <v>1</v>
      </c>
      <c r="BC410" t="b">
        <v>1</v>
      </c>
      <c r="BD410" t="b">
        <v>0</v>
      </c>
      <c r="BE410" t="b">
        <v>1</v>
      </c>
      <c r="BF410" t="b">
        <v>0</v>
      </c>
      <c r="BG410" t="b">
        <v>0</v>
      </c>
      <c r="BH410" s="79" t="str">
        <f>HYPERLINK("https://pbs.twimg.com/profile_banners/1437782474805895177/1714026949")</f>
        <v>https://pbs.twimg.com/profile_banners/1437782474805895177/1714026949</v>
      </c>
      <c r="BJ410" t="s">
        <v>4320</v>
      </c>
      <c r="BK410" t="b">
        <v>0</v>
      </c>
      <c r="BM410" t="s">
        <v>66</v>
      </c>
      <c r="BN410" t="s">
        <v>4322</v>
      </c>
      <c r="BO410" s="79" t="str">
        <f>HYPERLINK("https://twitter.com/sofialopezg_")</f>
        <v>https://twitter.com/sofialopezg_</v>
      </c>
      <c r="BP410" s="112" t="str">
        <f>REPLACE(INDEX(GroupVertices[Group], MATCH("~"&amp;Vertices[[#This Row],[Vertex]],GroupVertices[Vertex],0)),1,1,"")</f>
        <v>77</v>
      </c>
      <c r="BQ410" s="2"/>
    </row>
    <row r="411" spans="1:69" x14ac:dyDescent="0.25">
      <c r="A411" s="61" t="s">
        <v>678</v>
      </c>
      <c r="B411" s="62"/>
      <c r="C411" s="62"/>
      <c r="D411" s="63">
        <v>1.5</v>
      </c>
      <c r="E411" s="65"/>
      <c r="F411" s="97" t="str">
        <f>HYPERLINK("https://pbs.twimg.com/profile_images/1905164998692741120/jsgpIecH_normal.jpg")</f>
        <v>https://pbs.twimg.com/profile_images/1905164998692741120/jsgpIecH_normal.jpg</v>
      </c>
      <c r="G411" s="62"/>
      <c r="H411" s="66"/>
      <c r="I411" s="67"/>
      <c r="J411" s="67"/>
      <c r="K411" s="66" t="s">
        <v>4720</v>
      </c>
      <c r="L411" s="70"/>
      <c r="M411" s="71">
        <v>1263.4801025390625</v>
      </c>
      <c r="N411" s="71">
        <v>3883.9013671875</v>
      </c>
      <c r="O411" s="72"/>
      <c r="P411" s="73"/>
      <c r="Q411" s="73"/>
      <c r="R411" s="81"/>
      <c r="S411" s="45">
        <v>1</v>
      </c>
      <c r="T411" s="45">
        <v>0</v>
      </c>
      <c r="U411" s="46">
        <v>0</v>
      </c>
      <c r="V411" s="46">
        <v>2.0960000000000002E-3</v>
      </c>
      <c r="W411" s="47"/>
      <c r="X411" s="47"/>
      <c r="Y411" s="47"/>
      <c r="Z411" s="46"/>
      <c r="AA411" s="68">
        <v>411</v>
      </c>
      <c r="AB411"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11" s="69"/>
      <c r="AD411" t="s">
        <v>3075</v>
      </c>
      <c r="AE411" s="77" t="s">
        <v>2473</v>
      </c>
      <c r="AF411">
        <v>434</v>
      </c>
      <c r="AG411">
        <v>473</v>
      </c>
      <c r="AH411">
        <v>6391</v>
      </c>
      <c r="AI411">
        <v>1</v>
      </c>
      <c r="AJ411">
        <v>16807</v>
      </c>
      <c r="AK411">
        <v>848</v>
      </c>
      <c r="AL411" t="b">
        <v>0</v>
      </c>
      <c r="AM411" s="76">
        <v>44695.509004629632</v>
      </c>
      <c r="AN411" t="s">
        <v>3593</v>
      </c>
      <c r="AO411" t="s">
        <v>3985</v>
      </c>
      <c r="AX411" t="b">
        <v>0</v>
      </c>
      <c r="AZ411" t="b">
        <v>0</v>
      </c>
      <c r="BA411" t="b">
        <v>0</v>
      </c>
      <c r="BB411" t="b">
        <v>0</v>
      </c>
      <c r="BC411" t="b">
        <v>1</v>
      </c>
      <c r="BD411" t="b">
        <v>0</v>
      </c>
      <c r="BE411" t="b">
        <v>1</v>
      </c>
      <c r="BF411" t="b">
        <v>0</v>
      </c>
      <c r="BG411" t="b">
        <v>0</v>
      </c>
      <c r="BH411" s="79" t="str">
        <f>HYPERLINK("https://pbs.twimg.com/profile_banners/1525449034571333632/1748462523")</f>
        <v>https://pbs.twimg.com/profile_banners/1525449034571333632/1748462523</v>
      </c>
      <c r="BJ411" t="s">
        <v>4320</v>
      </c>
      <c r="BK411" t="b">
        <v>0</v>
      </c>
      <c r="BM411" t="s">
        <v>65</v>
      </c>
      <c r="BN411" t="s">
        <v>4322</v>
      </c>
      <c r="BO411" s="79" t="str">
        <f>HYPERLINK("https://twitter.com/marioofdz3")</f>
        <v>https://twitter.com/marioofdz3</v>
      </c>
      <c r="BP411" s="112" t="str">
        <f>REPLACE(INDEX(GroupVertices[Group], MATCH("~"&amp;Vertices[[#This Row],[Vertex]],GroupVertices[Vertex],0)),1,1,"")</f>
        <v>77</v>
      </c>
      <c r="BQ411" s="2"/>
    </row>
    <row r="412" spans="1:69" x14ac:dyDescent="0.25">
      <c r="A412" s="61" t="s">
        <v>444</v>
      </c>
      <c r="B412" s="62"/>
      <c r="C412" s="62"/>
      <c r="D412" s="63">
        <v>1.5</v>
      </c>
      <c r="E412" s="65"/>
      <c r="F412" s="97" t="str">
        <f>HYPERLINK("https://pbs.twimg.com/profile_images/1759286736599818241/SvakS5_i_normal.jpg")</f>
        <v>https://pbs.twimg.com/profile_images/1759286736599818241/SvakS5_i_normal.jpg</v>
      </c>
      <c r="G412" s="62"/>
      <c r="H412" s="66"/>
      <c r="I412" s="67"/>
      <c r="J412" s="67"/>
      <c r="K412" s="66" t="s">
        <v>4721</v>
      </c>
      <c r="L412" s="70"/>
      <c r="M412" s="71">
        <v>6526.08056640625</v>
      </c>
      <c r="N412" s="71">
        <v>472.21597290039063</v>
      </c>
      <c r="O412" s="72"/>
      <c r="P412" s="73"/>
      <c r="Q412" s="73"/>
      <c r="R412" s="81"/>
      <c r="S412" s="45">
        <v>1</v>
      </c>
      <c r="T412" s="45">
        <v>1</v>
      </c>
      <c r="U412" s="46">
        <v>0</v>
      </c>
      <c r="V412" s="46">
        <v>0</v>
      </c>
      <c r="W412" s="47"/>
      <c r="X412" s="47"/>
      <c r="Y412" s="47"/>
      <c r="Z412" s="46"/>
      <c r="AA412" s="68">
        <v>412</v>
      </c>
      <c r="AB412"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12" s="69"/>
      <c r="AD412" t="s">
        <v>3076</v>
      </c>
      <c r="AE412" s="77" t="s">
        <v>2621</v>
      </c>
      <c r="AF412">
        <v>904</v>
      </c>
      <c r="AG412">
        <v>918</v>
      </c>
      <c r="AH412">
        <v>5193</v>
      </c>
      <c r="AI412">
        <v>4</v>
      </c>
      <c r="AJ412">
        <v>44</v>
      </c>
      <c r="AK412">
        <v>960</v>
      </c>
      <c r="AL412" t="b">
        <v>0</v>
      </c>
      <c r="AM412" s="76">
        <v>43624.97079861111</v>
      </c>
      <c r="AN412" t="s">
        <v>3594</v>
      </c>
      <c r="AO412" t="s">
        <v>3986</v>
      </c>
      <c r="AP412" s="79" t="str">
        <f>HYPERLINK("https://t.co/HtljuSZLuf")</f>
        <v>https://t.co/HtljuSZLuf</v>
      </c>
      <c r="AQ412" s="79" t="str">
        <f>HYPERLINK("http://www.zona11aysen.cl")</f>
        <v>http://www.zona11aysen.cl</v>
      </c>
      <c r="AR412" t="s">
        <v>1195</v>
      </c>
      <c r="AS412" s="79" t="str">
        <f>HYPERLINK("https://t.co/HtljuSZLuf")</f>
        <v>https://t.co/HtljuSZLuf</v>
      </c>
      <c r="AT412" s="79" t="str">
        <f>HYPERLINK("http://www.zona11aysen.cl")</f>
        <v>http://www.zona11aysen.cl</v>
      </c>
      <c r="AU412" t="s">
        <v>1195</v>
      </c>
      <c r="AW412" s="79" t="str">
        <f>HYPERLINK("https://t.co/HtljuSZLuf")</f>
        <v>https://t.co/HtljuSZLuf</v>
      </c>
      <c r="AX412" t="b">
        <v>0</v>
      </c>
      <c r="BA412" t="b">
        <v>0</v>
      </c>
      <c r="BB412" t="b">
        <v>1</v>
      </c>
      <c r="BC412" t="b">
        <v>1</v>
      </c>
      <c r="BD412" t="b">
        <v>0</v>
      </c>
      <c r="BE412" t="b">
        <v>1</v>
      </c>
      <c r="BF412" t="b">
        <v>0</v>
      </c>
      <c r="BG412" t="b">
        <v>0</v>
      </c>
      <c r="BH412" s="79" t="str">
        <f>HYPERLINK("https://pbs.twimg.com/profile_banners/1137499029888282624/1708287939")</f>
        <v>https://pbs.twimg.com/profile_banners/1137499029888282624/1708287939</v>
      </c>
      <c r="BJ412" t="s">
        <v>4320</v>
      </c>
      <c r="BK412" t="b">
        <v>0</v>
      </c>
      <c r="BM412" t="s">
        <v>66</v>
      </c>
      <c r="BN412" t="s">
        <v>4322</v>
      </c>
      <c r="BO412" s="79" t="str">
        <f>HYPERLINK("https://twitter.com/zona11aysen")</f>
        <v>https://twitter.com/zona11aysen</v>
      </c>
      <c r="BP412" s="112" t="str">
        <f>REPLACE(INDEX(GroupVertices[Group], MATCH("~"&amp;Vertices[[#This Row],[Vertex]],GroupVertices[Vertex],0)),1,1,"")</f>
        <v>126</v>
      </c>
      <c r="BQ412" s="2"/>
    </row>
    <row r="413" spans="1:69" x14ac:dyDescent="0.25">
      <c r="A413" s="61" t="s">
        <v>446</v>
      </c>
      <c r="B413" s="62"/>
      <c r="C413" s="62"/>
      <c r="D413" s="63">
        <v>1.5</v>
      </c>
      <c r="E413" s="65"/>
      <c r="F413" s="97" t="str">
        <f>HYPERLINK("https://pbs.twimg.com/profile_images/1438756895293067265/xihaPplE_normal.jpg")</f>
        <v>https://pbs.twimg.com/profile_images/1438756895293067265/xihaPplE_normal.jpg</v>
      </c>
      <c r="G413" s="62"/>
      <c r="H413" s="66"/>
      <c r="I413" s="67"/>
      <c r="J413" s="67"/>
      <c r="K413" s="66" t="s">
        <v>4723</v>
      </c>
      <c r="L413" s="70"/>
      <c r="M413" s="71">
        <v>3950.048583984375</v>
      </c>
      <c r="N413" s="71">
        <v>9490.51953125</v>
      </c>
      <c r="O413" s="72"/>
      <c r="P413" s="73"/>
      <c r="Q413" s="73"/>
      <c r="R413" s="81"/>
      <c r="S413" s="45">
        <v>1</v>
      </c>
      <c r="T413" s="45">
        <v>1</v>
      </c>
      <c r="U413" s="46">
        <v>0</v>
      </c>
      <c r="V413" s="46">
        <v>2.0960000000000002E-3</v>
      </c>
      <c r="W413" s="47"/>
      <c r="X413" s="47"/>
      <c r="Y413" s="47"/>
      <c r="Z413" s="46"/>
      <c r="AA413" s="68">
        <v>413</v>
      </c>
      <c r="AB413"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13" s="69"/>
      <c r="AD413" t="s">
        <v>3078</v>
      </c>
      <c r="AE413" s="77" t="s">
        <v>2474</v>
      </c>
      <c r="AF413">
        <v>37</v>
      </c>
      <c r="AG413">
        <v>182</v>
      </c>
      <c r="AH413">
        <v>2134</v>
      </c>
      <c r="AI413">
        <v>0</v>
      </c>
      <c r="AJ413">
        <v>807</v>
      </c>
      <c r="AK413">
        <v>83</v>
      </c>
      <c r="AL413" t="b">
        <v>0</v>
      </c>
      <c r="AM413" s="76">
        <v>40380.909479166665</v>
      </c>
      <c r="AN413" t="s">
        <v>3595</v>
      </c>
      <c r="AX413" t="b">
        <v>0</v>
      </c>
      <c r="BA413" t="b">
        <v>0</v>
      </c>
      <c r="BB413" t="b">
        <v>1</v>
      </c>
      <c r="BC413" t="b">
        <v>1</v>
      </c>
      <c r="BD413" t="b">
        <v>0</v>
      </c>
      <c r="BE413" t="b">
        <v>1</v>
      </c>
      <c r="BF413" t="b">
        <v>0</v>
      </c>
      <c r="BG413" t="b">
        <v>0</v>
      </c>
      <c r="BJ413" t="s">
        <v>4320</v>
      </c>
      <c r="BK413" t="b">
        <v>0</v>
      </c>
      <c r="BM413" t="s">
        <v>66</v>
      </c>
      <c r="BN413" t="s">
        <v>4322</v>
      </c>
      <c r="BO413" s="79" t="str">
        <f>HYPERLINK("https://twitter.com/manu14_jb")</f>
        <v>https://twitter.com/manu14_jb</v>
      </c>
      <c r="BP413" s="112" t="str">
        <f>REPLACE(INDEX(GroupVertices[Group], MATCH("~"&amp;Vertices[[#This Row],[Vertex]],GroupVertices[Vertex],0)),1,1,"")</f>
        <v>111</v>
      </c>
      <c r="BQ413" s="2"/>
    </row>
    <row r="414" spans="1:69" x14ac:dyDescent="0.25">
      <c r="A414" s="61" t="s">
        <v>447</v>
      </c>
      <c r="B414" s="62"/>
      <c r="C414" s="62"/>
      <c r="D414" s="63">
        <v>1.5</v>
      </c>
      <c r="E414" s="65"/>
      <c r="F414" s="97" t="str">
        <f>HYPERLINK("https://pbs.twimg.com/profile_images/1898639323097919488/rmQKAbQe_normal.jpg")</f>
        <v>https://pbs.twimg.com/profile_images/1898639323097919488/rmQKAbQe_normal.jpg</v>
      </c>
      <c r="G414" s="62"/>
      <c r="H414" s="66"/>
      <c r="I414" s="67"/>
      <c r="J414" s="67"/>
      <c r="K414" s="66" t="s">
        <v>4724</v>
      </c>
      <c r="L414" s="70"/>
      <c r="M414" s="71">
        <v>5266.5087890625</v>
      </c>
      <c r="N414" s="71">
        <v>8469.2275390625</v>
      </c>
      <c r="O414" s="72"/>
      <c r="P414" s="73"/>
      <c r="Q414" s="73"/>
      <c r="R414" s="81"/>
      <c r="S414" s="45">
        <v>1</v>
      </c>
      <c r="T414" s="45">
        <v>1</v>
      </c>
      <c r="U414" s="46">
        <v>0</v>
      </c>
      <c r="V414" s="46">
        <v>2.0960000000000002E-3</v>
      </c>
      <c r="W414" s="47"/>
      <c r="X414" s="47"/>
      <c r="Y414" s="47"/>
      <c r="Z414" s="46"/>
      <c r="AA414" s="68">
        <v>414</v>
      </c>
      <c r="AB414"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14" s="69"/>
      <c r="AD414" t="s">
        <v>3079</v>
      </c>
      <c r="AE414" s="77" t="s">
        <v>2622</v>
      </c>
      <c r="AF414">
        <v>6933</v>
      </c>
      <c r="AG414">
        <v>1000</v>
      </c>
      <c r="AH414">
        <v>49930</v>
      </c>
      <c r="AI414">
        <v>24</v>
      </c>
      <c r="AJ414">
        <v>68812</v>
      </c>
      <c r="AK414">
        <v>9446</v>
      </c>
      <c r="AL414" t="b">
        <v>0</v>
      </c>
      <c r="AM414" s="76">
        <v>43761.808935185189</v>
      </c>
      <c r="AN414" t="s">
        <v>3596</v>
      </c>
      <c r="AO414" t="s">
        <v>3988</v>
      </c>
      <c r="AP414" s="79" t="str">
        <f>HYPERLINK("https://t.co/ZTd0XzueWy")</f>
        <v>https://t.co/ZTd0XzueWy</v>
      </c>
      <c r="AQ414" s="79" t="str">
        <f>HYPERLINK("https://linktr.ee/kiroleros")</f>
        <v>https://linktr.ee/kiroleros</v>
      </c>
      <c r="AR414" t="s">
        <v>4210</v>
      </c>
      <c r="AV414">
        <v>1.92332223307567E+18</v>
      </c>
      <c r="AW414" s="79" t="str">
        <f>HYPERLINK("https://t.co/ZTd0XzueWy")</f>
        <v>https://t.co/ZTd0XzueWy</v>
      </c>
      <c r="AX414" t="b">
        <v>0</v>
      </c>
      <c r="BA414" t="b">
        <v>1</v>
      </c>
      <c r="BB414" t="b">
        <v>1</v>
      </c>
      <c r="BC414" t="b">
        <v>1</v>
      </c>
      <c r="BD414" t="b">
        <v>0</v>
      </c>
      <c r="BE414" t="b">
        <v>1</v>
      </c>
      <c r="BF414" t="b">
        <v>0</v>
      </c>
      <c r="BG414" t="b">
        <v>0</v>
      </c>
      <c r="BH414" s="79" t="str">
        <f>HYPERLINK("https://pbs.twimg.com/profile_banners/1187087452214906886/1678277329")</f>
        <v>https://pbs.twimg.com/profile_banners/1187087452214906886/1678277329</v>
      </c>
      <c r="BJ414" t="s">
        <v>4320</v>
      </c>
      <c r="BK414" t="b">
        <v>0</v>
      </c>
      <c r="BM414" t="s">
        <v>66</v>
      </c>
      <c r="BN414" t="s">
        <v>4322</v>
      </c>
      <c r="BO414" s="79" t="str">
        <f>HYPERLINK("https://twitter.com/kiroleros")</f>
        <v>https://twitter.com/kiroleros</v>
      </c>
      <c r="BP414" s="112" t="str">
        <f>REPLACE(INDEX(GroupVertices[Group], MATCH("~"&amp;Vertices[[#This Row],[Vertex]],GroupVertices[Vertex],0)),1,1,"")</f>
        <v>111</v>
      </c>
      <c r="BQ414" s="2"/>
    </row>
    <row r="415" spans="1:69" x14ac:dyDescent="0.25">
      <c r="A415" s="61" t="s">
        <v>448</v>
      </c>
      <c r="B415" s="62"/>
      <c r="C415" s="62"/>
      <c r="D415" s="63">
        <v>1.5</v>
      </c>
      <c r="E415" s="65"/>
      <c r="F415" s="97" t="str">
        <f>HYPERLINK("https://pbs.twimg.com/profile_images/1911124316407652352/_sZds5IQ_normal.jpg")</f>
        <v>https://pbs.twimg.com/profile_images/1911124316407652352/_sZds5IQ_normal.jpg</v>
      </c>
      <c r="G415" s="62"/>
      <c r="H415" s="66"/>
      <c r="I415" s="67"/>
      <c r="J415" s="67"/>
      <c r="K415" s="66" t="s">
        <v>4725</v>
      </c>
      <c r="L415" s="70"/>
      <c r="M415" s="71">
        <v>4595.4462890625</v>
      </c>
      <c r="N415" s="71">
        <v>1423.626220703125</v>
      </c>
      <c r="O415" s="72"/>
      <c r="P415" s="73"/>
      <c r="Q415" s="73"/>
      <c r="R415" s="81"/>
      <c r="S415" s="45">
        <v>1</v>
      </c>
      <c r="T415" s="45">
        <v>1</v>
      </c>
      <c r="U415" s="46">
        <v>0</v>
      </c>
      <c r="V415" s="46">
        <v>0</v>
      </c>
      <c r="W415" s="47"/>
      <c r="X415" s="47"/>
      <c r="Y415" s="47"/>
      <c r="Z415" s="46"/>
      <c r="AA415" s="68">
        <v>415</v>
      </c>
      <c r="AB415"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15" s="69"/>
      <c r="AD415" t="s">
        <v>3080</v>
      </c>
      <c r="AE415" s="77" t="s">
        <v>3361</v>
      </c>
      <c r="AF415">
        <v>324</v>
      </c>
      <c r="AG415">
        <v>191</v>
      </c>
      <c r="AH415">
        <v>104159</v>
      </c>
      <c r="AI415">
        <v>10</v>
      </c>
      <c r="AJ415">
        <v>116514</v>
      </c>
      <c r="AK415">
        <v>9098</v>
      </c>
      <c r="AL415" t="b">
        <v>0</v>
      </c>
      <c r="AM415" s="76">
        <v>41031.684004629627</v>
      </c>
      <c r="AN415" t="s">
        <v>3597</v>
      </c>
      <c r="AO415" t="s">
        <v>3989</v>
      </c>
      <c r="AP415" s="79" t="str">
        <f>HYPERLINK("https://t.co/JPkcuy0voq")</f>
        <v>https://t.co/JPkcuy0voq</v>
      </c>
      <c r="AQ415" s="79" t="str">
        <f>HYPERLINK("https://open.spotify.com/album/39Z4UZreBQ0C2WVQ8f1EbF?si=EJzZsxLDRxO-AlNrAqqSag")</f>
        <v>https://open.spotify.com/album/39Z4UZreBQ0C2WVQ8f1EbF?si=EJzZsxLDRxO-AlNrAqqSag</v>
      </c>
      <c r="AR415" t="s">
        <v>4211</v>
      </c>
      <c r="AV415">
        <v>1.2983104802688699E+18</v>
      </c>
      <c r="AW415" s="79" t="str">
        <f>HYPERLINK("https://t.co/JPkcuy0voq")</f>
        <v>https://t.co/JPkcuy0voq</v>
      </c>
      <c r="AX415" t="b">
        <v>0</v>
      </c>
      <c r="BA415" t="b">
        <v>0</v>
      </c>
      <c r="BB415" t="b">
        <v>0</v>
      </c>
      <c r="BC415" t="b">
        <v>0</v>
      </c>
      <c r="BD415" t="b">
        <v>0</v>
      </c>
      <c r="BE415" t="b">
        <v>0</v>
      </c>
      <c r="BF415" t="b">
        <v>0</v>
      </c>
      <c r="BG415" t="b">
        <v>0</v>
      </c>
      <c r="BH415" s="79" t="str">
        <f>HYPERLINK("https://pbs.twimg.com/profile_banners/569228717/1745622450")</f>
        <v>https://pbs.twimg.com/profile_banners/569228717/1745622450</v>
      </c>
      <c r="BJ415" t="s">
        <v>4320</v>
      </c>
      <c r="BK415" t="b">
        <v>0</v>
      </c>
      <c r="BM415" t="s">
        <v>66</v>
      </c>
      <c r="BN415" t="s">
        <v>4322</v>
      </c>
      <c r="BO415" s="79" t="str">
        <f>HYPERLINK("https://twitter.com/pabubell")</f>
        <v>https://twitter.com/pabubell</v>
      </c>
      <c r="BP415" s="112" t="str">
        <f>REPLACE(INDEX(GroupVertices[Group], MATCH("~"&amp;Vertices[[#This Row],[Vertex]],GroupVertices[Vertex],0)),1,1,"")</f>
        <v>154</v>
      </c>
      <c r="BQ415" s="2"/>
    </row>
    <row r="416" spans="1:69" x14ac:dyDescent="0.25">
      <c r="A416" s="61" t="s">
        <v>449</v>
      </c>
      <c r="B416" s="62"/>
      <c r="C416" s="62"/>
      <c r="D416" s="63">
        <v>1.5</v>
      </c>
      <c r="E416" s="65"/>
      <c r="F416" s="97" t="str">
        <f>HYPERLINK("https://pbs.twimg.com/profile_images/1377357480322289669/zFO40nD__normal.jpg")</f>
        <v>https://pbs.twimg.com/profile_images/1377357480322289669/zFO40nD__normal.jpg</v>
      </c>
      <c r="G416" s="62"/>
      <c r="H416" s="66"/>
      <c r="I416" s="67"/>
      <c r="J416" s="67"/>
      <c r="K416" s="66" t="s">
        <v>4726</v>
      </c>
      <c r="L416" s="70"/>
      <c r="M416" s="71">
        <v>9203.798828125</v>
      </c>
      <c r="N416" s="71">
        <v>7588.44921875</v>
      </c>
      <c r="O416" s="72"/>
      <c r="P416" s="73"/>
      <c r="Q416" s="73"/>
      <c r="R416" s="81"/>
      <c r="S416" s="45">
        <v>1</v>
      </c>
      <c r="T416" s="45">
        <v>1</v>
      </c>
      <c r="U416" s="46">
        <v>0</v>
      </c>
      <c r="V416" s="46">
        <v>0</v>
      </c>
      <c r="W416" s="47"/>
      <c r="X416" s="47"/>
      <c r="Y416" s="47"/>
      <c r="Z416" s="46"/>
      <c r="AA416" s="68">
        <v>416</v>
      </c>
      <c r="AB416"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16" s="69"/>
      <c r="AD416" t="s">
        <v>3081</v>
      </c>
      <c r="AE416" s="77" t="s">
        <v>2623</v>
      </c>
      <c r="AF416">
        <v>532</v>
      </c>
      <c r="AG416">
        <v>678</v>
      </c>
      <c r="AH416">
        <v>36776</v>
      </c>
      <c r="AI416">
        <v>3</v>
      </c>
      <c r="AJ416">
        <v>102</v>
      </c>
      <c r="AK416">
        <v>850</v>
      </c>
      <c r="AL416" t="b">
        <v>0</v>
      </c>
      <c r="AM416" s="76">
        <v>44286.83971064815</v>
      </c>
      <c r="AN416" t="s">
        <v>3400</v>
      </c>
      <c r="AO416" t="s">
        <v>3990</v>
      </c>
      <c r="AP416" s="79" t="str">
        <f>HYPERLINK("https://t.co/iHj1dcBwtL")</f>
        <v>https://t.co/iHj1dcBwtL</v>
      </c>
      <c r="AQ416" s="79" t="str">
        <f>HYPERLINK("https://www.encancha.cl/enlahora/")</f>
        <v>https://www.encancha.cl/enlahora/</v>
      </c>
      <c r="AR416" t="s">
        <v>4212</v>
      </c>
      <c r="AW416" s="79" t="str">
        <f>HYPERLINK("https://t.co/iHj1dcBwtL")</f>
        <v>https://t.co/iHj1dcBwtL</v>
      </c>
      <c r="AX416" t="b">
        <v>0</v>
      </c>
      <c r="BA416" t="b">
        <v>0</v>
      </c>
      <c r="BB416" t="b">
        <v>1</v>
      </c>
      <c r="BC416" t="b">
        <v>1</v>
      </c>
      <c r="BD416" t="b">
        <v>0</v>
      </c>
      <c r="BE416" t="b">
        <v>1</v>
      </c>
      <c r="BF416" t="b">
        <v>0</v>
      </c>
      <c r="BG416" t="b">
        <v>0</v>
      </c>
      <c r="BH416" s="79" t="str">
        <f>HYPERLINK("https://pbs.twimg.com/profile_banners/1377352198863081476/1628047118")</f>
        <v>https://pbs.twimg.com/profile_banners/1377352198863081476/1628047118</v>
      </c>
      <c r="BJ416" t="s">
        <v>4320</v>
      </c>
      <c r="BK416" t="b">
        <v>0</v>
      </c>
      <c r="BM416" t="s">
        <v>66</v>
      </c>
      <c r="BN416" t="s">
        <v>4322</v>
      </c>
      <c r="BO416" s="79" t="str">
        <f>HYPERLINK("https://twitter.com/enlahoracl")</f>
        <v>https://twitter.com/enlahoracl</v>
      </c>
      <c r="BP416" s="112" t="str">
        <f>REPLACE(INDEX(GroupVertices[Group], MATCH("~"&amp;Vertices[[#This Row],[Vertex]],GroupVertices[Vertex],0)),1,1,"")</f>
        <v>170</v>
      </c>
      <c r="BQ416" s="2"/>
    </row>
    <row r="417" spans="1:69" x14ac:dyDescent="0.25">
      <c r="A417" s="61" t="s">
        <v>450</v>
      </c>
      <c r="B417" s="62"/>
      <c r="C417" s="62"/>
      <c r="D417" s="63">
        <v>1.5</v>
      </c>
      <c r="E417" s="65"/>
      <c r="F417" s="97" t="str">
        <f>HYPERLINK("https://abs.twimg.com/sticky/default_profile_images/default_profile_normal.png")</f>
        <v>https://abs.twimg.com/sticky/default_profile_images/default_profile_normal.png</v>
      </c>
      <c r="G417" s="62"/>
      <c r="H417" s="66"/>
      <c r="I417" s="67"/>
      <c r="J417" s="67"/>
      <c r="K417" s="66" t="s">
        <v>4727</v>
      </c>
      <c r="L417" s="70"/>
      <c r="M417" s="71">
        <v>3166.1220703125</v>
      </c>
      <c r="N417" s="71">
        <v>1814.081298828125</v>
      </c>
      <c r="O417" s="72"/>
      <c r="P417" s="73"/>
      <c r="Q417" s="73"/>
      <c r="R417" s="81"/>
      <c r="S417" s="45">
        <v>0</v>
      </c>
      <c r="T417" s="45">
        <v>1</v>
      </c>
      <c r="U417" s="46">
        <v>0</v>
      </c>
      <c r="V417" s="46">
        <v>2.3883000000000001E-2</v>
      </c>
      <c r="W417" s="47"/>
      <c r="X417" s="47"/>
      <c r="Y417" s="47"/>
      <c r="Z417" s="46"/>
      <c r="AA417" s="68">
        <v>417</v>
      </c>
      <c r="AB417"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17" s="69"/>
      <c r="AD417" t="s">
        <v>3044</v>
      </c>
      <c r="AE417" s="77" t="s">
        <v>2624</v>
      </c>
      <c r="AF417">
        <v>7</v>
      </c>
      <c r="AG417">
        <v>124</v>
      </c>
      <c r="AH417">
        <v>791</v>
      </c>
      <c r="AI417">
        <v>1</v>
      </c>
      <c r="AJ417">
        <v>1028</v>
      </c>
      <c r="AK417">
        <v>10</v>
      </c>
      <c r="AL417" t="b">
        <v>0</v>
      </c>
      <c r="AM417" s="76">
        <v>44655.680833333332</v>
      </c>
      <c r="AX417" t="b">
        <v>0</v>
      </c>
      <c r="BA417" t="b">
        <v>0</v>
      </c>
      <c r="BB417" t="b">
        <v>1</v>
      </c>
      <c r="BC417" t="b">
        <v>1</v>
      </c>
      <c r="BD417" t="b">
        <v>1</v>
      </c>
      <c r="BE417" t="b">
        <v>1</v>
      </c>
      <c r="BF417" t="b">
        <v>0</v>
      </c>
      <c r="BG417" t="b">
        <v>0</v>
      </c>
      <c r="BJ417" t="s">
        <v>4320</v>
      </c>
      <c r="BK417" t="b">
        <v>0</v>
      </c>
      <c r="BM417" t="s">
        <v>66</v>
      </c>
      <c r="BN417" t="s">
        <v>4322</v>
      </c>
      <c r="BO417" s="79" t="str">
        <f>HYPERLINK("https://twitter.com/claucortesi")</f>
        <v>https://twitter.com/claucortesi</v>
      </c>
      <c r="BP417" s="112" t="str">
        <f>REPLACE(INDEX(GroupVertices[Group], MATCH("~"&amp;Vertices[[#This Row],[Vertex]],GroupVertices[Vertex],0)),1,1,"")</f>
        <v>1</v>
      </c>
      <c r="BQ417" s="2"/>
    </row>
    <row r="418" spans="1:69" x14ac:dyDescent="0.25">
      <c r="A418" s="61" t="s">
        <v>679</v>
      </c>
      <c r="B418" s="62"/>
      <c r="C418" s="62"/>
      <c r="D418" s="63">
        <v>1.5</v>
      </c>
      <c r="E418" s="65"/>
      <c r="F418" s="97" t="str">
        <f>HYPERLINK("https://pbs.twimg.com/profile_images/1819760885906206720/sRzIQm8X_normal.jpg")</f>
        <v>https://pbs.twimg.com/profile_images/1819760885906206720/sRzIQm8X_normal.jpg</v>
      </c>
      <c r="G418" s="62"/>
      <c r="H418" s="66"/>
      <c r="I418" s="67"/>
      <c r="J418" s="67"/>
      <c r="K418" s="66" t="s">
        <v>4729</v>
      </c>
      <c r="L418" s="70"/>
      <c r="M418" s="71">
        <v>4055.56982421875</v>
      </c>
      <c r="N418" s="71">
        <v>8627.4267578125</v>
      </c>
      <c r="O418" s="72"/>
      <c r="P418" s="73"/>
      <c r="Q418" s="73"/>
      <c r="R418" s="81"/>
      <c r="S418" s="45">
        <v>1</v>
      </c>
      <c r="T418" s="45">
        <v>0</v>
      </c>
      <c r="U418" s="46">
        <v>0</v>
      </c>
      <c r="V418" s="46">
        <v>2.7950000000000002E-3</v>
      </c>
      <c r="W418" s="47"/>
      <c r="X418" s="47"/>
      <c r="Y418" s="47"/>
      <c r="Z418" s="46"/>
      <c r="AA418" s="68">
        <v>418</v>
      </c>
      <c r="AB418"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18" s="69"/>
      <c r="AD418" t="s">
        <v>3083</v>
      </c>
      <c r="AE418" s="77" t="s">
        <v>3362</v>
      </c>
      <c r="AF418">
        <v>14189</v>
      </c>
      <c r="AG418">
        <v>11431</v>
      </c>
      <c r="AH418">
        <v>253261</v>
      </c>
      <c r="AI418">
        <v>3</v>
      </c>
      <c r="AJ418">
        <v>234308</v>
      </c>
      <c r="AK418">
        <v>25805</v>
      </c>
      <c r="AL418" t="b">
        <v>0</v>
      </c>
      <c r="AM418" s="76">
        <v>43586.718495370369</v>
      </c>
      <c r="AO418" t="s">
        <v>3991</v>
      </c>
      <c r="AV418">
        <v>1.21176632837535E+18</v>
      </c>
      <c r="AX418" t="b">
        <v>1</v>
      </c>
      <c r="AZ418" t="b">
        <v>0</v>
      </c>
      <c r="BA418" t="b">
        <v>0</v>
      </c>
      <c r="BB418" t="b">
        <v>0</v>
      </c>
      <c r="BC418" t="b">
        <v>1</v>
      </c>
      <c r="BD418" t="b">
        <v>0</v>
      </c>
      <c r="BE418" t="b">
        <v>1</v>
      </c>
      <c r="BF418" t="b">
        <v>0</v>
      </c>
      <c r="BG418" t="b">
        <v>0</v>
      </c>
      <c r="BH418" s="79" t="str">
        <f>HYPERLINK("https://pbs.twimg.com/profile_banners/1123636860566241280/1722234342")</f>
        <v>https://pbs.twimg.com/profile_banners/1123636860566241280/1722234342</v>
      </c>
      <c r="BJ418" t="s">
        <v>4320</v>
      </c>
      <c r="BK418" t="b">
        <v>0</v>
      </c>
      <c r="BM418" t="s">
        <v>65</v>
      </c>
      <c r="BN418" t="s">
        <v>4322</v>
      </c>
      <c r="BO418" s="79" t="str">
        <f>HYPERLINK("https://twitter.com/10dmayo1")</f>
        <v>https://twitter.com/10dmayo1</v>
      </c>
      <c r="BP418" s="112" t="str">
        <f>REPLACE(INDEX(GroupVertices[Group], MATCH("~"&amp;Vertices[[#This Row],[Vertex]],GroupVertices[Vertex],0)),1,1,"")</f>
        <v>34</v>
      </c>
      <c r="BQ418" s="2"/>
    </row>
    <row r="419" spans="1:69" x14ac:dyDescent="0.25">
      <c r="A419" s="61" t="s">
        <v>680</v>
      </c>
      <c r="B419" s="62"/>
      <c r="C419" s="62"/>
      <c r="D419" s="63">
        <v>1.5</v>
      </c>
      <c r="E419" s="65"/>
      <c r="F419" s="97" t="str">
        <f>HYPERLINK("https://pbs.twimg.com/profile_images/1827437112704012288/x2sMt8qZ_normal.jpg")</f>
        <v>https://pbs.twimg.com/profile_images/1827437112704012288/x2sMt8qZ_normal.jpg</v>
      </c>
      <c r="G419" s="62"/>
      <c r="H419" s="66"/>
      <c r="I419" s="67"/>
      <c r="J419" s="67"/>
      <c r="K419" s="66" t="s">
        <v>4730</v>
      </c>
      <c r="L419" s="70"/>
      <c r="M419" s="71">
        <v>7595.025390625</v>
      </c>
      <c r="N419" s="71">
        <v>5584.740234375</v>
      </c>
      <c r="O419" s="72"/>
      <c r="P419" s="73"/>
      <c r="Q419" s="73"/>
      <c r="R419" s="81"/>
      <c r="S419" s="45">
        <v>1</v>
      </c>
      <c r="T419" s="45">
        <v>0</v>
      </c>
      <c r="U419" s="46">
        <v>0</v>
      </c>
      <c r="V419" s="46">
        <v>2.7950000000000002E-3</v>
      </c>
      <c r="W419" s="47"/>
      <c r="X419" s="47"/>
      <c r="Y419" s="47"/>
      <c r="Z419" s="46"/>
      <c r="AA419" s="68">
        <v>419</v>
      </c>
      <c r="AB419"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19" s="69"/>
      <c r="AD419" t="s">
        <v>3084</v>
      </c>
      <c r="AE419" s="77" t="s">
        <v>2475</v>
      </c>
      <c r="AF419">
        <v>190370</v>
      </c>
      <c r="AG419">
        <v>1603</v>
      </c>
      <c r="AH419">
        <v>204967</v>
      </c>
      <c r="AI419">
        <v>681</v>
      </c>
      <c r="AJ419">
        <v>105278</v>
      </c>
      <c r="AK419">
        <v>18486</v>
      </c>
      <c r="AL419" t="b">
        <v>0</v>
      </c>
      <c r="AM419" s="76">
        <v>40556.741226851853</v>
      </c>
      <c r="AN419" t="s">
        <v>3598</v>
      </c>
      <c r="AO419" t="s">
        <v>3992</v>
      </c>
      <c r="AP419" s="79" t="str">
        <f>HYPERLINK("https://t.co/ilAEcddnRK")</f>
        <v>https://t.co/ilAEcddnRK</v>
      </c>
      <c r="AQ419" s="79" t="str">
        <f>HYPERLINK("http://www.garcimonero.com")</f>
        <v>http://www.garcimonero.com</v>
      </c>
      <c r="AR419" t="s">
        <v>4213</v>
      </c>
      <c r="AW419" s="79" t="str">
        <f>HYPERLINK("https://t.co/ilAEcddnRK")</f>
        <v>https://t.co/ilAEcddnRK</v>
      </c>
      <c r="AX419" t="b">
        <v>1</v>
      </c>
      <c r="AZ419" t="b">
        <v>0</v>
      </c>
      <c r="BA419" t="b">
        <v>0</v>
      </c>
      <c r="BB419" t="b">
        <v>1</v>
      </c>
      <c r="BC419" t="b">
        <v>0</v>
      </c>
      <c r="BD419" t="b">
        <v>0</v>
      </c>
      <c r="BE419" t="b">
        <v>1</v>
      </c>
      <c r="BF419" t="b">
        <v>0</v>
      </c>
      <c r="BG419" t="b">
        <v>0</v>
      </c>
      <c r="BH419" s="79" t="str">
        <f>HYPERLINK("https://pbs.twimg.com/profile_banners/237809423/1493693648")</f>
        <v>https://pbs.twimg.com/profile_banners/237809423/1493693648</v>
      </c>
      <c r="BJ419" t="s">
        <v>4320</v>
      </c>
      <c r="BK419" t="b">
        <v>0</v>
      </c>
      <c r="BM419" t="s">
        <v>65</v>
      </c>
      <c r="BN419" t="s">
        <v>4322</v>
      </c>
      <c r="BO419" s="79" t="str">
        <f>HYPERLINK("https://twitter.com/garcimonero")</f>
        <v>https://twitter.com/garcimonero</v>
      </c>
      <c r="BP419" s="112" t="str">
        <f>REPLACE(INDEX(GroupVertices[Group], MATCH("~"&amp;Vertices[[#This Row],[Vertex]],GroupVertices[Vertex],0)),1,1,"")</f>
        <v>34</v>
      </c>
      <c r="BQ419" s="2"/>
    </row>
    <row r="420" spans="1:69" x14ac:dyDescent="0.25">
      <c r="A420" s="61" t="s">
        <v>452</v>
      </c>
      <c r="B420" s="62"/>
      <c r="C420" s="62"/>
      <c r="D420" s="63">
        <v>1.5</v>
      </c>
      <c r="E420" s="65"/>
      <c r="F420" s="97" t="str">
        <f>HYPERLINK("https://pbs.twimg.com/profile_images/1802143235696967680/bQrh3SJ3_normal.jpg")</f>
        <v>https://pbs.twimg.com/profile_images/1802143235696967680/bQrh3SJ3_normal.jpg</v>
      </c>
      <c r="G420" s="62"/>
      <c r="H420" s="66"/>
      <c r="I420" s="67"/>
      <c r="J420" s="67"/>
      <c r="K420" s="66" t="s">
        <v>4731</v>
      </c>
      <c r="L420" s="70"/>
      <c r="M420" s="71">
        <v>6045.42822265625</v>
      </c>
      <c r="N420" s="71">
        <v>9201.30078125</v>
      </c>
      <c r="O420" s="72"/>
      <c r="P420" s="73"/>
      <c r="Q420" s="73"/>
      <c r="R420" s="81"/>
      <c r="S420" s="45">
        <v>2</v>
      </c>
      <c r="T420" s="45">
        <v>1</v>
      </c>
      <c r="U420" s="46">
        <v>0</v>
      </c>
      <c r="V420" s="46">
        <v>2.0960000000000002E-3</v>
      </c>
      <c r="W420" s="47"/>
      <c r="X420" s="47"/>
      <c r="Y420" s="47"/>
      <c r="Z420" s="46"/>
      <c r="AA420" s="68">
        <v>420</v>
      </c>
      <c r="AB420"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20" s="69"/>
      <c r="AD420" t="s">
        <v>3085</v>
      </c>
      <c r="AE420" s="77" t="s">
        <v>3363</v>
      </c>
      <c r="AF420">
        <v>2222008</v>
      </c>
      <c r="AG420">
        <v>246</v>
      </c>
      <c r="AH420">
        <v>143550</v>
      </c>
      <c r="AI420">
        <v>3004</v>
      </c>
      <c r="AJ420">
        <v>4301</v>
      </c>
      <c r="AK420">
        <v>67783</v>
      </c>
      <c r="AL420" t="b">
        <v>0</v>
      </c>
      <c r="AM420" s="76">
        <v>40217.567106481481</v>
      </c>
      <c r="AN420" t="s">
        <v>3400</v>
      </c>
      <c r="AO420" t="s">
        <v>3993</v>
      </c>
      <c r="AP420" s="79" t="str">
        <f>HYPERLINK("https://t.co/iAyoin5Lc8")</f>
        <v>https://t.co/iAyoin5Lc8</v>
      </c>
      <c r="AQ420" s="79" t="str">
        <f>HYPERLINK("http://www.senapred.cl")</f>
        <v>http://www.senapred.cl</v>
      </c>
      <c r="AR420" t="s">
        <v>1197</v>
      </c>
      <c r="AS420" t="s">
        <v>4246</v>
      </c>
      <c r="AT420" t="s">
        <v>4259</v>
      </c>
      <c r="AU420" t="s">
        <v>4312</v>
      </c>
      <c r="AW420" s="79" t="str">
        <f>HYPERLINK("https://t.co/iAyoin5Lc8")</f>
        <v>https://t.co/iAyoin5Lc8</v>
      </c>
      <c r="AX420" t="b">
        <v>1</v>
      </c>
      <c r="AZ420" t="b">
        <v>1</v>
      </c>
      <c r="BA420" t="b">
        <v>0</v>
      </c>
      <c r="BB420" t="b">
        <v>1</v>
      </c>
      <c r="BC420" t="b">
        <v>0</v>
      </c>
      <c r="BD420" t="b">
        <v>0</v>
      </c>
      <c r="BE420" t="b">
        <v>1</v>
      </c>
      <c r="BF420" t="b">
        <v>0</v>
      </c>
      <c r="BG420" t="b">
        <v>0</v>
      </c>
      <c r="BH420" s="79" t="str">
        <f>HYPERLINK("https://pbs.twimg.com/profile_banners/112431151/1730823855")</f>
        <v>https://pbs.twimg.com/profile_banners/112431151/1730823855</v>
      </c>
      <c r="BJ420" t="s">
        <v>4320</v>
      </c>
      <c r="BK420" t="b">
        <v>1</v>
      </c>
      <c r="BM420" t="s">
        <v>66</v>
      </c>
      <c r="BN420" t="s">
        <v>4322</v>
      </c>
      <c r="BO420" s="79" t="str">
        <f>HYPERLINK("https://twitter.com/senapred")</f>
        <v>https://twitter.com/senapred</v>
      </c>
      <c r="BP420" s="112" t="str">
        <f>REPLACE(INDEX(GroupVertices[Group], MATCH("~"&amp;Vertices[[#This Row],[Vertex]],GroupVertices[Vertex],0)),1,1,"")</f>
        <v>99</v>
      </c>
      <c r="BQ420" s="2"/>
    </row>
    <row r="421" spans="1:69" x14ac:dyDescent="0.25">
      <c r="A421" s="61" t="s">
        <v>453</v>
      </c>
      <c r="B421" s="62"/>
      <c r="C421" s="62"/>
      <c r="D421" s="63">
        <v>1.5</v>
      </c>
      <c r="E421" s="65"/>
      <c r="F421" s="97" t="str">
        <f>HYPERLINK("https://pbs.twimg.com/profile_images/1770870222045523968/KMEB-gkB_normal.jpg")</f>
        <v>https://pbs.twimg.com/profile_images/1770870222045523968/KMEB-gkB_normal.jpg</v>
      </c>
      <c r="G421" s="62"/>
      <c r="H421" s="66"/>
      <c r="I421" s="67"/>
      <c r="J421" s="67"/>
      <c r="K421" s="66" t="s">
        <v>4732</v>
      </c>
      <c r="L421" s="70"/>
      <c r="M421" s="71">
        <v>3811.971923828125</v>
      </c>
      <c r="N421" s="71">
        <v>8284.84765625</v>
      </c>
      <c r="O421" s="72"/>
      <c r="P421" s="73"/>
      <c r="Q421" s="73"/>
      <c r="R421" s="81"/>
      <c r="S421" s="45">
        <v>0</v>
      </c>
      <c r="T421" s="45">
        <v>1</v>
      </c>
      <c r="U421" s="46">
        <v>0</v>
      </c>
      <c r="V421" s="46">
        <v>2.0960000000000002E-3</v>
      </c>
      <c r="W421" s="47"/>
      <c r="X421" s="47"/>
      <c r="Y421" s="47"/>
      <c r="Z421" s="46"/>
      <c r="AA421" s="68">
        <v>421</v>
      </c>
      <c r="AB421"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21" s="69"/>
      <c r="AD421" t="s">
        <v>3086</v>
      </c>
      <c r="AE421" s="77" t="s">
        <v>2626</v>
      </c>
      <c r="AF421">
        <v>4203</v>
      </c>
      <c r="AG421">
        <v>3934</v>
      </c>
      <c r="AH421">
        <v>3887</v>
      </c>
      <c r="AI421">
        <v>8</v>
      </c>
      <c r="AJ421">
        <v>3216</v>
      </c>
      <c r="AK421">
        <v>787</v>
      </c>
      <c r="AL421" t="b">
        <v>0</v>
      </c>
      <c r="AM421" s="76">
        <v>43217.986400462964</v>
      </c>
      <c r="AO421" t="s">
        <v>3994</v>
      </c>
      <c r="AP421" s="79" t="str">
        <f>HYPERLINK("https://t.co/Tn0nCibZPT")</f>
        <v>https://t.co/Tn0nCibZPT</v>
      </c>
      <c r="AQ421" s="79" t="str">
        <f>HYPERLINK("http://resilienciachile.cl/")</f>
        <v>http://resilienciachile.cl/</v>
      </c>
      <c r="AR421" t="s">
        <v>4214</v>
      </c>
      <c r="AV421">
        <v>1.90431974730863E+18</v>
      </c>
      <c r="AW421" s="79" t="str">
        <f>HYPERLINK("https://t.co/Tn0nCibZPT")</f>
        <v>https://t.co/Tn0nCibZPT</v>
      </c>
      <c r="AX421" t="b">
        <v>1</v>
      </c>
      <c r="BA421" t="b">
        <v>0</v>
      </c>
      <c r="BB421" t="b">
        <v>1</v>
      </c>
      <c r="BC421" t="b">
        <v>1</v>
      </c>
      <c r="BD421" t="b">
        <v>0</v>
      </c>
      <c r="BE421" t="b">
        <v>0</v>
      </c>
      <c r="BF421" t="b">
        <v>0</v>
      </c>
      <c r="BG421" t="b">
        <v>0</v>
      </c>
      <c r="BH421" s="79" t="str">
        <f>HYPERLINK("https://pbs.twimg.com/profile_banners/990012825547485184/1711043350")</f>
        <v>https://pbs.twimg.com/profile_banners/990012825547485184/1711043350</v>
      </c>
      <c r="BJ421" t="s">
        <v>4320</v>
      </c>
      <c r="BK421" t="b">
        <v>0</v>
      </c>
      <c r="BM421" t="s">
        <v>66</v>
      </c>
      <c r="BN421" t="s">
        <v>4322</v>
      </c>
      <c r="BO421" s="79" t="str">
        <f>HYPERLINK("https://twitter.com/achormazabal")</f>
        <v>https://twitter.com/achormazabal</v>
      </c>
      <c r="BP421" s="112" t="str">
        <f>REPLACE(INDEX(GroupVertices[Group], MATCH("~"&amp;Vertices[[#This Row],[Vertex]],GroupVertices[Vertex],0)),1,1,"")</f>
        <v>99</v>
      </c>
      <c r="BQ421" s="2"/>
    </row>
    <row r="422" spans="1:69" x14ac:dyDescent="0.25">
      <c r="A422" s="61" t="s">
        <v>454</v>
      </c>
      <c r="B422" s="62"/>
      <c r="C422" s="62"/>
      <c r="D422" s="63">
        <v>1.5</v>
      </c>
      <c r="E422" s="65"/>
      <c r="F422" s="97" t="str">
        <f>HYPERLINK("https://abs.twimg.com/sticky/default_profile_images/default_profile_normal.png")</f>
        <v>https://abs.twimg.com/sticky/default_profile_images/default_profile_normal.png</v>
      </c>
      <c r="G422" s="62"/>
      <c r="H422" s="66"/>
      <c r="I422" s="67"/>
      <c r="J422" s="67"/>
      <c r="K422" s="66" t="s">
        <v>4733</v>
      </c>
      <c r="L422" s="70"/>
      <c r="M422" s="71">
        <v>3634.65966796875</v>
      </c>
      <c r="N422" s="71">
        <v>5816.56494140625</v>
      </c>
      <c r="O422" s="72"/>
      <c r="P422" s="73"/>
      <c r="Q422" s="73"/>
      <c r="R422" s="81"/>
      <c r="S422" s="45">
        <v>0</v>
      </c>
      <c r="T422" s="45">
        <v>1</v>
      </c>
      <c r="U422" s="46">
        <v>0</v>
      </c>
      <c r="V422" s="46">
        <v>1.1611E-2</v>
      </c>
      <c r="W422" s="47"/>
      <c r="X422" s="47"/>
      <c r="Y422" s="47"/>
      <c r="Z422" s="46"/>
      <c r="AA422" s="68">
        <v>422</v>
      </c>
      <c r="AB422"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22" s="69"/>
      <c r="AD422" t="s">
        <v>3087</v>
      </c>
      <c r="AE422" s="77" t="s">
        <v>2627</v>
      </c>
      <c r="AF422">
        <v>74</v>
      </c>
      <c r="AG422">
        <v>495</v>
      </c>
      <c r="AH422">
        <v>3034</v>
      </c>
      <c r="AI422">
        <v>0</v>
      </c>
      <c r="AJ422">
        <v>9</v>
      </c>
      <c r="AK422">
        <v>0</v>
      </c>
      <c r="AL422" t="b">
        <v>0</v>
      </c>
      <c r="AM422" s="76">
        <v>44205.998854166668</v>
      </c>
      <c r="AO422" t="s">
        <v>3995</v>
      </c>
      <c r="AX422" t="b">
        <v>0</v>
      </c>
      <c r="BA422" t="b">
        <v>0</v>
      </c>
      <c r="BB422" t="b">
        <v>1</v>
      </c>
      <c r="BC422" t="b">
        <v>1</v>
      </c>
      <c r="BD422" t="b">
        <v>1</v>
      </c>
      <c r="BE422" t="b">
        <v>0</v>
      </c>
      <c r="BF422" t="b">
        <v>0</v>
      </c>
      <c r="BG422" t="b">
        <v>0</v>
      </c>
      <c r="BJ422" t="s">
        <v>4320</v>
      </c>
      <c r="BK422" t="b">
        <v>0</v>
      </c>
      <c r="BM422" t="s">
        <v>66</v>
      </c>
      <c r="BN422" t="s">
        <v>4322</v>
      </c>
      <c r="BO422" s="79" t="str">
        <f>HYPERLINK("https://twitter.com/mendozacpedro")</f>
        <v>https://twitter.com/mendozacpedro</v>
      </c>
      <c r="BP422" s="112" t="str">
        <f>REPLACE(INDEX(GroupVertices[Group], MATCH("~"&amp;Vertices[[#This Row],[Vertex]],GroupVertices[Vertex],0)),1,1,"")</f>
        <v>4</v>
      </c>
      <c r="BQ422" s="2"/>
    </row>
    <row r="423" spans="1:69" x14ac:dyDescent="0.25">
      <c r="A423" s="61" t="s">
        <v>455</v>
      </c>
      <c r="B423" s="62"/>
      <c r="C423" s="62"/>
      <c r="D423" s="63">
        <v>1.5</v>
      </c>
      <c r="E423" s="65"/>
      <c r="F423" s="97" t="str">
        <f>HYPERLINK("https://pbs.twimg.com/profile_images/1501000423330754565/cfHiq9j8_normal.jpg")</f>
        <v>https://pbs.twimg.com/profile_images/1501000423330754565/cfHiq9j8_normal.jpg</v>
      </c>
      <c r="G423" s="62"/>
      <c r="H423" s="66"/>
      <c r="I423" s="67"/>
      <c r="J423" s="67"/>
      <c r="K423" s="66" t="s">
        <v>4734</v>
      </c>
      <c r="L423" s="70"/>
      <c r="M423" s="71">
        <v>138.350341796875</v>
      </c>
      <c r="N423" s="71">
        <v>5136.65625</v>
      </c>
      <c r="O423" s="72"/>
      <c r="P423" s="73"/>
      <c r="Q423" s="73"/>
      <c r="R423" s="81"/>
      <c r="S423" s="45">
        <v>1</v>
      </c>
      <c r="T423" s="45">
        <v>1</v>
      </c>
      <c r="U423" s="46">
        <v>0</v>
      </c>
      <c r="V423" s="46">
        <v>0</v>
      </c>
      <c r="W423" s="47"/>
      <c r="X423" s="47"/>
      <c r="Y423" s="47"/>
      <c r="Z423" s="46"/>
      <c r="AA423" s="68">
        <v>423</v>
      </c>
      <c r="AB423"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0</v>
      </c>
      <c r="AC423" s="69"/>
      <c r="AD423" t="s">
        <v>3088</v>
      </c>
      <c r="AE423" s="77" t="s">
        <v>2476</v>
      </c>
      <c r="AF423">
        <v>695</v>
      </c>
      <c r="AG423">
        <v>16</v>
      </c>
      <c r="AH423">
        <v>86316</v>
      </c>
      <c r="AI423">
        <v>9</v>
      </c>
      <c r="AJ423">
        <v>158958</v>
      </c>
      <c r="AK423">
        <v>15831</v>
      </c>
      <c r="AL423" t="b">
        <v>0</v>
      </c>
      <c r="AM423" s="76">
        <v>42122.234178240738</v>
      </c>
      <c r="AN423" t="s">
        <v>3599</v>
      </c>
      <c r="AO423" t="s">
        <v>3996</v>
      </c>
      <c r="AV423">
        <v>9.3480762330364698E+17</v>
      </c>
      <c r="AX423" t="b">
        <v>0</v>
      </c>
      <c r="BA423" t="b">
        <v>0</v>
      </c>
      <c r="BB423" t="b">
        <v>0</v>
      </c>
      <c r="BC423" t="b">
        <v>1</v>
      </c>
      <c r="BD423" t="b">
        <v>0</v>
      </c>
      <c r="BE423" t="b">
        <v>1</v>
      </c>
      <c r="BF423" t="b">
        <v>0</v>
      </c>
      <c r="BG423" t="b">
        <v>0</v>
      </c>
      <c r="BH423" s="79" t="str">
        <f>HYPERLINK("https://pbs.twimg.com/profile_banners/3215795291/1610402639")</f>
        <v>https://pbs.twimg.com/profile_banners/3215795291/1610402639</v>
      </c>
      <c r="BJ423" t="s">
        <v>4320</v>
      </c>
      <c r="BK423" t="b">
        <v>0</v>
      </c>
      <c r="BM423" t="s">
        <v>66</v>
      </c>
      <c r="BN423" t="s">
        <v>4322</v>
      </c>
      <c r="BO423" s="79" t="str">
        <f>HYPERLINK("https://twitter.com/belnn0rodriguez")</f>
        <v>https://twitter.com/belnn0rodriguez</v>
      </c>
      <c r="BP423" s="112" t="str">
        <f>REPLACE(INDEX(GroupVertices[Group], MATCH("~"&amp;Vertices[[#This Row],[Vertex]],GroupVertices[Vertex],0)),1,1,"")</f>
        <v>120</v>
      </c>
      <c r="BQ423" s="2"/>
    </row>
    <row r="424" spans="1:69" x14ac:dyDescent="0.25">
      <c r="A424" s="61" t="s">
        <v>456</v>
      </c>
      <c r="B424" s="62"/>
      <c r="C424" s="62"/>
      <c r="D424" s="63">
        <v>1.5</v>
      </c>
      <c r="E424" s="65"/>
      <c r="F424" s="97" t="str">
        <f>HYPERLINK("https://pbs.twimg.com/profile_images/551059089032486912/weCYPqGu_normal.jpeg")</f>
        <v>https://pbs.twimg.com/profile_images/551059089032486912/weCYPqGu_normal.jpeg</v>
      </c>
      <c r="G424" s="62"/>
      <c r="H424" s="66"/>
      <c r="I424" s="67"/>
      <c r="J424" s="67"/>
      <c r="K424" s="66" t="s">
        <v>4735</v>
      </c>
      <c r="L424" s="70"/>
      <c r="M424" s="71">
        <v>5958.36328125</v>
      </c>
      <c r="N424" s="71">
        <v>9602.5068359375</v>
      </c>
      <c r="O424" s="72"/>
      <c r="P424" s="73"/>
      <c r="Q424" s="73"/>
      <c r="R424" s="81"/>
      <c r="S424" s="45">
        <v>0</v>
      </c>
      <c r="T424" s="45">
        <v>2</v>
      </c>
      <c r="U424" s="46">
        <v>0</v>
      </c>
      <c r="V424" s="46">
        <v>1.3722E-2</v>
      </c>
      <c r="W424" s="47"/>
      <c r="X424" s="47"/>
      <c r="Y424" s="47"/>
      <c r="Z424" s="46"/>
      <c r="AA424" s="68">
        <v>424</v>
      </c>
      <c r="AB424"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24" s="69"/>
      <c r="AD424" t="s">
        <v>3089</v>
      </c>
      <c r="AE424" s="77" t="s">
        <v>3364</v>
      </c>
      <c r="AF424">
        <v>269</v>
      </c>
      <c r="AG424">
        <v>261</v>
      </c>
      <c r="AH424">
        <v>86895</v>
      </c>
      <c r="AI424">
        <v>9</v>
      </c>
      <c r="AJ424">
        <v>1624</v>
      </c>
      <c r="AK424">
        <v>12</v>
      </c>
      <c r="AL424" t="b">
        <v>0</v>
      </c>
      <c r="AM424" s="76">
        <v>42006.704351851855</v>
      </c>
      <c r="AN424" t="s">
        <v>3600</v>
      </c>
      <c r="AO424" t="s">
        <v>3997</v>
      </c>
      <c r="AX424" t="b">
        <v>0</v>
      </c>
      <c r="BA424" t="b">
        <v>0</v>
      </c>
      <c r="BB424" t="b">
        <v>1</v>
      </c>
      <c r="BC424" t="b">
        <v>1</v>
      </c>
      <c r="BD424" t="b">
        <v>0</v>
      </c>
      <c r="BE424" t="b">
        <v>0</v>
      </c>
      <c r="BF424" t="b">
        <v>0</v>
      </c>
      <c r="BG424" t="b">
        <v>0</v>
      </c>
      <c r="BH424" s="79" t="str">
        <f>HYPERLINK("https://pbs.twimg.com/profile_banners/2956347853/1420217703")</f>
        <v>https://pbs.twimg.com/profile_banners/2956347853/1420217703</v>
      </c>
      <c r="BJ424" t="s">
        <v>4320</v>
      </c>
      <c r="BK424" t="b">
        <v>0</v>
      </c>
      <c r="BM424" t="s">
        <v>66</v>
      </c>
      <c r="BN424" t="s">
        <v>4322</v>
      </c>
      <c r="BO424" s="79" t="str">
        <f>HYPERLINK("https://twitter.com/humanistasonora")</f>
        <v>https://twitter.com/humanistasonora</v>
      </c>
      <c r="BP424" s="112" t="str">
        <f>REPLACE(INDEX(GroupVertices[Group], MATCH("~"&amp;Vertices[[#This Row],[Vertex]],GroupVertices[Vertex],0)),1,1,"")</f>
        <v>4</v>
      </c>
      <c r="BQ424" s="2"/>
    </row>
    <row r="425" spans="1:69" x14ac:dyDescent="0.25">
      <c r="A425" s="61" t="s">
        <v>457</v>
      </c>
      <c r="B425" s="62"/>
      <c r="C425" s="62"/>
      <c r="D425" s="63">
        <v>1.5</v>
      </c>
      <c r="E425" s="65"/>
      <c r="F425" s="97" t="str">
        <f>HYPERLINK("https://pbs.twimg.com/profile_images/1370507502748598278/dvuNgZwd_normal.jpg")</f>
        <v>https://pbs.twimg.com/profile_images/1370507502748598278/dvuNgZwd_normal.jpg</v>
      </c>
      <c r="G425" s="62"/>
      <c r="H425" s="66"/>
      <c r="I425" s="67"/>
      <c r="J425" s="67"/>
      <c r="K425" s="66" t="s">
        <v>4736</v>
      </c>
      <c r="L425" s="70"/>
      <c r="M425" s="71">
        <v>1910.0699462890625</v>
      </c>
      <c r="N425" s="71">
        <v>5272.60107421875</v>
      </c>
      <c r="O425" s="72"/>
      <c r="P425" s="73"/>
      <c r="Q425" s="73"/>
      <c r="R425" s="81"/>
      <c r="S425" s="45">
        <v>0</v>
      </c>
      <c r="T425" s="45">
        <v>1</v>
      </c>
      <c r="U425" s="46">
        <v>0</v>
      </c>
      <c r="V425" s="46">
        <v>2.7950000000000002E-3</v>
      </c>
      <c r="W425" s="47"/>
      <c r="X425" s="47"/>
      <c r="Y425" s="47"/>
      <c r="Z425" s="46"/>
      <c r="AA425" s="68">
        <v>425</v>
      </c>
      <c r="AB425"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25" s="69"/>
      <c r="AD425" t="s">
        <v>457</v>
      </c>
      <c r="AE425" s="77" t="s">
        <v>3365</v>
      </c>
      <c r="AF425">
        <v>845</v>
      </c>
      <c r="AG425">
        <v>1373</v>
      </c>
      <c r="AH425">
        <v>49073</v>
      </c>
      <c r="AI425">
        <v>4</v>
      </c>
      <c r="AJ425">
        <v>31305</v>
      </c>
      <c r="AK425">
        <v>1328</v>
      </c>
      <c r="AL425" t="b">
        <v>0</v>
      </c>
      <c r="AM425" s="76">
        <v>40851.218043981484</v>
      </c>
      <c r="AN425" t="s">
        <v>3601</v>
      </c>
      <c r="AO425" t="s">
        <v>3998</v>
      </c>
      <c r="AX425" t="b">
        <v>0</v>
      </c>
      <c r="BA425" t="b">
        <v>0</v>
      </c>
      <c r="BB425" t="b">
        <v>1</v>
      </c>
      <c r="BC425" t="b">
        <v>0</v>
      </c>
      <c r="BD425" t="b">
        <v>0</v>
      </c>
      <c r="BE425" t="b">
        <v>1</v>
      </c>
      <c r="BF425" t="b">
        <v>0</v>
      </c>
      <c r="BG425" t="b">
        <v>0</v>
      </c>
      <c r="BH425" s="79" t="str">
        <f>HYPERLINK("https://pbs.twimg.com/profile_banners/404615050/1615589599")</f>
        <v>https://pbs.twimg.com/profile_banners/404615050/1615589599</v>
      </c>
      <c r="BJ425" t="s">
        <v>4320</v>
      </c>
      <c r="BK425" t="b">
        <v>0</v>
      </c>
      <c r="BM425" t="s">
        <v>66</v>
      </c>
      <c r="BN425" t="s">
        <v>4322</v>
      </c>
      <c r="BO425" s="79" t="str">
        <f>HYPERLINK("https://twitter.com/gusano666")</f>
        <v>https://twitter.com/gusano666</v>
      </c>
      <c r="BP425" s="112" t="str">
        <f>REPLACE(INDEX(GroupVertices[Group], MATCH("~"&amp;Vertices[[#This Row],[Vertex]],GroupVertices[Vertex],0)),1,1,"")</f>
        <v>31</v>
      </c>
      <c r="BQ425" s="2"/>
    </row>
    <row r="426" spans="1:69" x14ac:dyDescent="0.25">
      <c r="A426" s="61" t="s">
        <v>458</v>
      </c>
      <c r="B426" s="62"/>
      <c r="C426" s="62"/>
      <c r="D426" s="63">
        <v>1.5</v>
      </c>
      <c r="E426" s="65"/>
      <c r="F426" s="97" t="str">
        <f>HYPERLINK("https://pbs.twimg.com/profile_images/1699224164614516736/qLQAPeEx_normal.jpg")</f>
        <v>https://pbs.twimg.com/profile_images/1699224164614516736/qLQAPeEx_normal.jpg</v>
      </c>
      <c r="G426" s="62"/>
      <c r="H426" s="66"/>
      <c r="I426" s="67"/>
      <c r="J426" s="67"/>
      <c r="K426" s="66" t="s">
        <v>4737</v>
      </c>
      <c r="L426" s="70"/>
      <c r="M426" s="71">
        <v>4225.994140625</v>
      </c>
      <c r="N426" s="71">
        <v>7963.16064453125</v>
      </c>
      <c r="O426" s="72"/>
      <c r="P426" s="73"/>
      <c r="Q426" s="73"/>
      <c r="R426" s="81"/>
      <c r="S426" s="45">
        <v>0</v>
      </c>
      <c r="T426" s="45">
        <v>2</v>
      </c>
      <c r="U426" s="46">
        <v>0</v>
      </c>
      <c r="V426" s="46">
        <v>1.3722E-2</v>
      </c>
      <c r="W426" s="47"/>
      <c r="X426" s="47"/>
      <c r="Y426" s="47"/>
      <c r="Z426" s="46"/>
      <c r="AA426" s="68">
        <v>426</v>
      </c>
      <c r="AB426"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26" s="69"/>
      <c r="AD426" t="s">
        <v>3090</v>
      </c>
      <c r="AE426" s="77" t="s">
        <v>3366</v>
      </c>
      <c r="AF426">
        <v>5619</v>
      </c>
      <c r="AG426">
        <v>997</v>
      </c>
      <c r="AH426">
        <v>110056</v>
      </c>
      <c r="AI426">
        <v>60</v>
      </c>
      <c r="AJ426">
        <v>43911</v>
      </c>
      <c r="AK426">
        <v>6246</v>
      </c>
      <c r="AL426" t="b">
        <v>0</v>
      </c>
      <c r="AM426" s="76">
        <v>40417.709467592591</v>
      </c>
      <c r="AN426" t="s">
        <v>3602</v>
      </c>
      <c r="AO426" t="s">
        <v>3999</v>
      </c>
      <c r="AX426" t="b">
        <v>1</v>
      </c>
      <c r="BA426" t="b">
        <v>1</v>
      </c>
      <c r="BB426" t="b">
        <v>0</v>
      </c>
      <c r="BC426" t="b">
        <v>0</v>
      </c>
      <c r="BD426" t="b">
        <v>0</v>
      </c>
      <c r="BE426" t="b">
        <v>0</v>
      </c>
      <c r="BF426" t="b">
        <v>0</v>
      </c>
      <c r="BG426" t="b">
        <v>0</v>
      </c>
      <c r="BH426" s="79" t="str">
        <f>HYPERLINK("https://pbs.twimg.com/profile_banners/183688780/1525974145")</f>
        <v>https://pbs.twimg.com/profile_banners/183688780/1525974145</v>
      </c>
      <c r="BJ426" t="s">
        <v>4321</v>
      </c>
      <c r="BK426" t="b">
        <v>0</v>
      </c>
      <c r="BM426" t="s">
        <v>66</v>
      </c>
      <c r="BN426" t="s">
        <v>4322</v>
      </c>
      <c r="BO426" s="79" t="str">
        <f>HYPERLINK("https://twitter.com/fdodiaznaranjo")</f>
        <v>https://twitter.com/fdodiaznaranjo</v>
      </c>
      <c r="BP426" s="112" t="str">
        <f>REPLACE(INDEX(GroupVertices[Group], MATCH("~"&amp;Vertices[[#This Row],[Vertex]],GroupVertices[Vertex],0)),1,1,"")</f>
        <v>4</v>
      </c>
      <c r="BQ426" s="2"/>
    </row>
    <row r="427" spans="1:69" x14ac:dyDescent="0.25">
      <c r="A427" s="61" t="s">
        <v>681</v>
      </c>
      <c r="B427" s="62"/>
      <c r="C427" s="62"/>
      <c r="D427" s="63">
        <v>1.5</v>
      </c>
      <c r="E427" s="65"/>
      <c r="F427" s="97" t="str">
        <f>HYPERLINK("https://pbs.twimg.com/profile_images/1902098497190674433/F1rwWPc7_normal.jpg")</f>
        <v>https://pbs.twimg.com/profile_images/1902098497190674433/F1rwWPc7_normal.jpg</v>
      </c>
      <c r="G427" s="62"/>
      <c r="H427" s="66"/>
      <c r="I427" s="67"/>
      <c r="J427" s="67"/>
      <c r="K427" s="66" t="s">
        <v>4738</v>
      </c>
      <c r="L427" s="70"/>
      <c r="M427" s="71">
        <v>2590.83203125</v>
      </c>
      <c r="N427" s="71">
        <v>7332.1865234375</v>
      </c>
      <c r="O427" s="72"/>
      <c r="P427" s="73"/>
      <c r="Q427" s="73"/>
      <c r="R427" s="81"/>
      <c r="S427" s="45">
        <v>2</v>
      </c>
      <c r="T427" s="45">
        <v>0</v>
      </c>
      <c r="U427" s="46">
        <v>0</v>
      </c>
      <c r="V427" s="46">
        <v>1.9451E-2</v>
      </c>
      <c r="W427" s="47"/>
      <c r="X427" s="47"/>
      <c r="Y427" s="47"/>
      <c r="Z427" s="46"/>
      <c r="AA427" s="68">
        <v>427</v>
      </c>
      <c r="AB427"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27" s="69"/>
      <c r="AD427" t="s">
        <v>3091</v>
      </c>
      <c r="AE427" s="77" t="s">
        <v>3367</v>
      </c>
      <c r="AF427">
        <v>88776</v>
      </c>
      <c r="AG427">
        <v>7471</v>
      </c>
      <c r="AH427">
        <v>39570</v>
      </c>
      <c r="AI427">
        <v>589</v>
      </c>
      <c r="AJ427">
        <v>27418</v>
      </c>
      <c r="AK427">
        <v>14886</v>
      </c>
      <c r="AL427" t="b">
        <v>0</v>
      </c>
      <c r="AM427" s="76">
        <v>39842.78533564815</v>
      </c>
      <c r="AN427" t="s">
        <v>3410</v>
      </c>
      <c r="AO427" t="s">
        <v>4000</v>
      </c>
      <c r="AP427" s="79" t="str">
        <f>HYPERLINK("https://t.co/78NCiZ2K0T")</f>
        <v>https://t.co/78NCiZ2K0T</v>
      </c>
      <c r="AQ427" s="79" t="str">
        <f>HYPERLINK("https://www.uc.cl/")</f>
        <v>https://www.uc.cl/</v>
      </c>
      <c r="AR427" t="s">
        <v>4215</v>
      </c>
      <c r="AV427">
        <v>1.9284509832453199E+18</v>
      </c>
      <c r="AW427" s="79" t="str">
        <f>HYPERLINK("https://t.co/78NCiZ2K0T")</f>
        <v>https://t.co/78NCiZ2K0T</v>
      </c>
      <c r="AX427" t="b">
        <v>1</v>
      </c>
      <c r="AZ427" t="b">
        <v>0</v>
      </c>
      <c r="BA427" t="b">
        <v>0</v>
      </c>
      <c r="BB427" t="b">
        <v>1</v>
      </c>
      <c r="BC427" t="b">
        <v>0</v>
      </c>
      <c r="BD427" t="b">
        <v>0</v>
      </c>
      <c r="BE427" t="b">
        <v>1</v>
      </c>
      <c r="BF427" t="b">
        <v>0</v>
      </c>
      <c r="BG427" t="b">
        <v>0</v>
      </c>
      <c r="BH427" s="79" t="str">
        <f>HYPERLINK("https://pbs.twimg.com/profile_banners/19726230/1742388064")</f>
        <v>https://pbs.twimg.com/profile_banners/19726230/1742388064</v>
      </c>
      <c r="BJ427" t="s">
        <v>4320</v>
      </c>
      <c r="BK427" t="b">
        <v>0</v>
      </c>
      <c r="BM427" t="s">
        <v>65</v>
      </c>
      <c r="BN427" t="s">
        <v>4322</v>
      </c>
      <c r="BO427" s="79" t="str">
        <f>HYPERLINK("https://twitter.com/ucatolica")</f>
        <v>https://twitter.com/ucatolica</v>
      </c>
      <c r="BP427" s="112" t="str">
        <f>REPLACE(INDEX(GroupVertices[Group], MATCH("~"&amp;Vertices[[#This Row],[Vertex]],GroupVertices[Vertex],0)),1,1,"")</f>
        <v>1</v>
      </c>
      <c r="BQ427" s="2"/>
    </row>
    <row r="428" spans="1:69" x14ac:dyDescent="0.25">
      <c r="A428" s="61" t="s">
        <v>461</v>
      </c>
      <c r="B428" s="62"/>
      <c r="C428" s="62"/>
      <c r="D428" s="63">
        <v>1.5</v>
      </c>
      <c r="E428" s="65"/>
      <c r="F428" s="97" t="str">
        <f>HYPERLINK("https://pbs.twimg.com/profile_images/1585320558568390657/Lzghs47F_normal.jpg")</f>
        <v>https://pbs.twimg.com/profile_images/1585320558568390657/Lzghs47F_normal.jpg</v>
      </c>
      <c r="G428" s="62"/>
      <c r="H428" s="66"/>
      <c r="I428" s="67"/>
      <c r="J428" s="67"/>
      <c r="K428" s="66" t="s">
        <v>4740</v>
      </c>
      <c r="L428" s="70"/>
      <c r="M428" s="71">
        <v>4036.927734375</v>
      </c>
      <c r="N428" s="71">
        <v>3357.90087890625</v>
      </c>
      <c r="O428" s="72"/>
      <c r="P428" s="73"/>
      <c r="Q428" s="73"/>
      <c r="R428" s="81"/>
      <c r="S428" s="45">
        <v>3</v>
      </c>
      <c r="T428" s="45">
        <v>1</v>
      </c>
      <c r="U428" s="46">
        <v>0</v>
      </c>
      <c r="V428" s="46">
        <v>1.9451E-2</v>
      </c>
      <c r="W428" s="47"/>
      <c r="X428" s="47"/>
      <c r="Y428" s="47"/>
      <c r="Z428" s="46"/>
      <c r="AA428" s="68">
        <v>428</v>
      </c>
      <c r="AB428"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28" s="69"/>
      <c r="AD428" t="s">
        <v>3093</v>
      </c>
      <c r="AE428" s="77" t="s">
        <v>2628</v>
      </c>
      <c r="AF428">
        <v>4436</v>
      </c>
      <c r="AG428">
        <v>479</v>
      </c>
      <c r="AH428">
        <v>3399</v>
      </c>
      <c r="AI428">
        <v>39</v>
      </c>
      <c r="AJ428">
        <v>2376</v>
      </c>
      <c r="AK428">
        <v>1567</v>
      </c>
      <c r="AL428" t="b">
        <v>0</v>
      </c>
      <c r="AM428" s="76">
        <v>42983.662002314813</v>
      </c>
      <c r="AN428" t="s">
        <v>3604</v>
      </c>
      <c r="AO428" t="s">
        <v>4002</v>
      </c>
      <c r="AP428" s="79" t="str">
        <f>HYPERLINK("https://t.co/Q4xRZK9x9Q")</f>
        <v>https://t.co/Q4xRZK9x9Q</v>
      </c>
      <c r="AQ428" s="79" t="str">
        <f>HYPERLINK("https://linktr.ee/CentroJusticiaEducacional")</f>
        <v>https://linktr.ee/CentroJusticiaEducacional</v>
      </c>
      <c r="AR428" t="s">
        <v>4216</v>
      </c>
      <c r="AV428">
        <v>1.9270754370767301E+18</v>
      </c>
      <c r="AW428" s="79" t="str">
        <f>HYPERLINK("https://t.co/Q4xRZK9x9Q")</f>
        <v>https://t.co/Q4xRZK9x9Q</v>
      </c>
      <c r="AX428" t="b">
        <v>0</v>
      </c>
      <c r="BA428" t="b">
        <v>0</v>
      </c>
      <c r="BB428" t="b">
        <v>1</v>
      </c>
      <c r="BC428" t="b">
        <v>0</v>
      </c>
      <c r="BD428" t="b">
        <v>0</v>
      </c>
      <c r="BE428" t="b">
        <v>0</v>
      </c>
      <c r="BF428" t="b">
        <v>0</v>
      </c>
      <c r="BG428" t="b">
        <v>0</v>
      </c>
      <c r="BH428" s="79" t="str">
        <f>HYPERLINK("https://pbs.twimg.com/profile_banners/905096505182363649/1711464765")</f>
        <v>https://pbs.twimg.com/profile_banners/905096505182363649/1711464765</v>
      </c>
      <c r="BJ428" t="s">
        <v>4320</v>
      </c>
      <c r="BK428" t="b">
        <v>0</v>
      </c>
      <c r="BM428" t="s">
        <v>66</v>
      </c>
      <c r="BN428" t="s">
        <v>4322</v>
      </c>
      <c r="BO428" s="79" t="str">
        <f>HYPERLINK("https://twitter.com/justiciaeduc")</f>
        <v>https://twitter.com/justiciaeduc</v>
      </c>
      <c r="BP428" s="112" t="str">
        <f>REPLACE(INDEX(GroupVertices[Group], MATCH("~"&amp;Vertices[[#This Row],[Vertex]],GroupVertices[Vertex],0)),1,1,"")</f>
        <v>1</v>
      </c>
      <c r="BQ428" s="2"/>
    </row>
    <row r="429" spans="1:69" x14ac:dyDescent="0.25">
      <c r="A429" s="61" t="s">
        <v>462</v>
      </c>
      <c r="B429" s="62"/>
      <c r="C429" s="62"/>
      <c r="D429" s="63">
        <v>1.5</v>
      </c>
      <c r="E429" s="65"/>
      <c r="F429" s="97" t="str">
        <f>HYPERLINK("https://pbs.twimg.com/profile_images/1432413180970610689/7NtcFMvq_normal.jpg")</f>
        <v>https://pbs.twimg.com/profile_images/1432413180970610689/7NtcFMvq_normal.jpg</v>
      </c>
      <c r="G429" s="62"/>
      <c r="H429" s="66"/>
      <c r="I429" s="67"/>
      <c r="J429" s="67"/>
      <c r="K429" s="66" t="s">
        <v>4741</v>
      </c>
      <c r="L429" s="70"/>
      <c r="M429" s="71">
        <v>7010.2744140625</v>
      </c>
      <c r="N429" s="71">
        <v>655.16571044921875</v>
      </c>
      <c r="O429" s="72"/>
      <c r="P429" s="73"/>
      <c r="Q429" s="73"/>
      <c r="R429" s="81"/>
      <c r="S429" s="45">
        <v>1</v>
      </c>
      <c r="T429" s="45">
        <v>1</v>
      </c>
      <c r="U429" s="46">
        <v>0</v>
      </c>
      <c r="V429" s="46">
        <v>0</v>
      </c>
      <c r="W429" s="47"/>
      <c r="X429" s="47"/>
      <c r="Y429" s="47"/>
      <c r="Z429" s="46"/>
      <c r="AA429" s="68">
        <v>429</v>
      </c>
      <c r="AB429"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29" s="69"/>
      <c r="AD429" t="s">
        <v>3094</v>
      </c>
      <c r="AE429" s="77" t="s">
        <v>3369</v>
      </c>
      <c r="AF429">
        <v>4817</v>
      </c>
      <c r="AG429">
        <v>3093</v>
      </c>
      <c r="AH429">
        <v>57774</v>
      </c>
      <c r="AI429">
        <v>22</v>
      </c>
      <c r="AJ429">
        <v>36</v>
      </c>
      <c r="AK429">
        <v>84</v>
      </c>
      <c r="AL429" t="b">
        <v>0</v>
      </c>
      <c r="AM429" s="76">
        <v>40649.815821759257</v>
      </c>
      <c r="AO429" t="s">
        <v>4003</v>
      </c>
      <c r="AP429" s="79" t="str">
        <f>HYPERLINK("https://t.co/39k1qmwOZZ")</f>
        <v>https://t.co/39k1qmwOZZ</v>
      </c>
      <c r="AQ429" s="79" t="str">
        <f>HYPERLINK("http://www.tiroalblanco.cl/")</f>
        <v>http://www.tiroalblanco.cl/</v>
      </c>
      <c r="AR429" t="s">
        <v>1199</v>
      </c>
      <c r="AW429" s="79" t="str">
        <f>HYPERLINK("https://t.co/39k1qmwOZZ")</f>
        <v>https://t.co/39k1qmwOZZ</v>
      </c>
      <c r="AX429" t="b">
        <v>0</v>
      </c>
      <c r="BA429" t="b">
        <v>0</v>
      </c>
      <c r="BB429" t="b">
        <v>1</v>
      </c>
      <c r="BC429" t="b">
        <v>0</v>
      </c>
      <c r="BD429" t="b">
        <v>0</v>
      </c>
      <c r="BE429" t="b">
        <v>1</v>
      </c>
      <c r="BF429" t="b">
        <v>0</v>
      </c>
      <c r="BG429" t="b">
        <v>0</v>
      </c>
      <c r="BH429" s="79" t="str">
        <f>HYPERLINK("https://pbs.twimg.com/profile_banners/283190504/1630348975")</f>
        <v>https://pbs.twimg.com/profile_banners/283190504/1630348975</v>
      </c>
      <c r="BJ429" t="s">
        <v>4320</v>
      </c>
      <c r="BK429" t="b">
        <v>0</v>
      </c>
      <c r="BM429" t="s">
        <v>66</v>
      </c>
      <c r="BN429" t="s">
        <v>4322</v>
      </c>
      <c r="BO429" s="79" t="str">
        <f>HYPERLINK("https://twitter.com/1tiroalblanco1")</f>
        <v>https://twitter.com/1tiroalblanco1</v>
      </c>
      <c r="BP429" s="112" t="str">
        <f>REPLACE(INDEX(GroupVertices[Group], MATCH("~"&amp;Vertices[[#This Row],[Vertex]],GroupVertices[Vertex],0)),1,1,"")</f>
        <v>142</v>
      </c>
      <c r="BQ429" s="2"/>
    </row>
    <row r="430" spans="1:69" x14ac:dyDescent="0.25">
      <c r="A430" s="61" t="s">
        <v>463</v>
      </c>
      <c r="B430" s="62"/>
      <c r="C430" s="62"/>
      <c r="D430" s="63">
        <v>1.5</v>
      </c>
      <c r="E430" s="65"/>
      <c r="F430" s="97" t="str">
        <f>HYPERLINK("https://pbs.twimg.com/profile_images/1126571365266546688/GvyEKh2Y_normal.jpg")</f>
        <v>https://pbs.twimg.com/profile_images/1126571365266546688/GvyEKh2Y_normal.jpg</v>
      </c>
      <c r="G430" s="62"/>
      <c r="H430" s="66"/>
      <c r="I430" s="67"/>
      <c r="J430" s="67"/>
      <c r="K430" s="66" t="s">
        <v>4742</v>
      </c>
      <c r="L430" s="70"/>
      <c r="M430" s="71">
        <v>9471.35546875</v>
      </c>
      <c r="N430" s="71">
        <v>6586.21728515625</v>
      </c>
      <c r="O430" s="72"/>
      <c r="P430" s="73"/>
      <c r="Q430" s="73"/>
      <c r="R430" s="81"/>
      <c r="S430" s="45">
        <v>1</v>
      </c>
      <c r="T430" s="45">
        <v>1</v>
      </c>
      <c r="U430" s="46">
        <v>0</v>
      </c>
      <c r="V430" s="46">
        <v>0</v>
      </c>
      <c r="W430" s="47"/>
      <c r="X430" s="47"/>
      <c r="Y430" s="47"/>
      <c r="Z430" s="46"/>
      <c r="AA430" s="68">
        <v>430</v>
      </c>
      <c r="AB430"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30" s="69"/>
      <c r="AD430" t="s">
        <v>3095</v>
      </c>
      <c r="AE430" s="77" t="s">
        <v>2629</v>
      </c>
      <c r="AF430">
        <v>2974</v>
      </c>
      <c r="AG430">
        <v>311</v>
      </c>
      <c r="AH430">
        <v>5377</v>
      </c>
      <c r="AI430">
        <v>9</v>
      </c>
      <c r="AJ430">
        <v>227</v>
      </c>
      <c r="AK430">
        <v>4989</v>
      </c>
      <c r="AL430" t="b">
        <v>0</v>
      </c>
      <c r="AM430" s="76">
        <v>43594.815833333334</v>
      </c>
      <c r="AN430" t="s">
        <v>3605</v>
      </c>
      <c r="AO430" t="s">
        <v>4004</v>
      </c>
      <c r="AP430" s="79" t="str">
        <f>HYPERLINK("https://t.co/REGKqy3b9n")</f>
        <v>https://t.co/REGKqy3b9n</v>
      </c>
      <c r="AQ430" s="79" t="str">
        <f>HYPERLINK("http://www.tehuelchenoticias.cl")</f>
        <v>http://www.tehuelchenoticias.cl</v>
      </c>
      <c r="AR430" t="s">
        <v>1200</v>
      </c>
      <c r="AW430" s="79" t="str">
        <f>HYPERLINK("https://t.co/REGKqy3b9n")</f>
        <v>https://t.co/REGKqy3b9n</v>
      </c>
      <c r="AX430" t="b">
        <v>0</v>
      </c>
      <c r="BA430" t="b">
        <v>0</v>
      </c>
      <c r="BB430" t="b">
        <v>1</v>
      </c>
      <c r="BC430" t="b">
        <v>1</v>
      </c>
      <c r="BD430" t="b">
        <v>0</v>
      </c>
      <c r="BE430" t="b">
        <v>1</v>
      </c>
      <c r="BF430" t="b">
        <v>0</v>
      </c>
      <c r="BG430" t="b">
        <v>0</v>
      </c>
      <c r="BH430" s="79" t="str">
        <f>HYPERLINK("https://pbs.twimg.com/profile_banners/1126571237235417088/1557430988")</f>
        <v>https://pbs.twimg.com/profile_banners/1126571237235417088/1557430988</v>
      </c>
      <c r="BJ430" t="s">
        <v>4320</v>
      </c>
      <c r="BK430" t="b">
        <v>0</v>
      </c>
      <c r="BM430" t="s">
        <v>66</v>
      </c>
      <c r="BN430" t="s">
        <v>4322</v>
      </c>
      <c r="BO430" s="79" t="str">
        <f>HYPERLINK("https://twitter.com/tehuelchenotic")</f>
        <v>https://twitter.com/tehuelchenotic</v>
      </c>
      <c r="BP430" s="112" t="str">
        <f>REPLACE(INDEX(GroupVertices[Group], MATCH("~"&amp;Vertices[[#This Row],[Vertex]],GroupVertices[Vertex],0)),1,1,"")</f>
        <v>125</v>
      </c>
      <c r="BQ430" s="2"/>
    </row>
    <row r="431" spans="1:69" x14ac:dyDescent="0.25">
      <c r="A431" s="61" t="s">
        <v>464</v>
      </c>
      <c r="B431" s="62"/>
      <c r="C431" s="62"/>
      <c r="D431" s="63">
        <v>1.5</v>
      </c>
      <c r="E431" s="65"/>
      <c r="F431" s="97" t="str">
        <f>HYPERLINK("https://pbs.twimg.com/profile_images/1620498549858504704/8PNjE6iA_normal.jpg")</f>
        <v>https://pbs.twimg.com/profile_images/1620498549858504704/8PNjE6iA_normal.jpg</v>
      </c>
      <c r="G431" s="62"/>
      <c r="H431" s="66"/>
      <c r="I431" s="67"/>
      <c r="J431" s="67"/>
      <c r="K431" s="66" t="s">
        <v>4743</v>
      </c>
      <c r="L431" s="70"/>
      <c r="M431" s="71">
        <v>2539.186279296875</v>
      </c>
      <c r="N431" s="71">
        <v>3708.55029296875</v>
      </c>
      <c r="O431" s="72"/>
      <c r="P431" s="73"/>
      <c r="Q431" s="73"/>
      <c r="R431" s="81"/>
      <c r="S431" s="45">
        <v>0</v>
      </c>
      <c r="T431" s="45">
        <v>1</v>
      </c>
      <c r="U431" s="46">
        <v>0</v>
      </c>
      <c r="V431" s="46">
        <v>2.0960000000000002E-3</v>
      </c>
      <c r="W431" s="47"/>
      <c r="X431" s="47"/>
      <c r="Y431" s="47"/>
      <c r="Z431" s="46"/>
      <c r="AA431" s="68">
        <v>431</v>
      </c>
      <c r="AB431"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31" s="69"/>
      <c r="AD431" t="s">
        <v>3096</v>
      </c>
      <c r="AE431" s="77" t="s">
        <v>2630</v>
      </c>
      <c r="AF431">
        <v>5</v>
      </c>
      <c r="AG431">
        <v>33</v>
      </c>
      <c r="AH431">
        <v>1043</v>
      </c>
      <c r="AI431">
        <v>1</v>
      </c>
      <c r="AJ431">
        <v>527</v>
      </c>
      <c r="AK431">
        <v>100</v>
      </c>
      <c r="AL431" t="b">
        <v>0</v>
      </c>
      <c r="AM431" s="76">
        <v>44956.860798611109</v>
      </c>
      <c r="AX431" t="b">
        <v>0</v>
      </c>
      <c r="BA431" t="b">
        <v>0</v>
      </c>
      <c r="BB431" t="b">
        <v>1</v>
      </c>
      <c r="BC431" t="b">
        <v>1</v>
      </c>
      <c r="BD431" t="b">
        <v>0</v>
      </c>
      <c r="BE431" t="b">
        <v>0</v>
      </c>
      <c r="BF431" t="b">
        <v>0</v>
      </c>
      <c r="BG431" t="b">
        <v>0</v>
      </c>
      <c r="BJ431" t="s">
        <v>4320</v>
      </c>
      <c r="BK431" t="b">
        <v>0</v>
      </c>
      <c r="BM431" t="s">
        <v>66</v>
      </c>
      <c r="BN431" t="s">
        <v>4322</v>
      </c>
      <c r="BO431" s="79" t="str">
        <f>HYPERLINK("https://twitter.com/armorold")</f>
        <v>https://twitter.com/armorold</v>
      </c>
      <c r="BP431" s="112" t="str">
        <f>REPLACE(INDEX(GroupVertices[Group], MATCH("~"&amp;Vertices[[#This Row],[Vertex]],GroupVertices[Vertex],0)),1,1,"")</f>
        <v>55</v>
      </c>
      <c r="BQ431" s="2"/>
    </row>
    <row r="432" spans="1:69" x14ac:dyDescent="0.25">
      <c r="A432" s="61" t="s">
        <v>682</v>
      </c>
      <c r="B432" s="62"/>
      <c r="C432" s="62"/>
      <c r="D432" s="63">
        <v>1.5</v>
      </c>
      <c r="E432" s="65"/>
      <c r="F432" s="97" t="str">
        <f>HYPERLINK("https://pbs.twimg.com/profile_images/1902514392312508420/yJeA2NWp_normal.jpg")</f>
        <v>https://pbs.twimg.com/profile_images/1902514392312508420/yJeA2NWp_normal.jpg</v>
      </c>
      <c r="G432" s="62"/>
      <c r="H432" s="66"/>
      <c r="I432" s="67"/>
      <c r="J432" s="67"/>
      <c r="K432" s="66" t="s">
        <v>4744</v>
      </c>
      <c r="L432" s="70"/>
      <c r="M432" s="71">
        <v>493.704833984375</v>
      </c>
      <c r="N432" s="71">
        <v>2943.372314453125</v>
      </c>
      <c r="O432" s="72"/>
      <c r="P432" s="73"/>
      <c r="Q432" s="73"/>
      <c r="R432" s="81"/>
      <c r="S432" s="45">
        <v>1</v>
      </c>
      <c r="T432" s="45">
        <v>0</v>
      </c>
      <c r="U432" s="46">
        <v>0</v>
      </c>
      <c r="V432" s="46">
        <v>2.0960000000000002E-3</v>
      </c>
      <c r="W432" s="47"/>
      <c r="X432" s="47"/>
      <c r="Y432" s="47"/>
      <c r="Z432" s="46"/>
      <c r="AA432" s="68">
        <v>432</v>
      </c>
      <c r="AB432"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32" s="69"/>
      <c r="AD432" t="s">
        <v>3097</v>
      </c>
      <c r="AE432" s="77" t="s">
        <v>2478</v>
      </c>
      <c r="AF432">
        <v>2094984</v>
      </c>
      <c r="AG432">
        <v>763</v>
      </c>
      <c r="AH432">
        <v>74389</v>
      </c>
      <c r="AI432">
        <v>2967</v>
      </c>
      <c r="AJ432">
        <v>480783</v>
      </c>
      <c r="AK432">
        <v>19251</v>
      </c>
      <c r="AL432" t="b">
        <v>0</v>
      </c>
      <c r="AM432" s="76">
        <v>40018.784062500003</v>
      </c>
      <c r="AN432" t="s">
        <v>3441</v>
      </c>
      <c r="AO432" t="s">
        <v>4005</v>
      </c>
      <c r="AP432" s="79" t="str">
        <f>HYPERLINK("https://t.co/nHkitsenhv")</f>
        <v>https://t.co/nHkitsenhv</v>
      </c>
      <c r="AQ432" s="79" t="str">
        <f>HYPERLINK("https://www.youtube.com/watch?v=Wc3Bn2KIxwU")</f>
        <v>https://www.youtube.com/watch?v=Wc3Bn2KIxwU</v>
      </c>
      <c r="AR432" t="s">
        <v>4217</v>
      </c>
      <c r="AV432">
        <v>1.9293550858190899E+18</v>
      </c>
      <c r="AW432" s="79" t="str">
        <f>HYPERLINK("https://t.co/nHkitsenhv")</f>
        <v>https://t.co/nHkitsenhv</v>
      </c>
      <c r="AX432" t="b">
        <v>1</v>
      </c>
      <c r="AZ432" t="b">
        <v>0</v>
      </c>
      <c r="BA432" t="b">
        <v>0</v>
      </c>
      <c r="BB432" t="b">
        <v>0</v>
      </c>
      <c r="BC432" t="b">
        <v>0</v>
      </c>
      <c r="BD432" t="b">
        <v>0</v>
      </c>
      <c r="BE432" t="b">
        <v>1</v>
      </c>
      <c r="BF432" t="b">
        <v>0</v>
      </c>
      <c r="BG432" t="b">
        <v>0</v>
      </c>
      <c r="BH432" s="79" t="str">
        <f>HYPERLINK("https://pbs.twimg.com/profile_banners/59855362/1741117037")</f>
        <v>https://pbs.twimg.com/profile_banners/59855362/1741117037</v>
      </c>
      <c r="BJ432" t="s">
        <v>4320</v>
      </c>
      <c r="BK432" t="b">
        <v>0</v>
      </c>
      <c r="BM432" t="s">
        <v>65</v>
      </c>
      <c r="BN432" t="s">
        <v>4322</v>
      </c>
      <c r="BO432" s="79" t="str">
        <f>HYPERLINK("https://twitter.com/ricardobsalinas")</f>
        <v>https://twitter.com/ricardobsalinas</v>
      </c>
      <c r="BP432" s="112" t="str">
        <f>REPLACE(INDEX(GroupVertices[Group], MATCH("~"&amp;Vertices[[#This Row],[Vertex]],GroupVertices[Vertex],0)),1,1,"")</f>
        <v>55</v>
      </c>
      <c r="BQ432" s="2"/>
    </row>
    <row r="433" spans="1:69" x14ac:dyDescent="0.25">
      <c r="A433" s="61" t="s">
        <v>465</v>
      </c>
      <c r="B433" s="62"/>
      <c r="C433" s="62"/>
      <c r="D433" s="63">
        <v>1.5</v>
      </c>
      <c r="E433" s="65"/>
      <c r="F433" s="97" t="str">
        <f>HYPERLINK("https://pbs.twimg.com/profile_images/1503851865527758852/qK_Jty-9_normal.jpg")</f>
        <v>https://pbs.twimg.com/profile_images/1503851865527758852/qK_Jty-9_normal.jpg</v>
      </c>
      <c r="G433" s="62"/>
      <c r="H433" s="66"/>
      <c r="I433" s="67"/>
      <c r="J433" s="67"/>
      <c r="K433" s="66" t="s">
        <v>4745</v>
      </c>
      <c r="L433" s="70"/>
      <c r="M433" s="71">
        <v>5082.7109375</v>
      </c>
      <c r="N433" s="71">
        <v>4683.0830078125</v>
      </c>
      <c r="O433" s="72"/>
      <c r="P433" s="73"/>
      <c r="Q433" s="73"/>
      <c r="R433" s="81"/>
      <c r="S433" s="45">
        <v>0</v>
      </c>
      <c r="T433" s="45">
        <v>1</v>
      </c>
      <c r="U433" s="46">
        <v>0</v>
      </c>
      <c r="V433" s="46">
        <v>2.0960000000000002E-3</v>
      </c>
      <c r="W433" s="47"/>
      <c r="X433" s="47"/>
      <c r="Y433" s="47"/>
      <c r="Z433" s="46"/>
      <c r="AA433" s="68">
        <v>433</v>
      </c>
      <c r="AB433"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33" s="69"/>
      <c r="AD433" t="s">
        <v>3098</v>
      </c>
      <c r="AE433" s="77" t="s">
        <v>2631</v>
      </c>
      <c r="AF433">
        <v>49</v>
      </c>
      <c r="AG433">
        <v>33</v>
      </c>
      <c r="AH433">
        <v>14259</v>
      </c>
      <c r="AI433">
        <v>1</v>
      </c>
      <c r="AJ433">
        <v>15075</v>
      </c>
      <c r="AK433">
        <v>4</v>
      </c>
      <c r="AL433" t="b">
        <v>0</v>
      </c>
      <c r="AM433" s="76">
        <v>44616.32949074074</v>
      </c>
      <c r="AO433" t="s">
        <v>4006</v>
      </c>
      <c r="AX433" t="b">
        <v>0</v>
      </c>
      <c r="BA433" t="b">
        <v>0</v>
      </c>
      <c r="BB433" t="b">
        <v>1</v>
      </c>
      <c r="BC433" t="b">
        <v>1</v>
      </c>
      <c r="BD433" t="b">
        <v>0</v>
      </c>
      <c r="BE433" t="b">
        <v>1</v>
      </c>
      <c r="BF433" t="b">
        <v>0</v>
      </c>
      <c r="BG433" t="b">
        <v>0</v>
      </c>
      <c r="BJ433" t="s">
        <v>4320</v>
      </c>
      <c r="BK433" t="b">
        <v>0</v>
      </c>
      <c r="BM433" t="s">
        <v>66</v>
      </c>
      <c r="BN433" t="s">
        <v>4322</v>
      </c>
      <c r="BO433" s="79" t="str">
        <f>HYPERLINK("https://twitter.com/minanoaragones")</f>
        <v>https://twitter.com/minanoaragones</v>
      </c>
      <c r="BP433" s="112" t="str">
        <f>REPLACE(INDEX(GroupVertices[Group], MATCH("~"&amp;Vertices[[#This Row],[Vertex]],GroupVertices[Vertex],0)),1,1,"")</f>
        <v>45</v>
      </c>
      <c r="BQ433" s="2"/>
    </row>
    <row r="434" spans="1:69" x14ac:dyDescent="0.25">
      <c r="A434" s="61" t="s">
        <v>683</v>
      </c>
      <c r="B434" s="62"/>
      <c r="C434" s="62"/>
      <c r="D434" s="63">
        <v>1.5</v>
      </c>
      <c r="E434" s="65"/>
      <c r="F434" s="97" t="str">
        <f>HYPERLINK("https://pbs.twimg.com/profile_images/1892265697130029056/Sw_foQaD_normal.jpg")</f>
        <v>https://pbs.twimg.com/profile_images/1892265697130029056/Sw_foQaD_normal.jpg</v>
      </c>
      <c r="G434" s="62"/>
      <c r="H434" s="66"/>
      <c r="I434" s="67"/>
      <c r="J434" s="67"/>
      <c r="K434" s="66" t="s">
        <v>4746</v>
      </c>
      <c r="L434" s="70"/>
      <c r="M434" s="71">
        <v>3568.01806640625</v>
      </c>
      <c r="N434" s="71">
        <v>4982.3935546875</v>
      </c>
      <c r="O434" s="72"/>
      <c r="P434" s="73"/>
      <c r="Q434" s="73"/>
      <c r="R434" s="81"/>
      <c r="S434" s="45">
        <v>1</v>
      </c>
      <c r="T434" s="45">
        <v>0</v>
      </c>
      <c r="U434" s="46">
        <v>0</v>
      </c>
      <c r="V434" s="46">
        <v>2.0960000000000002E-3</v>
      </c>
      <c r="W434" s="47"/>
      <c r="X434" s="47"/>
      <c r="Y434" s="47"/>
      <c r="Z434" s="46"/>
      <c r="AA434" s="68">
        <v>434</v>
      </c>
      <c r="AB434"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34" s="69"/>
      <c r="AD434" t="s">
        <v>3099</v>
      </c>
      <c r="AE434" s="77" t="s">
        <v>2479</v>
      </c>
      <c r="AF434">
        <v>27077</v>
      </c>
      <c r="AG434">
        <v>3227</v>
      </c>
      <c r="AH434">
        <v>44014</v>
      </c>
      <c r="AI434">
        <v>251</v>
      </c>
      <c r="AJ434">
        <v>49383</v>
      </c>
      <c r="AK434">
        <v>2767</v>
      </c>
      <c r="AL434" t="b">
        <v>0</v>
      </c>
      <c r="AM434" s="76">
        <v>44925.717326388891</v>
      </c>
      <c r="AO434" t="s">
        <v>4007</v>
      </c>
      <c r="AV434">
        <v>1.8973633497904399E+18</v>
      </c>
      <c r="AX434" t="b">
        <v>0</v>
      </c>
      <c r="AZ434" t="b">
        <v>0</v>
      </c>
      <c r="BA434" t="b">
        <v>0</v>
      </c>
      <c r="BB434" t="b">
        <v>0</v>
      </c>
      <c r="BC434" t="b">
        <v>1</v>
      </c>
      <c r="BD434" t="b">
        <v>0</v>
      </c>
      <c r="BE434" t="b">
        <v>1</v>
      </c>
      <c r="BF434" t="b">
        <v>0</v>
      </c>
      <c r="BG434" t="b">
        <v>0</v>
      </c>
      <c r="BH434" s="79" t="str">
        <f>HYPERLINK("https://pbs.twimg.com/profile_banners/1608873720294117379/1741381172")</f>
        <v>https://pbs.twimg.com/profile_banners/1608873720294117379/1741381172</v>
      </c>
      <c r="BJ434" t="s">
        <v>4320</v>
      </c>
      <c r="BK434" t="b">
        <v>0</v>
      </c>
      <c r="BM434" t="s">
        <v>65</v>
      </c>
      <c r="BN434" t="s">
        <v>4322</v>
      </c>
      <c r="BO434" s="79" t="str">
        <f>HYPERLINK("https://twitter.com/raulsolisue")</f>
        <v>https://twitter.com/raulsolisue</v>
      </c>
      <c r="BP434" s="112" t="str">
        <f>REPLACE(INDEX(GroupVertices[Group], MATCH("~"&amp;Vertices[[#This Row],[Vertex]],GroupVertices[Vertex],0)),1,1,"")</f>
        <v>45</v>
      </c>
      <c r="BQ434" s="2"/>
    </row>
    <row r="435" spans="1:69" x14ac:dyDescent="0.25">
      <c r="A435" s="61" t="s">
        <v>466</v>
      </c>
      <c r="B435" s="62"/>
      <c r="C435" s="62"/>
      <c r="D435" s="63">
        <v>1.5</v>
      </c>
      <c r="E435" s="65"/>
      <c r="F435" s="97" t="str">
        <f>HYPERLINK("https://pbs.twimg.com/profile_images/1177939745839751168/9TdaJcOe_normal.jpg")</f>
        <v>https://pbs.twimg.com/profile_images/1177939745839751168/9TdaJcOe_normal.jpg</v>
      </c>
      <c r="G435" s="62"/>
      <c r="H435" s="66"/>
      <c r="I435" s="67"/>
      <c r="J435" s="67"/>
      <c r="K435" s="66" t="s">
        <v>4747</v>
      </c>
      <c r="L435" s="70"/>
      <c r="M435" s="71">
        <v>5576.68994140625</v>
      </c>
      <c r="N435" s="71">
        <v>1764.64697265625</v>
      </c>
      <c r="O435" s="72"/>
      <c r="P435" s="73"/>
      <c r="Q435" s="73"/>
      <c r="R435" s="81"/>
      <c r="S435" s="45">
        <v>0</v>
      </c>
      <c r="T435" s="45">
        <v>1</v>
      </c>
      <c r="U435" s="46">
        <v>0</v>
      </c>
      <c r="V435" s="46">
        <v>2.0960000000000002E-3</v>
      </c>
      <c r="W435" s="47"/>
      <c r="X435" s="47"/>
      <c r="Y435" s="47"/>
      <c r="Z435" s="46"/>
      <c r="AA435" s="68">
        <v>435</v>
      </c>
      <c r="AB435"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35" s="69"/>
      <c r="AD435" t="s">
        <v>3100</v>
      </c>
      <c r="AE435" s="77" t="s">
        <v>2632</v>
      </c>
      <c r="AF435">
        <v>302</v>
      </c>
      <c r="AG435">
        <v>246</v>
      </c>
      <c r="AH435">
        <v>14524</v>
      </c>
      <c r="AI435">
        <v>2</v>
      </c>
      <c r="AJ435">
        <v>151030</v>
      </c>
      <c r="AK435">
        <v>3412</v>
      </c>
      <c r="AL435" t="b">
        <v>0</v>
      </c>
      <c r="AM435" s="76">
        <v>42830.932962962965</v>
      </c>
      <c r="AN435" t="s">
        <v>3570</v>
      </c>
      <c r="AX435" t="b">
        <v>0</v>
      </c>
      <c r="BA435" t="b">
        <v>0</v>
      </c>
      <c r="BB435" t="b">
        <v>1</v>
      </c>
      <c r="BC435" t="b">
        <v>1</v>
      </c>
      <c r="BD435" t="b">
        <v>0</v>
      </c>
      <c r="BE435" t="b">
        <v>1</v>
      </c>
      <c r="BF435" t="b">
        <v>0</v>
      </c>
      <c r="BG435" t="b">
        <v>0</v>
      </c>
      <c r="BH435" s="79" t="str">
        <f>HYPERLINK("https://pbs.twimg.com/profile_banners/849749355435364352/1574275726")</f>
        <v>https://pbs.twimg.com/profile_banners/849749355435364352/1574275726</v>
      </c>
      <c r="BJ435" t="s">
        <v>4320</v>
      </c>
      <c r="BK435" t="b">
        <v>0</v>
      </c>
      <c r="BM435" t="s">
        <v>66</v>
      </c>
      <c r="BN435" t="s">
        <v>4322</v>
      </c>
      <c r="BO435" s="79" t="str">
        <f>HYPERLINK("https://twitter.com/hericunill")</f>
        <v>https://twitter.com/hericunill</v>
      </c>
      <c r="BP435" s="112" t="str">
        <f>REPLACE(INDEX(GroupVertices[Group], MATCH("~"&amp;Vertices[[#This Row],[Vertex]],GroupVertices[Vertex],0)),1,1,"")</f>
        <v>64</v>
      </c>
      <c r="BQ435" s="2"/>
    </row>
    <row r="436" spans="1:69" x14ac:dyDescent="0.25">
      <c r="A436" s="61" t="s">
        <v>684</v>
      </c>
      <c r="B436" s="62"/>
      <c r="C436" s="62"/>
      <c r="D436" s="63">
        <v>1.5</v>
      </c>
      <c r="E436" s="65"/>
      <c r="F436" s="97" t="str">
        <f>HYPERLINK("https://pbs.twimg.com/profile_images/1602760847134261248/P47qrBTi_normal.jpg")</f>
        <v>https://pbs.twimg.com/profile_images/1602760847134261248/P47qrBTi_normal.jpg</v>
      </c>
      <c r="G436" s="62"/>
      <c r="H436" s="66"/>
      <c r="I436" s="67"/>
      <c r="J436" s="67"/>
      <c r="K436" s="66" t="s">
        <v>4748</v>
      </c>
      <c r="L436" s="70"/>
      <c r="M436" s="71">
        <v>3791.94970703125</v>
      </c>
      <c r="N436" s="71">
        <v>2712.365966796875</v>
      </c>
      <c r="O436" s="72"/>
      <c r="P436" s="73"/>
      <c r="Q436" s="73"/>
      <c r="R436" s="81"/>
      <c r="S436" s="45">
        <v>1</v>
      </c>
      <c r="T436" s="45">
        <v>0</v>
      </c>
      <c r="U436" s="46">
        <v>0</v>
      </c>
      <c r="V436" s="46">
        <v>2.0960000000000002E-3</v>
      </c>
      <c r="W436" s="47"/>
      <c r="X436" s="47"/>
      <c r="Y436" s="47"/>
      <c r="Z436" s="46"/>
      <c r="AA436" s="68">
        <v>436</v>
      </c>
      <c r="AB436"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36" s="69"/>
      <c r="AD436" t="s">
        <v>3101</v>
      </c>
      <c r="AE436" s="77" t="s">
        <v>2480</v>
      </c>
      <c r="AF436">
        <v>309631</v>
      </c>
      <c r="AG436">
        <v>823</v>
      </c>
      <c r="AH436">
        <v>205152</v>
      </c>
      <c r="AI436">
        <v>1758</v>
      </c>
      <c r="AJ436">
        <v>275156</v>
      </c>
      <c r="AK436">
        <v>22959</v>
      </c>
      <c r="AL436" t="b">
        <v>0</v>
      </c>
      <c r="AM436" s="76">
        <v>40921.606493055559</v>
      </c>
      <c r="AN436" t="s">
        <v>3606</v>
      </c>
      <c r="AO436" t="s">
        <v>4008</v>
      </c>
      <c r="AP436" s="79" t="str">
        <f>HYPERLINK("https://t.co/Ff8B4chyT3")</f>
        <v>https://t.co/Ff8B4chyT3</v>
      </c>
      <c r="AQ436" s="79" t="str">
        <f>HYPERLINK("https://www.amazon.es/pir%C3%A1mide-del-fin-mundo-territorios/dp/8418345810")</f>
        <v>https://www.amazon.es/pir%C3%A1mide-del-fin-mundo-territorios/dp/8418345810</v>
      </c>
      <c r="AR436" t="s">
        <v>4218</v>
      </c>
      <c r="AV436">
        <v>1.92948828259474E+18</v>
      </c>
      <c r="AW436" s="79" t="str">
        <f>HYPERLINK("https://t.co/Ff8B4chyT3")</f>
        <v>https://t.co/Ff8B4chyT3</v>
      </c>
      <c r="AX436" t="b">
        <v>1</v>
      </c>
      <c r="AZ436" t="b">
        <v>0</v>
      </c>
      <c r="BA436" t="b">
        <v>1</v>
      </c>
      <c r="BB436" t="b">
        <v>1</v>
      </c>
      <c r="BC436" t="b">
        <v>0</v>
      </c>
      <c r="BD436" t="b">
        <v>0</v>
      </c>
      <c r="BE436" t="b">
        <v>1</v>
      </c>
      <c r="BF436" t="b">
        <v>0</v>
      </c>
      <c r="BG436" t="b">
        <v>0</v>
      </c>
      <c r="BH436" s="79" t="str">
        <f>HYPERLINK("https://pbs.twimg.com/profile_banners/462922493/1715842045")</f>
        <v>https://pbs.twimg.com/profile_banners/462922493/1715842045</v>
      </c>
      <c r="BJ436" t="s">
        <v>4320</v>
      </c>
      <c r="BK436" t="b">
        <v>0</v>
      </c>
      <c r="BM436" t="s">
        <v>65</v>
      </c>
      <c r="BN436" t="s">
        <v>4322</v>
      </c>
      <c r="BO436" s="79" t="str">
        <f>HYPERLINK("https://twitter.com/pedro_torrijos")</f>
        <v>https://twitter.com/pedro_torrijos</v>
      </c>
      <c r="BP436" s="112" t="str">
        <f>REPLACE(INDEX(GroupVertices[Group], MATCH("~"&amp;Vertices[[#This Row],[Vertex]],GroupVertices[Vertex],0)),1,1,"")</f>
        <v>64</v>
      </c>
      <c r="BQ436" s="2"/>
    </row>
    <row r="437" spans="1:69" x14ac:dyDescent="0.25">
      <c r="A437" s="61" t="s">
        <v>685</v>
      </c>
      <c r="B437" s="62"/>
      <c r="C437" s="62"/>
      <c r="D437" s="63">
        <v>1.5</v>
      </c>
      <c r="E437" s="65"/>
      <c r="F437" s="97" t="str">
        <f>HYPERLINK("https://pbs.twimg.com/profile_images/1903706107383607296/k74JBrZ7_normal.jpg")</f>
        <v>https://pbs.twimg.com/profile_images/1903706107383607296/k74JBrZ7_normal.jpg</v>
      </c>
      <c r="G437" s="62"/>
      <c r="H437" s="66"/>
      <c r="I437" s="67"/>
      <c r="J437" s="67"/>
      <c r="K437" s="66" t="s">
        <v>4750</v>
      </c>
      <c r="L437" s="70"/>
      <c r="M437" s="71">
        <v>8332.0234375</v>
      </c>
      <c r="N437" s="71">
        <v>3517.3154296875</v>
      </c>
      <c r="O437" s="72"/>
      <c r="P437" s="73"/>
      <c r="Q437" s="73"/>
      <c r="R437" s="81"/>
      <c r="S437" s="45">
        <v>1</v>
      </c>
      <c r="T437" s="45">
        <v>0</v>
      </c>
      <c r="U437" s="46">
        <v>0</v>
      </c>
      <c r="V437" s="46">
        <v>2.7950000000000002E-3</v>
      </c>
      <c r="W437" s="47"/>
      <c r="X437" s="47"/>
      <c r="Y437" s="47"/>
      <c r="Z437" s="46"/>
      <c r="AA437" s="68">
        <v>437</v>
      </c>
      <c r="AB437"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37" s="69"/>
      <c r="AD437" t="s">
        <v>3103</v>
      </c>
      <c r="AE437" s="77" t="s">
        <v>2481</v>
      </c>
      <c r="AF437">
        <v>24286</v>
      </c>
      <c r="AG437">
        <v>1504</v>
      </c>
      <c r="AH437">
        <v>11679</v>
      </c>
      <c r="AI437">
        <v>37</v>
      </c>
      <c r="AJ437">
        <v>57610</v>
      </c>
      <c r="AK437">
        <v>995</v>
      </c>
      <c r="AL437" t="b">
        <v>0</v>
      </c>
      <c r="AM437" s="76">
        <v>44608.642152777778</v>
      </c>
      <c r="AN437" t="s">
        <v>3415</v>
      </c>
      <c r="AO437" t="s">
        <v>4010</v>
      </c>
      <c r="AX437" t="b">
        <v>1</v>
      </c>
      <c r="AZ437" t="b">
        <v>0</v>
      </c>
      <c r="BA437" t="b">
        <v>1</v>
      </c>
      <c r="BB437" t="b">
        <v>0</v>
      </c>
      <c r="BC437" t="b">
        <v>1</v>
      </c>
      <c r="BD437" t="b">
        <v>0</v>
      </c>
      <c r="BE437" t="b">
        <v>0</v>
      </c>
      <c r="BF437" t="b">
        <v>0</v>
      </c>
      <c r="BG437" t="b">
        <v>0</v>
      </c>
      <c r="BH437" s="79" t="str">
        <f>HYPERLINK("https://pbs.twimg.com/profile_banners/1493969131573583873/1748495843")</f>
        <v>https://pbs.twimg.com/profile_banners/1493969131573583873/1748495843</v>
      </c>
      <c r="BJ437" t="s">
        <v>4320</v>
      </c>
      <c r="BK437" t="b">
        <v>0</v>
      </c>
      <c r="BM437" t="s">
        <v>65</v>
      </c>
      <c r="BN437" t="s">
        <v>4322</v>
      </c>
      <c r="BO437" s="79" t="str">
        <f>HYPERLINK("https://twitter.com/tujuezlaboral")</f>
        <v>https://twitter.com/tujuezlaboral</v>
      </c>
      <c r="BP437" s="112" t="str">
        <f>REPLACE(INDEX(GroupVertices[Group], MATCH("~"&amp;Vertices[[#This Row],[Vertex]],GroupVertices[Vertex],0)),1,1,"")</f>
        <v>40</v>
      </c>
      <c r="BQ437" s="2"/>
    </row>
    <row r="438" spans="1:69" x14ac:dyDescent="0.25">
      <c r="A438" s="61" t="s">
        <v>468</v>
      </c>
      <c r="B438" s="62"/>
      <c r="C438" s="62"/>
      <c r="D438" s="63">
        <v>1.5</v>
      </c>
      <c r="E438" s="65"/>
      <c r="F438" s="97" t="str">
        <f>HYPERLINK("https://abs.twimg.com/sticky/default_profile_images/default_profile_normal.png")</f>
        <v>https://abs.twimg.com/sticky/default_profile_images/default_profile_normal.png</v>
      </c>
      <c r="G438" s="62"/>
      <c r="H438" s="66"/>
      <c r="I438" s="67"/>
      <c r="J438" s="67"/>
      <c r="K438" s="66" t="s">
        <v>4751</v>
      </c>
      <c r="L438" s="70"/>
      <c r="M438" s="71">
        <v>6913.408203125</v>
      </c>
      <c r="N438" s="71">
        <v>9608.4990234375</v>
      </c>
      <c r="O438" s="72"/>
      <c r="P438" s="73"/>
      <c r="Q438" s="73"/>
      <c r="R438" s="81"/>
      <c r="S438" s="45">
        <v>0</v>
      </c>
      <c r="T438" s="45">
        <v>1</v>
      </c>
      <c r="U438" s="46">
        <v>0</v>
      </c>
      <c r="V438" s="46">
        <v>2.0960000000000002E-3</v>
      </c>
      <c r="W438" s="47"/>
      <c r="X438" s="47"/>
      <c r="Y438" s="47"/>
      <c r="Z438" s="46"/>
      <c r="AA438" s="68">
        <v>438</v>
      </c>
      <c r="AB438"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38" s="69"/>
      <c r="AD438" t="s">
        <v>3104</v>
      </c>
      <c r="AE438" s="77" t="s">
        <v>3371</v>
      </c>
      <c r="AF438">
        <v>146</v>
      </c>
      <c r="AG438">
        <v>150</v>
      </c>
      <c r="AH438">
        <v>13675</v>
      </c>
      <c r="AI438">
        <v>0</v>
      </c>
      <c r="AJ438">
        <v>13873</v>
      </c>
      <c r="AK438">
        <v>4531</v>
      </c>
      <c r="AL438" t="b">
        <v>0</v>
      </c>
      <c r="AM438" s="76">
        <v>41911.011041666665</v>
      </c>
      <c r="AN438" t="s">
        <v>3415</v>
      </c>
      <c r="AX438" t="b">
        <v>0</v>
      </c>
      <c r="BA438" t="b">
        <v>0</v>
      </c>
      <c r="BB438" t="b">
        <v>1</v>
      </c>
      <c r="BC438" t="b">
        <v>0</v>
      </c>
      <c r="BD438" t="b">
        <v>1</v>
      </c>
      <c r="BE438" t="b">
        <v>1</v>
      </c>
      <c r="BF438" t="b">
        <v>0</v>
      </c>
      <c r="BG438" t="b">
        <v>0</v>
      </c>
      <c r="BH438" s="79" t="str">
        <f>HYPERLINK("https://pbs.twimg.com/profile_banners/2790280217/1506624328")</f>
        <v>https://pbs.twimg.com/profile_banners/2790280217/1506624328</v>
      </c>
      <c r="BJ438" t="s">
        <v>4320</v>
      </c>
      <c r="BK438" t="b">
        <v>0</v>
      </c>
      <c r="BM438" t="s">
        <v>66</v>
      </c>
      <c r="BN438" t="s">
        <v>4322</v>
      </c>
      <c r="BO438" s="79" t="str">
        <f>HYPERLINK("https://twitter.com/camacho_sand")</f>
        <v>https://twitter.com/camacho_sand</v>
      </c>
      <c r="BP438" s="112" t="str">
        <f>REPLACE(INDEX(GroupVertices[Group], MATCH("~"&amp;Vertices[[#This Row],[Vertex]],GroupVertices[Vertex],0)),1,1,"")</f>
        <v>58</v>
      </c>
      <c r="BQ438" s="2"/>
    </row>
    <row r="439" spans="1:69" x14ac:dyDescent="0.25">
      <c r="A439" s="61" t="s">
        <v>686</v>
      </c>
      <c r="B439" s="62"/>
      <c r="C439" s="62"/>
      <c r="D439" s="63">
        <v>1.5</v>
      </c>
      <c r="E439" s="65"/>
      <c r="F439" s="97" t="str">
        <f>HYPERLINK("https://pbs.twimg.com/profile_images/1742808082114134016/lDYQ2iyH_normal.jpg")</f>
        <v>https://pbs.twimg.com/profile_images/1742808082114134016/lDYQ2iyH_normal.jpg</v>
      </c>
      <c r="G439" s="62"/>
      <c r="H439" s="66"/>
      <c r="I439" s="67"/>
      <c r="J439" s="67"/>
      <c r="K439" s="66" t="s">
        <v>4752</v>
      </c>
      <c r="L439" s="70"/>
      <c r="M439" s="71">
        <v>4405.41162109375</v>
      </c>
      <c r="N439" s="71">
        <v>9430.4580078125</v>
      </c>
      <c r="O439" s="72"/>
      <c r="P439" s="73"/>
      <c r="Q439" s="73"/>
      <c r="R439" s="81"/>
      <c r="S439" s="45">
        <v>1</v>
      </c>
      <c r="T439" s="45">
        <v>0</v>
      </c>
      <c r="U439" s="46">
        <v>0</v>
      </c>
      <c r="V439" s="46">
        <v>2.0960000000000002E-3</v>
      </c>
      <c r="W439" s="47"/>
      <c r="X439" s="47"/>
      <c r="Y439" s="47"/>
      <c r="Z439" s="46"/>
      <c r="AA439" s="68">
        <v>439</v>
      </c>
      <c r="AB439"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39" s="69"/>
      <c r="AD439" t="s">
        <v>3105</v>
      </c>
      <c r="AE439" s="77" t="s">
        <v>2482</v>
      </c>
      <c r="AF439">
        <v>7123</v>
      </c>
      <c r="AG439">
        <v>3136</v>
      </c>
      <c r="AH439">
        <v>19841</v>
      </c>
      <c r="AI439">
        <v>28</v>
      </c>
      <c r="AJ439">
        <v>35324</v>
      </c>
      <c r="AK439">
        <v>3841</v>
      </c>
      <c r="AL439" t="b">
        <v>0</v>
      </c>
      <c r="AM439" s="76">
        <v>42790.69935185185</v>
      </c>
      <c r="AO439" t="s">
        <v>4011</v>
      </c>
      <c r="AV439">
        <v>1.8063788994476301E+18</v>
      </c>
      <c r="AX439" t="b">
        <v>0</v>
      </c>
      <c r="AZ439" t="b">
        <v>0</v>
      </c>
      <c r="BA439" t="b">
        <v>0</v>
      </c>
      <c r="BB439" t="b">
        <v>1</v>
      </c>
      <c r="BC439" t="b">
        <v>1</v>
      </c>
      <c r="BD439" t="b">
        <v>0</v>
      </c>
      <c r="BE439" t="b">
        <v>1</v>
      </c>
      <c r="BF439" t="b">
        <v>0</v>
      </c>
      <c r="BG439" t="b">
        <v>0</v>
      </c>
      <c r="BH439" s="79" t="str">
        <f>HYPERLINK("https://pbs.twimg.com/profile_banners/835169181628678145/1701929122")</f>
        <v>https://pbs.twimg.com/profile_banners/835169181628678145/1701929122</v>
      </c>
      <c r="BJ439" t="s">
        <v>4320</v>
      </c>
      <c r="BK439" t="b">
        <v>0</v>
      </c>
      <c r="BM439" t="s">
        <v>65</v>
      </c>
      <c r="BN439" t="s">
        <v>4322</v>
      </c>
      <c r="BO439" s="79" t="str">
        <f>HYPERLINK("https://twitter.com/soylyn05")</f>
        <v>https://twitter.com/soylyn05</v>
      </c>
      <c r="BP439" s="112" t="str">
        <f>REPLACE(INDEX(GroupVertices[Group], MATCH("~"&amp;Vertices[[#This Row],[Vertex]],GroupVertices[Vertex],0)),1,1,"")</f>
        <v>58</v>
      </c>
      <c r="BQ439" s="2"/>
    </row>
    <row r="440" spans="1:69" x14ac:dyDescent="0.25">
      <c r="A440" s="61" t="s">
        <v>687</v>
      </c>
      <c r="B440" s="62"/>
      <c r="C440" s="62"/>
      <c r="D440" s="63">
        <v>1.5</v>
      </c>
      <c r="E440" s="65"/>
      <c r="F440" s="97" t="str">
        <f>HYPERLINK("https://pbs.twimg.com/profile_images/1898086613017665536/knf_RtQE_normal.jpg")</f>
        <v>https://pbs.twimg.com/profile_images/1898086613017665536/knf_RtQE_normal.jpg</v>
      </c>
      <c r="G440" s="62"/>
      <c r="H440" s="66"/>
      <c r="I440" s="67"/>
      <c r="J440" s="67"/>
      <c r="K440" s="66" t="s">
        <v>4754</v>
      </c>
      <c r="L440" s="70"/>
      <c r="M440" s="71">
        <v>5923.068359375</v>
      </c>
      <c r="N440" s="71">
        <v>242.92098999023438</v>
      </c>
      <c r="O440" s="72"/>
      <c r="P440" s="73"/>
      <c r="Q440" s="73"/>
      <c r="R440" s="81"/>
      <c r="S440" s="45">
        <v>1</v>
      </c>
      <c r="T440" s="45">
        <v>0</v>
      </c>
      <c r="U440" s="46">
        <v>0</v>
      </c>
      <c r="V440" s="46">
        <v>8.7349999999999997E-3</v>
      </c>
      <c r="W440" s="47"/>
      <c r="X440" s="47"/>
      <c r="Y440" s="47"/>
      <c r="Z440" s="46"/>
      <c r="AA440" s="68">
        <v>440</v>
      </c>
      <c r="AB440"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40" s="69"/>
      <c r="AD440" t="s">
        <v>3107</v>
      </c>
      <c r="AE440" s="77" t="s">
        <v>2483</v>
      </c>
      <c r="AF440">
        <v>32622</v>
      </c>
      <c r="AG440">
        <v>1841</v>
      </c>
      <c r="AH440">
        <v>18648</v>
      </c>
      <c r="AI440">
        <v>413</v>
      </c>
      <c r="AJ440">
        <v>10510</v>
      </c>
      <c r="AK440">
        <v>2717</v>
      </c>
      <c r="AL440" t="b">
        <v>0</v>
      </c>
      <c r="AM440" s="76">
        <v>40607.600474537037</v>
      </c>
      <c r="AN440" t="s">
        <v>3607</v>
      </c>
      <c r="AO440" t="s">
        <v>4013</v>
      </c>
      <c r="AP440" s="79" t="str">
        <f>HYPERLINK("https://t.co/Roa0o1xoMP")</f>
        <v>https://t.co/Roa0o1xoMP</v>
      </c>
      <c r="AQ440" s="79" t="str">
        <f>HYPERLINK("http://www.carolinadarias.es/")</f>
        <v>http://www.carolinadarias.es/</v>
      </c>
      <c r="AR440" t="s">
        <v>4219</v>
      </c>
      <c r="AV440">
        <v>1.67011972443107E+18</v>
      </c>
      <c r="AW440" s="79" t="str">
        <f>HYPERLINK("https://t.co/Roa0o1xoMP")</f>
        <v>https://t.co/Roa0o1xoMP</v>
      </c>
      <c r="AX440" t="b">
        <v>0</v>
      </c>
      <c r="AZ440" t="b">
        <v>0</v>
      </c>
      <c r="BA440" t="b">
        <v>0</v>
      </c>
      <c r="BB440" t="b">
        <v>1</v>
      </c>
      <c r="BC440" t="b">
        <v>1</v>
      </c>
      <c r="BD440" t="b">
        <v>0</v>
      </c>
      <c r="BE440" t="b">
        <v>1</v>
      </c>
      <c r="BF440" t="b">
        <v>0</v>
      </c>
      <c r="BG440" t="b">
        <v>0</v>
      </c>
      <c r="BH440" s="79" t="str">
        <f>HYPERLINK("https://pbs.twimg.com/profile_banners/261225455/1690349631")</f>
        <v>https://pbs.twimg.com/profile_banners/261225455/1690349631</v>
      </c>
      <c r="BJ440" t="s">
        <v>4320</v>
      </c>
      <c r="BK440" t="b">
        <v>0</v>
      </c>
      <c r="BM440" t="s">
        <v>65</v>
      </c>
      <c r="BN440" t="s">
        <v>4322</v>
      </c>
      <c r="BO440" s="79" t="str">
        <f>HYPERLINK("https://twitter.com/carolinadarias")</f>
        <v>https://twitter.com/carolinadarias</v>
      </c>
      <c r="BP440" s="112" t="str">
        <f>REPLACE(INDEX(GroupVertices[Group], MATCH("~"&amp;Vertices[[#This Row],[Vertex]],GroupVertices[Vertex],0)),1,1,"")</f>
        <v>2</v>
      </c>
      <c r="BQ440" s="2"/>
    </row>
    <row r="441" spans="1:69" x14ac:dyDescent="0.25">
      <c r="A441" s="61" t="s">
        <v>470</v>
      </c>
      <c r="B441" s="62"/>
      <c r="C441" s="62"/>
      <c r="D441" s="63">
        <v>1.5</v>
      </c>
      <c r="E441" s="65"/>
      <c r="F441" s="97" t="str">
        <f>HYPERLINK("https://pbs.twimg.com/profile_images/1462170198744743945/8uJueYkH_normal.jpg")</f>
        <v>https://pbs.twimg.com/profile_images/1462170198744743945/8uJueYkH_normal.jpg</v>
      </c>
      <c r="G441" s="62"/>
      <c r="H441" s="66"/>
      <c r="I441" s="67"/>
      <c r="J441" s="67"/>
      <c r="K441" s="66" t="s">
        <v>4755</v>
      </c>
      <c r="L441" s="70"/>
      <c r="M441" s="71">
        <v>2142.277587890625</v>
      </c>
      <c r="N441" s="71">
        <v>5497.95703125</v>
      </c>
      <c r="O441" s="72"/>
      <c r="P441" s="73"/>
      <c r="Q441" s="73"/>
      <c r="R441" s="81"/>
      <c r="S441" s="45">
        <v>1</v>
      </c>
      <c r="T441" s="45">
        <v>2</v>
      </c>
      <c r="U441" s="46">
        <v>0</v>
      </c>
      <c r="V441" s="46">
        <v>2.0960000000000002E-3</v>
      </c>
      <c r="W441" s="47"/>
      <c r="X441" s="47"/>
      <c r="Y441" s="47"/>
      <c r="Z441" s="46"/>
      <c r="AA441" s="68">
        <v>441</v>
      </c>
      <c r="AB441"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41" s="69"/>
      <c r="AD441" t="s">
        <v>3108</v>
      </c>
      <c r="AE441" s="77" t="s">
        <v>2485</v>
      </c>
      <c r="AF441">
        <v>1758</v>
      </c>
      <c r="AG441">
        <v>3463</v>
      </c>
      <c r="AH441">
        <v>36017</v>
      </c>
      <c r="AI441">
        <v>1</v>
      </c>
      <c r="AJ441">
        <v>30032</v>
      </c>
      <c r="AK441">
        <v>936</v>
      </c>
      <c r="AL441" t="b">
        <v>0</v>
      </c>
      <c r="AM441" s="76">
        <v>44520.883611111109</v>
      </c>
      <c r="AN441" t="s">
        <v>3608</v>
      </c>
      <c r="AO441" t="s">
        <v>4014</v>
      </c>
      <c r="AV441">
        <v>1.7367369936634801E+18</v>
      </c>
      <c r="AX441" t="b">
        <v>0</v>
      </c>
      <c r="BA441" t="b">
        <v>0</v>
      </c>
      <c r="BB441" t="b">
        <v>1</v>
      </c>
      <c r="BC441" t="b">
        <v>1</v>
      </c>
      <c r="BD441" t="b">
        <v>0</v>
      </c>
      <c r="BE441" t="b">
        <v>1</v>
      </c>
      <c r="BF441" t="b">
        <v>0</v>
      </c>
      <c r="BG441" t="b">
        <v>0</v>
      </c>
      <c r="BH441" s="79" t="str">
        <f>HYPERLINK("https://pbs.twimg.com/profile_banners/1462166849718824966/1667143583")</f>
        <v>https://pbs.twimg.com/profile_banners/1462166849718824966/1667143583</v>
      </c>
      <c r="BJ441" t="s">
        <v>4320</v>
      </c>
      <c r="BK441" t="b">
        <v>0</v>
      </c>
      <c r="BM441" t="s">
        <v>66</v>
      </c>
      <c r="BN441" t="s">
        <v>4322</v>
      </c>
      <c r="BO441" s="79" t="str">
        <f>HYPERLINK("https://twitter.com/andresalvar5")</f>
        <v>https://twitter.com/andresalvar5</v>
      </c>
      <c r="BP441" s="112" t="str">
        <f>REPLACE(INDEX(GroupVertices[Group], MATCH("~"&amp;Vertices[[#This Row],[Vertex]],GroupVertices[Vertex],0)),1,1,"")</f>
        <v>87</v>
      </c>
      <c r="BQ441" s="2"/>
    </row>
    <row r="442" spans="1:69" x14ac:dyDescent="0.25">
      <c r="A442" s="61" t="s">
        <v>688</v>
      </c>
      <c r="B442" s="62"/>
      <c r="C442" s="62"/>
      <c r="D442" s="63">
        <v>1.5</v>
      </c>
      <c r="E442" s="65"/>
      <c r="F442" s="97" t="str">
        <f>HYPERLINK("https://pbs.twimg.com/profile_images/1603951391080333320/SRrDLtpA_normal.jpg")</f>
        <v>https://pbs.twimg.com/profile_images/1603951391080333320/SRrDLtpA_normal.jpg</v>
      </c>
      <c r="G442" s="62"/>
      <c r="H442" s="66"/>
      <c r="I442" s="67"/>
      <c r="J442" s="67"/>
      <c r="K442" s="66" t="s">
        <v>4756</v>
      </c>
      <c r="L442" s="70"/>
      <c r="M442" s="71">
        <v>2435.6787109375</v>
      </c>
      <c r="N442" s="71">
        <v>7185.244140625</v>
      </c>
      <c r="O442" s="72"/>
      <c r="P442" s="73"/>
      <c r="Q442" s="73"/>
      <c r="R442" s="81"/>
      <c r="S442" s="45">
        <v>1</v>
      </c>
      <c r="T442" s="45">
        <v>0</v>
      </c>
      <c r="U442" s="46">
        <v>0</v>
      </c>
      <c r="V442" s="46">
        <v>2.0960000000000002E-3</v>
      </c>
      <c r="W442" s="47"/>
      <c r="X442" s="47"/>
      <c r="Y442" s="47"/>
      <c r="Z442" s="46"/>
      <c r="AA442" s="68">
        <v>442</v>
      </c>
      <c r="AB442"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42" s="69"/>
      <c r="AD442" t="s">
        <v>3109</v>
      </c>
      <c r="AE442" s="77" t="s">
        <v>2484</v>
      </c>
      <c r="AF442">
        <v>4207</v>
      </c>
      <c r="AG442">
        <v>3638</v>
      </c>
      <c r="AH442">
        <v>17523</v>
      </c>
      <c r="AI442">
        <v>19</v>
      </c>
      <c r="AJ442">
        <v>27460</v>
      </c>
      <c r="AK442">
        <v>573</v>
      </c>
      <c r="AL442" t="b">
        <v>0</v>
      </c>
      <c r="AM442" s="76">
        <v>44706.581631944442</v>
      </c>
      <c r="AO442" t="s">
        <v>4015</v>
      </c>
      <c r="AV442">
        <v>1.9164839694632499E+18</v>
      </c>
      <c r="AX442" t="b">
        <v>1</v>
      </c>
      <c r="AZ442" t="b">
        <v>0</v>
      </c>
      <c r="BA442" t="b">
        <v>0</v>
      </c>
      <c r="BB442" t="b">
        <v>1</v>
      </c>
      <c r="BC442" t="b">
        <v>1</v>
      </c>
      <c r="BD442" t="b">
        <v>0</v>
      </c>
      <c r="BE442" t="b">
        <v>1</v>
      </c>
      <c r="BF442" t="b">
        <v>0</v>
      </c>
      <c r="BG442" t="b">
        <v>0</v>
      </c>
      <c r="BH442" s="79" t="str">
        <f>HYPERLINK("https://pbs.twimg.com/profile_banners/1529461603351113730/1733704283")</f>
        <v>https://pbs.twimg.com/profile_banners/1529461603351113730/1733704283</v>
      </c>
      <c r="BJ442" t="s">
        <v>4320</v>
      </c>
      <c r="BK442" t="b">
        <v>0</v>
      </c>
      <c r="BM442" t="s">
        <v>65</v>
      </c>
      <c r="BN442" t="s">
        <v>4322</v>
      </c>
      <c r="BO442" s="79" t="str">
        <f>HYPERLINK("https://twitter.com/rodolfo_garciac")</f>
        <v>https://twitter.com/rodolfo_garciac</v>
      </c>
      <c r="BP442" s="112" t="str">
        <f>REPLACE(INDEX(GroupVertices[Group], MATCH("~"&amp;Vertices[[#This Row],[Vertex]],GroupVertices[Vertex],0)),1,1,"")</f>
        <v>87</v>
      </c>
      <c r="BQ442" s="2"/>
    </row>
    <row r="443" spans="1:69" x14ac:dyDescent="0.25">
      <c r="A443" s="61" t="s">
        <v>471</v>
      </c>
      <c r="B443" s="62"/>
      <c r="C443" s="62"/>
      <c r="D443" s="63">
        <v>1.5</v>
      </c>
      <c r="E443" s="65"/>
      <c r="F443" s="97" t="str">
        <f>HYPERLINK("https://pbs.twimg.com/profile_images/718926565761875968/LSEiUqgF_normal.jpg")</f>
        <v>https://pbs.twimg.com/profile_images/718926565761875968/LSEiUqgF_normal.jpg</v>
      </c>
      <c r="G443" s="62"/>
      <c r="H443" s="66"/>
      <c r="I443" s="67"/>
      <c r="J443" s="67"/>
      <c r="K443" s="66" t="s">
        <v>4757</v>
      </c>
      <c r="L443" s="70"/>
      <c r="M443" s="71">
        <v>7091.54296875</v>
      </c>
      <c r="N443" s="71">
        <v>3653.80224609375</v>
      </c>
      <c r="O443" s="72"/>
      <c r="P443" s="73"/>
      <c r="Q443" s="73"/>
      <c r="R443" s="81"/>
      <c r="S443" s="45">
        <v>0</v>
      </c>
      <c r="T443" s="45">
        <v>1</v>
      </c>
      <c r="U443" s="46">
        <v>0</v>
      </c>
      <c r="V443" s="46">
        <v>1.1181E-2</v>
      </c>
      <c r="W443" s="47"/>
      <c r="X443" s="47"/>
      <c r="Y443" s="47"/>
      <c r="Z443" s="46"/>
      <c r="AA443" s="68">
        <v>443</v>
      </c>
      <c r="AB443"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43" s="69"/>
      <c r="AD443" t="s">
        <v>3110</v>
      </c>
      <c r="AE443" s="77" t="s">
        <v>3373</v>
      </c>
      <c r="AF443">
        <v>4449</v>
      </c>
      <c r="AG443">
        <v>4458</v>
      </c>
      <c r="AH443">
        <v>177393</v>
      </c>
      <c r="AI443">
        <v>38</v>
      </c>
      <c r="AJ443">
        <v>266</v>
      </c>
      <c r="AK443">
        <v>32282</v>
      </c>
      <c r="AL443" t="b">
        <v>0</v>
      </c>
      <c r="AM443" s="76">
        <v>40591.68377314815</v>
      </c>
      <c r="AO443" t="s">
        <v>4016</v>
      </c>
      <c r="AP443" s="79" t="str">
        <f>HYPERLINK("https://t.co/a2muwKVifv")</f>
        <v>https://t.co/a2muwKVifv</v>
      </c>
      <c r="AQ443" s="79" t="str">
        <f>HYPERLINK("https://www.linkedin.com/in/felipe-león-lópez-99950460/")</f>
        <v>https://www.linkedin.com/in/felipe-león-lópez-99950460/</v>
      </c>
      <c r="AR443" t="s">
        <v>4220</v>
      </c>
      <c r="AV443">
        <v>1.4004470637756101E+18</v>
      </c>
      <c r="AW443" s="79" t="str">
        <f>HYPERLINK("https://t.co/a2muwKVifv")</f>
        <v>https://t.co/a2muwKVifv</v>
      </c>
      <c r="AX443" t="b">
        <v>0</v>
      </c>
      <c r="BA443" t="b">
        <v>0</v>
      </c>
      <c r="BB443" t="b">
        <v>1</v>
      </c>
      <c r="BC443" t="b">
        <v>0</v>
      </c>
      <c r="BD443" t="b">
        <v>0</v>
      </c>
      <c r="BE443" t="b">
        <v>0</v>
      </c>
      <c r="BF443" t="b">
        <v>0</v>
      </c>
      <c r="BG443" t="b">
        <v>0</v>
      </c>
      <c r="BH443" s="79" t="str">
        <f>HYPERLINK("https://pbs.twimg.com/profile_banners/253616741/1399727515")</f>
        <v>https://pbs.twimg.com/profile_banners/253616741/1399727515</v>
      </c>
      <c r="BJ443" t="s">
        <v>4320</v>
      </c>
      <c r="BK443" t="b">
        <v>0</v>
      </c>
      <c r="BM443" t="s">
        <v>66</v>
      </c>
      <c r="BN443" t="s">
        <v>4322</v>
      </c>
      <c r="BO443" s="79" t="str">
        <f>HYPERLINK("https://twitter.com/felipeleonlopez")</f>
        <v>https://twitter.com/felipeleonlopez</v>
      </c>
      <c r="BP443" s="112" t="str">
        <f>REPLACE(INDEX(GroupVertices[Group], MATCH("~"&amp;Vertices[[#This Row],[Vertex]],GroupVertices[Vertex],0)),1,1,"")</f>
        <v>4</v>
      </c>
      <c r="BQ443" s="2"/>
    </row>
    <row r="444" spans="1:69" x14ac:dyDescent="0.25">
      <c r="A444" s="61" t="s">
        <v>472</v>
      </c>
      <c r="B444" s="62"/>
      <c r="C444" s="62"/>
      <c r="D444" s="63">
        <v>1.5</v>
      </c>
      <c r="E444" s="65"/>
      <c r="F444" s="97" t="str">
        <f>HYPERLINK("https://pbs.twimg.com/profile_images/1429826993084850177/rMqmhn-g_normal.jpg")</f>
        <v>https://pbs.twimg.com/profile_images/1429826993084850177/rMqmhn-g_normal.jpg</v>
      </c>
      <c r="G444" s="62"/>
      <c r="H444" s="66"/>
      <c r="I444" s="67"/>
      <c r="J444" s="67"/>
      <c r="K444" s="66" t="s">
        <v>4758</v>
      </c>
      <c r="L444" s="70"/>
      <c r="M444" s="71">
        <v>5120.75244140625</v>
      </c>
      <c r="N444" s="71">
        <v>626.4215087890625</v>
      </c>
      <c r="O444" s="72"/>
      <c r="P444" s="73"/>
      <c r="Q444" s="73"/>
      <c r="R444" s="81"/>
      <c r="S444" s="45">
        <v>1</v>
      </c>
      <c r="T444" s="45">
        <v>1</v>
      </c>
      <c r="U444" s="46">
        <v>0</v>
      </c>
      <c r="V444" s="46">
        <v>0</v>
      </c>
      <c r="W444" s="47"/>
      <c r="X444" s="47"/>
      <c r="Y444" s="47"/>
      <c r="Z444" s="46"/>
      <c r="AA444" s="68">
        <v>444</v>
      </c>
      <c r="AB444"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44" s="69"/>
      <c r="AD444" t="s">
        <v>472</v>
      </c>
      <c r="AE444" s="77" t="s">
        <v>2633</v>
      </c>
      <c r="AF444">
        <v>3686</v>
      </c>
      <c r="AG444">
        <v>89</v>
      </c>
      <c r="AH444">
        <v>27274</v>
      </c>
      <c r="AI444">
        <v>12</v>
      </c>
      <c r="AJ444">
        <v>148</v>
      </c>
      <c r="AK444">
        <v>5159</v>
      </c>
      <c r="AL444" t="b">
        <v>0</v>
      </c>
      <c r="AM444" s="76">
        <v>44323.952199074076</v>
      </c>
      <c r="AO444" t="s">
        <v>4017</v>
      </c>
      <c r="AS444" t="s">
        <v>4247</v>
      </c>
      <c r="AT444" t="s">
        <v>4260</v>
      </c>
      <c r="AU444" t="s">
        <v>4313</v>
      </c>
      <c r="AX444" t="b">
        <v>1</v>
      </c>
      <c r="BA444" t="b">
        <v>0</v>
      </c>
      <c r="BB444" t="b">
        <v>1</v>
      </c>
      <c r="BC444" t="b">
        <v>1</v>
      </c>
      <c r="BD444" t="b">
        <v>0</v>
      </c>
      <c r="BE444" t="b">
        <v>0</v>
      </c>
      <c r="BF444" t="b">
        <v>0</v>
      </c>
      <c r="BG444" t="b">
        <v>0</v>
      </c>
      <c r="BH444" s="79" t="str">
        <f>HYPERLINK("https://pbs.twimg.com/profile_banners/1390801351391825924/1721761429")</f>
        <v>https://pbs.twimg.com/profile_banners/1390801351391825924/1721761429</v>
      </c>
      <c r="BJ444" t="s">
        <v>4320</v>
      </c>
      <c r="BK444" t="b">
        <v>0</v>
      </c>
      <c r="BM444" t="s">
        <v>66</v>
      </c>
      <c r="BN444" t="s">
        <v>4322</v>
      </c>
      <c r="BO444" s="79" t="str">
        <f>HYPERLINK("https://twitter.com/diariousach")</f>
        <v>https://twitter.com/diariousach</v>
      </c>
      <c r="BP444" s="112" t="str">
        <f>REPLACE(INDEX(GroupVertices[Group], MATCH("~"&amp;Vertices[[#This Row],[Vertex]],GroupVertices[Vertex],0)),1,1,"")</f>
        <v>147</v>
      </c>
      <c r="BQ444" s="2"/>
    </row>
    <row r="445" spans="1:69" x14ac:dyDescent="0.25">
      <c r="A445" s="61" t="s">
        <v>473</v>
      </c>
      <c r="B445" s="62"/>
      <c r="C445" s="62"/>
      <c r="D445" s="63">
        <v>1.5</v>
      </c>
      <c r="E445" s="65"/>
      <c r="F445" s="97" t="str">
        <f>HYPERLINK("https://pbs.twimg.com/profile_images/1572425634890059777/flR-OnRM_normal.jpg")</f>
        <v>https://pbs.twimg.com/profile_images/1572425634890059777/flR-OnRM_normal.jpg</v>
      </c>
      <c r="G445" s="62"/>
      <c r="H445" s="66"/>
      <c r="I445" s="67"/>
      <c r="J445" s="67"/>
      <c r="K445" s="66" t="s">
        <v>4759</v>
      </c>
      <c r="L445" s="70"/>
      <c r="M445" s="71">
        <v>5953.6796875</v>
      </c>
      <c r="N445" s="71">
        <v>1684.2882080078125</v>
      </c>
      <c r="O445" s="72"/>
      <c r="P445" s="73"/>
      <c r="Q445" s="73"/>
      <c r="R445" s="81"/>
      <c r="S445" s="45">
        <v>0</v>
      </c>
      <c r="T445" s="45">
        <v>1</v>
      </c>
      <c r="U445" s="46">
        <v>0</v>
      </c>
      <c r="V445" s="46">
        <v>8.9449999999999998E-3</v>
      </c>
      <c r="W445" s="47"/>
      <c r="X445" s="47"/>
      <c r="Y445" s="47"/>
      <c r="Z445" s="46"/>
      <c r="AA445" s="68">
        <v>445</v>
      </c>
      <c r="AB445"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45" s="69"/>
      <c r="AD445" t="s">
        <v>3111</v>
      </c>
      <c r="AE445" s="77" t="s">
        <v>3374</v>
      </c>
      <c r="AF445">
        <v>355</v>
      </c>
      <c r="AG445">
        <v>638</v>
      </c>
      <c r="AH445">
        <v>56050</v>
      </c>
      <c r="AI445">
        <v>5</v>
      </c>
      <c r="AJ445">
        <v>51137</v>
      </c>
      <c r="AK445">
        <v>158</v>
      </c>
      <c r="AL445" t="b">
        <v>0</v>
      </c>
      <c r="AM445" s="76">
        <v>40286.277627314812</v>
      </c>
      <c r="AO445" t="s">
        <v>4018</v>
      </c>
      <c r="AX445" t="b">
        <v>0</v>
      </c>
      <c r="BA445" t="b">
        <v>0</v>
      </c>
      <c r="BB445" t="b">
        <v>1</v>
      </c>
      <c r="BC445" t="b">
        <v>0</v>
      </c>
      <c r="BD445" t="b">
        <v>0</v>
      </c>
      <c r="BE445" t="b">
        <v>1</v>
      </c>
      <c r="BF445" t="b">
        <v>0</v>
      </c>
      <c r="BG445" t="b">
        <v>0</v>
      </c>
      <c r="BH445" s="79" t="str">
        <f>HYPERLINK("https://pbs.twimg.com/profile_banners/134370704/1663372535")</f>
        <v>https://pbs.twimg.com/profile_banners/134370704/1663372535</v>
      </c>
      <c r="BJ445" t="s">
        <v>4320</v>
      </c>
      <c r="BK445" t="b">
        <v>0</v>
      </c>
      <c r="BM445" t="s">
        <v>66</v>
      </c>
      <c r="BN445" t="s">
        <v>4322</v>
      </c>
      <c r="BO445" s="79" t="str">
        <f>HYPERLINK("https://twitter.com/patocelis")</f>
        <v>https://twitter.com/patocelis</v>
      </c>
      <c r="BP445" s="112" t="str">
        <f>REPLACE(INDEX(GroupVertices[Group], MATCH("~"&amp;Vertices[[#This Row],[Vertex]],GroupVertices[Vertex],0)),1,1,"")</f>
        <v>7</v>
      </c>
      <c r="BQ445" s="2"/>
    </row>
    <row r="446" spans="1:69" x14ac:dyDescent="0.25">
      <c r="A446" s="61" t="s">
        <v>474</v>
      </c>
      <c r="B446" s="62"/>
      <c r="C446" s="62"/>
      <c r="D446" s="63">
        <v>1.5</v>
      </c>
      <c r="E446" s="65"/>
      <c r="F446" s="97" t="str">
        <f>HYPERLINK("https://pbs.twimg.com/profile_images/1564876205849022464/qjEze7kT_normal.jpg")</f>
        <v>https://pbs.twimg.com/profile_images/1564876205849022464/qjEze7kT_normal.jpg</v>
      </c>
      <c r="G446" s="62"/>
      <c r="H446" s="66"/>
      <c r="I446" s="67"/>
      <c r="J446" s="67"/>
      <c r="K446" s="66" t="s">
        <v>4760</v>
      </c>
      <c r="L446" s="70"/>
      <c r="M446" s="71">
        <v>9838.1728515625</v>
      </c>
      <c r="N446" s="71">
        <v>6999.7412109375</v>
      </c>
      <c r="O446" s="72"/>
      <c r="P446" s="73"/>
      <c r="Q446" s="73"/>
      <c r="R446" s="81"/>
      <c r="S446" s="45">
        <v>0</v>
      </c>
      <c r="T446" s="45">
        <v>1</v>
      </c>
      <c r="U446" s="46">
        <v>0</v>
      </c>
      <c r="V446" s="46">
        <v>2.0960000000000002E-3</v>
      </c>
      <c r="W446" s="47"/>
      <c r="X446" s="47"/>
      <c r="Y446" s="47"/>
      <c r="Z446" s="46"/>
      <c r="AA446" s="68">
        <v>446</v>
      </c>
      <c r="AB446"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46" s="69"/>
      <c r="AD446" t="s">
        <v>3112</v>
      </c>
      <c r="AE446" s="77" t="s">
        <v>3375</v>
      </c>
      <c r="AF446">
        <v>1491</v>
      </c>
      <c r="AG446">
        <v>3722</v>
      </c>
      <c r="AH446">
        <v>24360</v>
      </c>
      <c r="AI446">
        <v>12</v>
      </c>
      <c r="AJ446">
        <v>14375</v>
      </c>
      <c r="AK446">
        <v>5781</v>
      </c>
      <c r="AL446" t="b">
        <v>0</v>
      </c>
      <c r="AM446" s="76">
        <v>41534.608368055553</v>
      </c>
      <c r="AN446" t="s">
        <v>3609</v>
      </c>
      <c r="AO446" s="79" t="str">
        <f>HYPERLINK("https://t.co/85UOa657vz")</f>
        <v>https://t.co/85UOa657vz</v>
      </c>
      <c r="AP446" s="79" t="str">
        <f>HYPERLINK("https://t.co/85UOa657vz")</f>
        <v>https://t.co/85UOa657vz</v>
      </c>
      <c r="AQ446" s="79" t="str">
        <f>HYPERLINK("http://certalbacete.es")</f>
        <v>http://certalbacete.es</v>
      </c>
      <c r="AR446" t="s">
        <v>4221</v>
      </c>
      <c r="AS446" s="79" t="str">
        <f>HYPERLINK("https://t.co/85UOa657vz")</f>
        <v>https://t.co/85UOa657vz</v>
      </c>
      <c r="AT446" s="79" t="str">
        <f>HYPERLINK("http://certalbacete.es")</f>
        <v>http://certalbacete.es</v>
      </c>
      <c r="AU446" t="s">
        <v>4221</v>
      </c>
      <c r="AV446">
        <v>1.7255605022421299E+18</v>
      </c>
      <c r="AW446" s="79" t="str">
        <f>HYPERLINK("https://t.co/85UOa657vz")</f>
        <v>https://t.co/85UOa657vz</v>
      </c>
      <c r="AX446" t="b">
        <v>0</v>
      </c>
      <c r="BA446" t="b">
        <v>1</v>
      </c>
      <c r="BB446" t="b">
        <v>1</v>
      </c>
      <c r="BC446" t="b">
        <v>0</v>
      </c>
      <c r="BD446" t="b">
        <v>0</v>
      </c>
      <c r="BE446" t="b">
        <v>1</v>
      </c>
      <c r="BF446" t="b">
        <v>0</v>
      </c>
      <c r="BG446" t="b">
        <v>0</v>
      </c>
      <c r="BH446" s="79" t="str">
        <f>HYPERLINK("https://pbs.twimg.com/profile_banners/1875740150/1678701657")</f>
        <v>https://pbs.twimg.com/profile_banners/1875740150/1678701657</v>
      </c>
      <c r="BJ446" t="s">
        <v>4320</v>
      </c>
      <c r="BK446" t="b">
        <v>0</v>
      </c>
      <c r="BM446" t="s">
        <v>66</v>
      </c>
      <c r="BN446" t="s">
        <v>4322</v>
      </c>
      <c r="BO446" s="79" t="str">
        <f>HYPERLINK("https://twitter.com/angel_ciparque")</f>
        <v>https://twitter.com/angel_ciparque</v>
      </c>
      <c r="BP446" s="112" t="str">
        <f>REPLACE(INDEX(GroupVertices[Group], MATCH("~"&amp;Vertices[[#This Row],[Vertex]],GroupVertices[Vertex],0)),1,1,"")</f>
        <v>108</v>
      </c>
      <c r="BQ446" s="2"/>
    </row>
    <row r="447" spans="1:69" x14ac:dyDescent="0.25">
      <c r="A447" s="61" t="s">
        <v>689</v>
      </c>
      <c r="B447" s="62"/>
      <c r="C447" s="62"/>
      <c r="D447" s="63">
        <v>1.5</v>
      </c>
      <c r="E447" s="65"/>
      <c r="F447" s="97" t="str">
        <f>HYPERLINK("https://pbs.twimg.com/profile_images/683737590919507969/iWdyOXr7_normal.jpg")</f>
        <v>https://pbs.twimg.com/profile_images/683737590919507969/iWdyOXr7_normal.jpg</v>
      </c>
      <c r="G447" s="62"/>
      <c r="H447" s="66"/>
      <c r="I447" s="67"/>
      <c r="J447" s="67"/>
      <c r="K447" s="66" t="s">
        <v>4761</v>
      </c>
      <c r="L447" s="70"/>
      <c r="M447" s="71">
        <v>9176.7958984375</v>
      </c>
      <c r="N447" s="71">
        <v>4674.52197265625</v>
      </c>
      <c r="O447" s="72"/>
      <c r="P447" s="73"/>
      <c r="Q447" s="73"/>
      <c r="R447" s="81"/>
      <c r="S447" s="45">
        <v>1</v>
      </c>
      <c r="T447" s="45">
        <v>0</v>
      </c>
      <c r="U447" s="46">
        <v>0</v>
      </c>
      <c r="V447" s="46">
        <v>2.0960000000000002E-3</v>
      </c>
      <c r="W447" s="47"/>
      <c r="X447" s="47"/>
      <c r="Y447" s="47"/>
      <c r="Z447" s="46"/>
      <c r="AA447" s="68">
        <v>447</v>
      </c>
      <c r="AB447"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47" s="69"/>
      <c r="AD447" t="s">
        <v>3113</v>
      </c>
      <c r="AE447" s="77" t="s">
        <v>3376</v>
      </c>
      <c r="AF447">
        <v>224</v>
      </c>
      <c r="AG447">
        <v>108</v>
      </c>
      <c r="AH447">
        <v>72237</v>
      </c>
      <c r="AI447">
        <v>7</v>
      </c>
      <c r="AJ447">
        <v>15104</v>
      </c>
      <c r="AK447">
        <v>6637</v>
      </c>
      <c r="AL447" t="b">
        <v>0</v>
      </c>
      <c r="AM447" s="76">
        <v>42372.778020833335</v>
      </c>
      <c r="AN447" t="s">
        <v>3610</v>
      </c>
      <c r="AO447" t="s">
        <v>4019</v>
      </c>
      <c r="AV447">
        <v>8.6473064362375104E+17</v>
      </c>
      <c r="AX447" t="b">
        <v>0</v>
      </c>
      <c r="AZ447" t="b">
        <v>0</v>
      </c>
      <c r="BA447" t="b">
        <v>1</v>
      </c>
      <c r="BB447" t="b">
        <v>0</v>
      </c>
      <c r="BC447" t="b">
        <v>0</v>
      </c>
      <c r="BD447" t="b">
        <v>0</v>
      </c>
      <c r="BE447" t="b">
        <v>1</v>
      </c>
      <c r="BF447" t="b">
        <v>0</v>
      </c>
      <c r="BG447" t="b">
        <v>0</v>
      </c>
      <c r="BH447" s="79" t="str">
        <f>HYPERLINK("https://pbs.twimg.com/profile_banners/4704340470/1502006733")</f>
        <v>https://pbs.twimg.com/profile_banners/4704340470/1502006733</v>
      </c>
      <c r="BJ447" t="s">
        <v>4320</v>
      </c>
      <c r="BK447" t="b">
        <v>0</v>
      </c>
      <c r="BM447" t="s">
        <v>65</v>
      </c>
      <c r="BN447" t="s">
        <v>4322</v>
      </c>
      <c r="BO447" s="79" t="str">
        <f>HYPERLINK("https://twitter.com/antesandres")</f>
        <v>https://twitter.com/antesandres</v>
      </c>
      <c r="BP447" s="112" t="str">
        <f>REPLACE(INDEX(GroupVertices[Group], MATCH("~"&amp;Vertices[[#This Row],[Vertex]],GroupVertices[Vertex],0)),1,1,"")</f>
        <v>108</v>
      </c>
      <c r="BQ447" s="2"/>
    </row>
    <row r="448" spans="1:69" x14ac:dyDescent="0.25">
      <c r="A448" s="61" t="s">
        <v>475</v>
      </c>
      <c r="B448" s="62"/>
      <c r="C448" s="62"/>
      <c r="D448" s="63">
        <v>1.5</v>
      </c>
      <c r="E448" s="65"/>
      <c r="F448" s="97" t="str">
        <f>HYPERLINK("https://pbs.twimg.com/profile_images/1344842838350176256/SoW5s1T5_normal.jpg")</f>
        <v>https://pbs.twimg.com/profile_images/1344842838350176256/SoW5s1T5_normal.jpg</v>
      </c>
      <c r="G448" s="62"/>
      <c r="H448" s="66"/>
      <c r="I448" s="67"/>
      <c r="J448" s="67"/>
      <c r="K448" s="66" t="s">
        <v>4762</v>
      </c>
      <c r="L448" s="70"/>
      <c r="M448" s="71">
        <v>940.86077880859375</v>
      </c>
      <c r="N448" s="71">
        <v>6275.79345703125</v>
      </c>
      <c r="O448" s="72"/>
      <c r="P448" s="73"/>
      <c r="Q448" s="73"/>
      <c r="R448" s="81"/>
      <c r="S448" s="45">
        <v>1</v>
      </c>
      <c r="T448" s="45">
        <v>1</v>
      </c>
      <c r="U448" s="46">
        <v>0</v>
      </c>
      <c r="V448" s="46">
        <v>0</v>
      </c>
      <c r="W448" s="47"/>
      <c r="X448" s="47"/>
      <c r="Y448" s="47"/>
      <c r="Z448" s="46"/>
      <c r="AA448" s="68">
        <v>448</v>
      </c>
      <c r="AB448"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48" s="69"/>
      <c r="AD448" t="s">
        <v>3114</v>
      </c>
      <c r="AE448" s="77" t="s">
        <v>3377</v>
      </c>
      <c r="AF448">
        <v>8656</v>
      </c>
      <c r="AG448">
        <v>345</v>
      </c>
      <c r="AH448">
        <v>141271</v>
      </c>
      <c r="AI448">
        <v>89</v>
      </c>
      <c r="AJ448">
        <v>287</v>
      </c>
      <c r="AK448">
        <v>48212</v>
      </c>
      <c r="AL448" t="b">
        <v>0</v>
      </c>
      <c r="AM448" s="76">
        <v>42200.648969907408</v>
      </c>
      <c r="AN448" t="s">
        <v>3611</v>
      </c>
      <c r="AO448" t="s">
        <v>4020</v>
      </c>
      <c r="AP448" s="79" t="str">
        <f>HYPERLINK("https://t.co/azDa2Wrbsd")</f>
        <v>https://t.co/azDa2Wrbsd</v>
      </c>
      <c r="AQ448" s="79" t="str">
        <f>HYPERLINK("http://www.somosjujuy.com.ar")</f>
        <v>http://www.somosjujuy.com.ar</v>
      </c>
      <c r="AR448" t="s">
        <v>4222</v>
      </c>
      <c r="AW448" s="79" t="str">
        <f>HYPERLINK("https://t.co/azDa2Wrbsd")</f>
        <v>https://t.co/azDa2Wrbsd</v>
      </c>
      <c r="AX448" t="b">
        <v>0</v>
      </c>
      <c r="BA448" t="b">
        <v>1</v>
      </c>
      <c r="BB448" t="b">
        <v>1</v>
      </c>
      <c r="BC448" t="b">
        <v>0</v>
      </c>
      <c r="BD448" t="b">
        <v>0</v>
      </c>
      <c r="BE448" t="b">
        <v>1</v>
      </c>
      <c r="BF448" t="b">
        <v>0</v>
      </c>
      <c r="BG448" t="b">
        <v>0</v>
      </c>
      <c r="BH448" s="79" t="str">
        <f>HYPERLINK("https://pbs.twimg.com/profile_banners/3377502832/1495773784")</f>
        <v>https://pbs.twimg.com/profile_banners/3377502832/1495773784</v>
      </c>
      <c r="BJ448" t="s">
        <v>4320</v>
      </c>
      <c r="BK448" t="b">
        <v>0</v>
      </c>
      <c r="BM448" t="s">
        <v>66</v>
      </c>
      <c r="BN448" t="s">
        <v>4322</v>
      </c>
      <c r="BO448" s="79" t="str">
        <f>HYPERLINK("https://twitter.com/somosjujuy")</f>
        <v>https://twitter.com/somosjujuy</v>
      </c>
      <c r="BP448" s="112" t="str">
        <f>REPLACE(INDEX(GroupVertices[Group], MATCH("~"&amp;Vertices[[#This Row],[Vertex]],GroupVertices[Vertex],0)),1,1,"")</f>
        <v>140</v>
      </c>
      <c r="BQ448" s="2"/>
    </row>
    <row r="449" spans="1:69" x14ac:dyDescent="0.25">
      <c r="A449" s="61" t="s">
        <v>476</v>
      </c>
      <c r="B449" s="62"/>
      <c r="C449" s="62"/>
      <c r="D449" s="63">
        <v>1.5</v>
      </c>
      <c r="E449" s="65"/>
      <c r="F449" s="97" t="str">
        <f>HYPERLINK("https://pbs.twimg.com/profile_images/1851005919137570817/WpdWIQss_normal.jpg")</f>
        <v>https://pbs.twimg.com/profile_images/1851005919137570817/WpdWIQss_normal.jpg</v>
      </c>
      <c r="G449" s="62"/>
      <c r="H449" s="66"/>
      <c r="I449" s="67"/>
      <c r="J449" s="67"/>
      <c r="K449" s="66" t="s">
        <v>4763</v>
      </c>
      <c r="L449" s="70"/>
      <c r="M449" s="71">
        <v>9755.306640625</v>
      </c>
      <c r="N449" s="71">
        <v>2912.00537109375</v>
      </c>
      <c r="O449" s="72"/>
      <c r="P449" s="73"/>
      <c r="Q449" s="73"/>
      <c r="R449" s="81"/>
      <c r="S449" s="45">
        <v>1</v>
      </c>
      <c r="T449" s="45">
        <v>1</v>
      </c>
      <c r="U449" s="46">
        <v>0</v>
      </c>
      <c r="V449" s="46">
        <v>0</v>
      </c>
      <c r="W449" s="47"/>
      <c r="X449" s="47"/>
      <c r="Y449" s="47"/>
      <c r="Z449" s="46"/>
      <c r="AA449" s="68">
        <v>449</v>
      </c>
      <c r="AB449"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49" s="69"/>
      <c r="AD449" t="s">
        <v>3115</v>
      </c>
      <c r="AE449" s="77" t="s">
        <v>2486</v>
      </c>
      <c r="AF449">
        <v>26753</v>
      </c>
      <c r="AG449">
        <v>503</v>
      </c>
      <c r="AH449">
        <v>8295</v>
      </c>
      <c r="AI449">
        <v>118</v>
      </c>
      <c r="AJ449">
        <v>4363</v>
      </c>
      <c r="AK449">
        <v>2725</v>
      </c>
      <c r="AL449" t="b">
        <v>0</v>
      </c>
      <c r="AM449" s="76">
        <v>40751.09511574074</v>
      </c>
      <c r="AN449" t="s">
        <v>3612</v>
      </c>
      <c r="AO449" t="s">
        <v>4021</v>
      </c>
      <c r="AP449" s="79" t="str">
        <f>HYPERLINK("https://t.co/hWVOZDmZ7E")</f>
        <v>https://t.co/hWVOZDmZ7E</v>
      </c>
      <c r="AQ449" s="79" t="str">
        <f>HYPERLINK("https://www.instagram.com/martin.arrau/")</f>
        <v>https://www.instagram.com/martin.arrau/</v>
      </c>
      <c r="AR449" t="s">
        <v>4223</v>
      </c>
      <c r="AW449" s="79" t="str">
        <f>HYPERLINK("https://t.co/hWVOZDmZ7E")</f>
        <v>https://t.co/hWVOZDmZ7E</v>
      </c>
      <c r="AX449" t="b">
        <v>0</v>
      </c>
      <c r="BA449" t="b">
        <v>0</v>
      </c>
      <c r="BB449" t="b">
        <v>1</v>
      </c>
      <c r="BC449" t="b">
        <v>0</v>
      </c>
      <c r="BD449" t="b">
        <v>0</v>
      </c>
      <c r="BE449" t="b">
        <v>1</v>
      </c>
      <c r="BF449" t="b">
        <v>0</v>
      </c>
      <c r="BG449" t="b">
        <v>0</v>
      </c>
      <c r="BH449" s="79" t="str">
        <f>HYPERLINK("https://pbs.twimg.com/profile_banners/343106439/1704980699")</f>
        <v>https://pbs.twimg.com/profile_banners/343106439/1704980699</v>
      </c>
      <c r="BJ449" t="s">
        <v>4320</v>
      </c>
      <c r="BK449" t="b">
        <v>0</v>
      </c>
      <c r="BM449" t="s">
        <v>66</v>
      </c>
      <c r="BN449" t="s">
        <v>4322</v>
      </c>
      <c r="BO449" s="79" t="str">
        <f>HYPERLINK("https://twitter.com/martinarrau")</f>
        <v>https://twitter.com/martinarrau</v>
      </c>
      <c r="BP449" s="112" t="str">
        <f>REPLACE(INDEX(GroupVertices[Group], MATCH("~"&amp;Vertices[[#This Row],[Vertex]],GroupVertices[Vertex],0)),1,1,"")</f>
        <v>211</v>
      </c>
      <c r="BQ449" s="2"/>
    </row>
    <row r="450" spans="1:69" x14ac:dyDescent="0.25">
      <c r="A450" s="61" t="s">
        <v>690</v>
      </c>
      <c r="B450" s="62"/>
      <c r="C450" s="62"/>
      <c r="D450" s="63">
        <v>1.5</v>
      </c>
      <c r="E450" s="65"/>
      <c r="F450" s="97" t="str">
        <f>HYPERLINK("https://pbs.twimg.com/profile_images/2861528872/1f0e67085a6d0bd5656f6b9d03e8adec_normal.jpeg")</f>
        <v>https://pbs.twimg.com/profile_images/2861528872/1f0e67085a6d0bd5656f6b9d03e8adec_normal.jpeg</v>
      </c>
      <c r="G450" s="62"/>
      <c r="H450" s="66"/>
      <c r="I450" s="67"/>
      <c r="J450" s="67"/>
      <c r="K450" s="66" t="s">
        <v>4765</v>
      </c>
      <c r="L450" s="70"/>
      <c r="M450" s="71">
        <v>7495.78271484375</v>
      </c>
      <c r="N450" s="71">
        <v>2800.9267578125</v>
      </c>
      <c r="O450" s="72"/>
      <c r="P450" s="73"/>
      <c r="Q450" s="73"/>
      <c r="R450" s="81"/>
      <c r="S450" s="45">
        <v>1</v>
      </c>
      <c r="T450" s="45">
        <v>0</v>
      </c>
      <c r="U450" s="46">
        <v>0</v>
      </c>
      <c r="V450" s="46">
        <v>4.7920000000000003E-3</v>
      </c>
      <c r="W450" s="47"/>
      <c r="X450" s="47"/>
      <c r="Y450" s="47"/>
      <c r="Z450" s="46"/>
      <c r="AA450" s="68">
        <v>450</v>
      </c>
      <c r="AB450"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50" s="69"/>
      <c r="AD450" t="s">
        <v>3117</v>
      </c>
      <c r="AE450" s="77" t="s">
        <v>3378</v>
      </c>
      <c r="AF450">
        <v>641</v>
      </c>
      <c r="AG450">
        <v>457</v>
      </c>
      <c r="AH450">
        <v>1280</v>
      </c>
      <c r="AI450">
        <v>3</v>
      </c>
      <c r="AJ450">
        <v>841</v>
      </c>
      <c r="AK450">
        <v>66</v>
      </c>
      <c r="AL450" t="b">
        <v>0</v>
      </c>
      <c r="AM450" s="76">
        <v>40892.581516203703</v>
      </c>
      <c r="AN450" t="s">
        <v>3614</v>
      </c>
      <c r="AX450" t="b">
        <v>0</v>
      </c>
      <c r="AZ450" t="b">
        <v>0</v>
      </c>
      <c r="BA450" t="b">
        <v>0</v>
      </c>
      <c r="BB450" t="b">
        <v>1</v>
      </c>
      <c r="BC450" t="b">
        <v>1</v>
      </c>
      <c r="BD450" t="b">
        <v>0</v>
      </c>
      <c r="BE450" t="b">
        <v>0</v>
      </c>
      <c r="BF450" t="b">
        <v>0</v>
      </c>
      <c r="BG450" t="b">
        <v>0</v>
      </c>
      <c r="BJ450" t="s">
        <v>4320</v>
      </c>
      <c r="BK450" t="b">
        <v>0</v>
      </c>
      <c r="BM450" t="s">
        <v>65</v>
      </c>
      <c r="BN450" t="s">
        <v>4322</v>
      </c>
      <c r="BO450" s="79" t="str">
        <f>HYPERLINK("https://twitter.com/marianolid")</f>
        <v>https://twitter.com/marianolid</v>
      </c>
      <c r="BP450" s="112" t="str">
        <f>REPLACE(INDEX(GroupVertices[Group], MATCH("~"&amp;Vertices[[#This Row],[Vertex]],GroupVertices[Vertex],0)),1,1,"")</f>
        <v>17</v>
      </c>
      <c r="BQ450" s="2"/>
    </row>
    <row r="451" spans="1:69" x14ac:dyDescent="0.25">
      <c r="A451" s="61" t="s">
        <v>691</v>
      </c>
      <c r="B451" s="62"/>
      <c r="C451" s="62"/>
      <c r="D451" s="63">
        <v>1.5</v>
      </c>
      <c r="E451" s="65"/>
      <c r="F451" s="97" t="str">
        <f>HYPERLINK("https://pbs.twimg.com/profile_images/1573347308435128321/an4eoKGz_normal.jpg")</f>
        <v>https://pbs.twimg.com/profile_images/1573347308435128321/an4eoKGz_normal.jpg</v>
      </c>
      <c r="G451" s="62"/>
      <c r="H451" s="66"/>
      <c r="I451" s="67"/>
      <c r="J451" s="67"/>
      <c r="K451" s="66" t="s">
        <v>4766</v>
      </c>
      <c r="L451" s="70"/>
      <c r="M451" s="71">
        <v>3944.84130859375</v>
      </c>
      <c r="N451" s="71">
        <v>2434.249267578125</v>
      </c>
      <c r="O451" s="72"/>
      <c r="P451" s="73"/>
      <c r="Q451" s="73"/>
      <c r="R451" s="81"/>
      <c r="S451" s="45">
        <v>1</v>
      </c>
      <c r="T451" s="45">
        <v>0</v>
      </c>
      <c r="U451" s="46">
        <v>0</v>
      </c>
      <c r="V451" s="46">
        <v>4.7920000000000003E-3</v>
      </c>
      <c r="W451" s="47"/>
      <c r="X451" s="47"/>
      <c r="Y451" s="47"/>
      <c r="Z451" s="46"/>
      <c r="AA451" s="68">
        <v>451</v>
      </c>
      <c r="AB451"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51" s="69"/>
      <c r="AD451" t="s">
        <v>3118</v>
      </c>
      <c r="AE451" s="77" t="s">
        <v>3379</v>
      </c>
      <c r="AF451">
        <v>513</v>
      </c>
      <c r="AG451">
        <v>766</v>
      </c>
      <c r="AH451">
        <v>245</v>
      </c>
      <c r="AI451">
        <v>2</v>
      </c>
      <c r="AJ451">
        <v>11</v>
      </c>
      <c r="AK451">
        <v>62</v>
      </c>
      <c r="AL451" t="b">
        <v>0</v>
      </c>
      <c r="AM451" s="76">
        <v>41106.024513888886</v>
      </c>
      <c r="AN451" t="s">
        <v>3615</v>
      </c>
      <c r="AO451" t="s">
        <v>4023</v>
      </c>
      <c r="AX451" t="b">
        <v>0</v>
      </c>
      <c r="AZ451" t="b">
        <v>0</v>
      </c>
      <c r="BA451" t="b">
        <v>1</v>
      </c>
      <c r="BB451" t="b">
        <v>1</v>
      </c>
      <c r="BC451" t="b">
        <v>1</v>
      </c>
      <c r="BD451" t="b">
        <v>0</v>
      </c>
      <c r="BE451" t="b">
        <v>0</v>
      </c>
      <c r="BF451" t="b">
        <v>0</v>
      </c>
      <c r="BG451" t="b">
        <v>0</v>
      </c>
      <c r="BH451" s="79" t="str">
        <f>HYPERLINK("https://pbs.twimg.com/profile_banners/636576817/1663950460")</f>
        <v>https://pbs.twimg.com/profile_banners/636576817/1663950460</v>
      </c>
      <c r="BJ451" t="s">
        <v>4320</v>
      </c>
      <c r="BK451" t="b">
        <v>0</v>
      </c>
      <c r="BM451" t="s">
        <v>65</v>
      </c>
      <c r="BN451" t="s">
        <v>4322</v>
      </c>
      <c r="BO451" s="79" t="str">
        <f>HYPERLINK("https://twitter.com/victor_avilam")</f>
        <v>https://twitter.com/victor_avilam</v>
      </c>
      <c r="BP451" s="112" t="str">
        <f>REPLACE(INDEX(GroupVertices[Group], MATCH("~"&amp;Vertices[[#This Row],[Vertex]],GroupVertices[Vertex],0)),1,1,"")</f>
        <v>17</v>
      </c>
      <c r="BQ451" s="2"/>
    </row>
    <row r="452" spans="1:69" x14ac:dyDescent="0.25">
      <c r="A452" s="61" t="s">
        <v>692</v>
      </c>
      <c r="B452" s="62"/>
      <c r="C452" s="62"/>
      <c r="D452" s="63">
        <v>1.5</v>
      </c>
      <c r="E452" s="65"/>
      <c r="F452" s="97" t="str">
        <f>HYPERLINK("https://pbs.twimg.com/profile_images/1778019751748411392/K2Tkbbp0_normal.jpg")</f>
        <v>https://pbs.twimg.com/profile_images/1778019751748411392/K2Tkbbp0_normal.jpg</v>
      </c>
      <c r="G452" s="62"/>
      <c r="H452" s="66"/>
      <c r="I452" s="67"/>
      <c r="J452" s="67"/>
      <c r="K452" s="66" t="s">
        <v>4767</v>
      </c>
      <c r="L452" s="70"/>
      <c r="M452" s="71">
        <v>7086.22265625</v>
      </c>
      <c r="N452" s="71">
        <v>2319.2275390625</v>
      </c>
      <c r="O452" s="72"/>
      <c r="P452" s="73"/>
      <c r="Q452" s="73"/>
      <c r="R452" s="81"/>
      <c r="S452" s="45">
        <v>1</v>
      </c>
      <c r="T452" s="45">
        <v>0</v>
      </c>
      <c r="U452" s="46">
        <v>0</v>
      </c>
      <c r="V452" s="46">
        <v>4.7920000000000003E-3</v>
      </c>
      <c r="W452" s="47"/>
      <c r="X452" s="47"/>
      <c r="Y452" s="47"/>
      <c r="Z452" s="46"/>
      <c r="AA452" s="68">
        <v>452</v>
      </c>
      <c r="AB452"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52" s="69"/>
      <c r="AD452" t="s">
        <v>3119</v>
      </c>
      <c r="AE452" s="77" t="s">
        <v>3380</v>
      </c>
      <c r="AF452">
        <v>438</v>
      </c>
      <c r="AG452">
        <v>93</v>
      </c>
      <c r="AH452">
        <v>870</v>
      </c>
      <c r="AI452">
        <v>5</v>
      </c>
      <c r="AJ452">
        <v>11</v>
      </c>
      <c r="AK452">
        <v>709</v>
      </c>
      <c r="AL452" t="b">
        <v>0</v>
      </c>
      <c r="AM452" s="76">
        <v>45096.374328703707</v>
      </c>
      <c r="AN452" t="s">
        <v>3616</v>
      </c>
      <c r="AO452" t="s">
        <v>4024</v>
      </c>
      <c r="AP452" s="79" t="str">
        <f>HYPERLINK("https://t.co/RebyoWoKhq")</f>
        <v>https://t.co/RebyoWoKhq</v>
      </c>
      <c r="AQ452" s="79" t="str">
        <f>HYPERLINK("http://www.camas.es/es/")</f>
        <v>http://www.camas.es/es/</v>
      </c>
      <c r="AR452" t="s">
        <v>4224</v>
      </c>
      <c r="AW452" s="79" t="str">
        <f>HYPERLINK("https://t.co/RebyoWoKhq")</f>
        <v>https://t.co/RebyoWoKhq</v>
      </c>
      <c r="AX452" t="b">
        <v>0</v>
      </c>
      <c r="AZ452" t="b">
        <v>0</v>
      </c>
      <c r="BA452" t="b">
        <v>0</v>
      </c>
      <c r="BB452" t="b">
        <v>1</v>
      </c>
      <c r="BC452" t="b">
        <v>1</v>
      </c>
      <c r="BD452" t="b">
        <v>0</v>
      </c>
      <c r="BE452" t="b">
        <v>0</v>
      </c>
      <c r="BF452" t="b">
        <v>0</v>
      </c>
      <c r="BG452" t="b">
        <v>0</v>
      </c>
      <c r="BH452" s="79" t="str">
        <f>HYPERLINK("https://pbs.twimg.com/profile_banners/1670717716053868546/1689161319")</f>
        <v>https://pbs.twimg.com/profile_banners/1670717716053868546/1689161319</v>
      </c>
      <c r="BJ452" t="s">
        <v>4320</v>
      </c>
      <c r="BK452" t="b">
        <v>0</v>
      </c>
      <c r="BM452" t="s">
        <v>65</v>
      </c>
      <c r="BN452" t="s">
        <v>4322</v>
      </c>
      <c r="BO452" s="79" t="str">
        <f>HYPERLINK("https://twitter.com/ayuntacamas")</f>
        <v>https://twitter.com/ayuntacamas</v>
      </c>
      <c r="BP452" s="112" t="str">
        <f>REPLACE(INDEX(GroupVertices[Group], MATCH("~"&amp;Vertices[[#This Row],[Vertex]],GroupVertices[Vertex],0)),1,1,"")</f>
        <v>17</v>
      </c>
      <c r="BQ452" s="2"/>
    </row>
    <row r="453" spans="1:69" x14ac:dyDescent="0.25">
      <c r="A453" s="61" t="s">
        <v>693</v>
      </c>
      <c r="B453" s="62"/>
      <c r="C453" s="62"/>
      <c r="D453" s="63">
        <v>1.5</v>
      </c>
      <c r="E453" s="65"/>
      <c r="F453" s="97" t="str">
        <f>HYPERLINK("https://pbs.twimg.com/profile_images/1547214929551396864/Gt4YCfXS_normal.jpg")</f>
        <v>https://pbs.twimg.com/profile_images/1547214929551396864/Gt4YCfXS_normal.jpg</v>
      </c>
      <c r="G453" s="62"/>
      <c r="H453" s="66"/>
      <c r="I453" s="67"/>
      <c r="J453" s="67"/>
      <c r="K453" s="66" t="s">
        <v>4768</v>
      </c>
      <c r="L453" s="70"/>
      <c r="M453" s="71">
        <v>8020.81884765625</v>
      </c>
      <c r="N453" s="71">
        <v>1208.0758056640625</v>
      </c>
      <c r="O453" s="72"/>
      <c r="P453" s="73"/>
      <c r="Q453" s="73"/>
      <c r="R453" s="81"/>
      <c r="S453" s="45">
        <v>1</v>
      </c>
      <c r="T453" s="45">
        <v>0</v>
      </c>
      <c r="U453" s="46">
        <v>0</v>
      </c>
      <c r="V453" s="46">
        <v>4.7920000000000003E-3</v>
      </c>
      <c r="W453" s="47"/>
      <c r="X453" s="47"/>
      <c r="Y453" s="47"/>
      <c r="Z453" s="46"/>
      <c r="AA453" s="68">
        <v>453</v>
      </c>
      <c r="AB453"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53" s="69"/>
      <c r="AD453" t="s">
        <v>3120</v>
      </c>
      <c r="AE453" s="77" t="s">
        <v>3381</v>
      </c>
      <c r="AF453">
        <v>1185</v>
      </c>
      <c r="AG453">
        <v>266</v>
      </c>
      <c r="AH453">
        <v>1859</v>
      </c>
      <c r="AI453">
        <v>13</v>
      </c>
      <c r="AJ453">
        <v>1107</v>
      </c>
      <c r="AK453">
        <v>1289</v>
      </c>
      <c r="AL453" t="b">
        <v>0</v>
      </c>
      <c r="AM453" s="76">
        <v>41516.4137962963</v>
      </c>
      <c r="AN453" t="s">
        <v>3617</v>
      </c>
      <c r="AO453" t="s">
        <v>4025</v>
      </c>
      <c r="AX453" t="b">
        <v>0</v>
      </c>
      <c r="AZ453" t="b">
        <v>0</v>
      </c>
      <c r="BA453" t="b">
        <v>0</v>
      </c>
      <c r="BB453" t="b">
        <v>0</v>
      </c>
      <c r="BC453" t="b">
        <v>0</v>
      </c>
      <c r="BD453" t="b">
        <v>0</v>
      </c>
      <c r="BE453" t="b">
        <v>1</v>
      </c>
      <c r="BF453" t="b">
        <v>0</v>
      </c>
      <c r="BG453" t="b">
        <v>0</v>
      </c>
      <c r="BH453" s="79" t="str">
        <f>HYPERLINK("https://pbs.twimg.com/profile_banners/1712316110/1703411023")</f>
        <v>https://pbs.twimg.com/profile_banners/1712316110/1703411023</v>
      </c>
      <c r="BJ453" t="s">
        <v>4320</v>
      </c>
      <c r="BK453" t="b">
        <v>0</v>
      </c>
      <c r="BM453" t="s">
        <v>65</v>
      </c>
      <c r="BN453" t="s">
        <v>4322</v>
      </c>
      <c r="BO453" s="79" t="str">
        <f>HYPERLINK("https://twitter.com/hdadrociocamas")</f>
        <v>https://twitter.com/hdadrociocamas</v>
      </c>
      <c r="BP453" s="112" t="str">
        <f>REPLACE(INDEX(GroupVertices[Group], MATCH("~"&amp;Vertices[[#This Row],[Vertex]],GroupVertices[Vertex],0)),1,1,"")</f>
        <v>17</v>
      </c>
      <c r="BQ453" s="2"/>
    </row>
    <row r="454" spans="1:69" x14ac:dyDescent="0.25">
      <c r="A454" s="61" t="s">
        <v>479</v>
      </c>
      <c r="B454" s="62"/>
      <c r="C454" s="62"/>
      <c r="D454" s="63">
        <v>1.5</v>
      </c>
      <c r="E454" s="65"/>
      <c r="F454" s="97" t="str">
        <f>HYPERLINK("https://pbs.twimg.com/profile_images/1882915236941840385/zkAPtV69_normal.jpg")</f>
        <v>https://pbs.twimg.com/profile_images/1882915236941840385/zkAPtV69_normal.jpg</v>
      </c>
      <c r="G454" s="62"/>
      <c r="H454" s="66"/>
      <c r="I454" s="67"/>
      <c r="J454" s="67"/>
      <c r="K454" s="66" t="s">
        <v>4769</v>
      </c>
      <c r="L454" s="70"/>
      <c r="M454" s="71">
        <v>1582.6607666015625</v>
      </c>
      <c r="N454" s="71">
        <v>6814.90869140625</v>
      </c>
      <c r="O454" s="72"/>
      <c r="P454" s="73"/>
      <c r="Q454" s="73"/>
      <c r="R454" s="81"/>
      <c r="S454" s="45">
        <v>1</v>
      </c>
      <c r="T454" s="45">
        <v>1</v>
      </c>
      <c r="U454" s="46">
        <v>0</v>
      </c>
      <c r="V454" s="46">
        <v>0</v>
      </c>
      <c r="W454" s="47"/>
      <c r="X454" s="47"/>
      <c r="Y454" s="47"/>
      <c r="Z454" s="46"/>
      <c r="AA454" s="68">
        <v>454</v>
      </c>
      <c r="AB454"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54" s="69"/>
      <c r="AD454" t="s">
        <v>3121</v>
      </c>
      <c r="AE454" s="77" t="s">
        <v>3382</v>
      </c>
      <c r="AF454">
        <v>196</v>
      </c>
      <c r="AG454">
        <v>969</v>
      </c>
      <c r="AH454">
        <v>28080</v>
      </c>
      <c r="AI454">
        <v>7</v>
      </c>
      <c r="AJ454">
        <v>6621</v>
      </c>
      <c r="AK454">
        <v>3625</v>
      </c>
      <c r="AL454" t="b">
        <v>0</v>
      </c>
      <c r="AM454" s="76">
        <v>42150.590416666666</v>
      </c>
      <c r="AO454" t="s">
        <v>4026</v>
      </c>
      <c r="AV454">
        <v>1.34532938771406E+18</v>
      </c>
      <c r="AX454" t="b">
        <v>0</v>
      </c>
      <c r="BA454" t="b">
        <v>0</v>
      </c>
      <c r="BB454" t="b">
        <v>0</v>
      </c>
      <c r="BC454" t="b">
        <v>1</v>
      </c>
      <c r="BD454" t="b">
        <v>0</v>
      </c>
      <c r="BE454" t="b">
        <v>1</v>
      </c>
      <c r="BF454" t="b">
        <v>0</v>
      </c>
      <c r="BG454" t="b">
        <v>0</v>
      </c>
      <c r="BJ454" t="s">
        <v>4320</v>
      </c>
      <c r="BK454" t="b">
        <v>0</v>
      </c>
      <c r="BM454" t="s">
        <v>66</v>
      </c>
      <c r="BN454" t="s">
        <v>4322</v>
      </c>
      <c r="BO454" s="79" t="str">
        <f>HYPERLINK("https://twitter.com/thecalet")</f>
        <v>https://twitter.com/thecalet</v>
      </c>
      <c r="BP454" s="112" t="str">
        <f>REPLACE(INDEX(GroupVertices[Group], MATCH("~"&amp;Vertices[[#This Row],[Vertex]],GroupVertices[Vertex],0)),1,1,"")</f>
        <v>129</v>
      </c>
      <c r="BQ454" s="2"/>
    </row>
    <row r="455" spans="1:69" x14ac:dyDescent="0.25">
      <c r="A455" s="61" t="s">
        <v>481</v>
      </c>
      <c r="B455" s="62"/>
      <c r="C455" s="62"/>
      <c r="D455" s="63">
        <v>1.5</v>
      </c>
      <c r="E455" s="65"/>
      <c r="F455" s="97" t="str">
        <f>HYPERLINK("https://pbs.twimg.com/profile_images/1753150288385486848/JTXP5XiT_normal.jpg")</f>
        <v>https://pbs.twimg.com/profile_images/1753150288385486848/JTXP5XiT_normal.jpg</v>
      </c>
      <c r="G455" s="62"/>
      <c r="H455" s="66"/>
      <c r="I455" s="67"/>
      <c r="J455" s="67"/>
      <c r="K455" s="66" t="s">
        <v>4771</v>
      </c>
      <c r="L455" s="70"/>
      <c r="M455" s="71">
        <v>8065.12646484375</v>
      </c>
      <c r="N455" s="71">
        <v>7545.59033203125</v>
      </c>
      <c r="O455" s="72"/>
      <c r="P455" s="73"/>
      <c r="Q455" s="73"/>
      <c r="R455" s="81"/>
      <c r="S455" s="45">
        <v>1</v>
      </c>
      <c r="T455" s="45">
        <v>1</v>
      </c>
      <c r="U455" s="46">
        <v>0</v>
      </c>
      <c r="V455" s="46">
        <v>0</v>
      </c>
      <c r="W455" s="47"/>
      <c r="X455" s="47"/>
      <c r="Y455" s="47"/>
      <c r="Z455" s="46"/>
      <c r="AA455" s="68">
        <v>455</v>
      </c>
      <c r="AB455"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55" s="69"/>
      <c r="AD455" t="s">
        <v>3123</v>
      </c>
      <c r="AE455" s="77" t="s">
        <v>3383</v>
      </c>
      <c r="AF455">
        <v>2575</v>
      </c>
      <c r="AG455">
        <v>449</v>
      </c>
      <c r="AH455">
        <v>12690</v>
      </c>
      <c r="AI455">
        <v>13</v>
      </c>
      <c r="AJ455">
        <v>2598</v>
      </c>
      <c r="AK455">
        <v>7325</v>
      </c>
      <c r="AL455" t="b">
        <v>0</v>
      </c>
      <c r="AM455" s="76">
        <v>41366.916747685187</v>
      </c>
      <c r="AN455" t="s">
        <v>3619</v>
      </c>
      <c r="AO455" t="s">
        <v>4028</v>
      </c>
      <c r="AP455" s="79" t="str">
        <f>HYPERLINK("https://t.co/eWUMtiuC7g")</f>
        <v>https://t.co/eWUMtiuC7g</v>
      </c>
      <c r="AQ455" s="79" t="str">
        <f>HYPERLINK("http://www.radiocrystal.cl")</f>
        <v>http://www.radiocrystal.cl</v>
      </c>
      <c r="AR455" t="s">
        <v>1203</v>
      </c>
      <c r="AS455" t="s">
        <v>4248</v>
      </c>
      <c r="AT455" t="s">
        <v>4261</v>
      </c>
      <c r="AU455" t="s">
        <v>4315</v>
      </c>
      <c r="AW455" s="79" t="str">
        <f>HYPERLINK("https://t.co/eWUMtiuC7g")</f>
        <v>https://t.co/eWUMtiuC7g</v>
      </c>
      <c r="AX455" t="b">
        <v>0</v>
      </c>
      <c r="BA455" t="b">
        <v>0</v>
      </c>
      <c r="BB455" t="b">
        <v>1</v>
      </c>
      <c r="BC455" t="b">
        <v>1</v>
      </c>
      <c r="BD455" t="b">
        <v>0</v>
      </c>
      <c r="BE455" t="b">
        <v>0</v>
      </c>
      <c r="BF455" t="b">
        <v>0</v>
      </c>
      <c r="BG455" t="b">
        <v>0</v>
      </c>
      <c r="BH455" s="79" t="str">
        <f>HYPERLINK("https://pbs.twimg.com/profile_banners/1323363619/1658263112")</f>
        <v>https://pbs.twimg.com/profile_banners/1323363619/1658263112</v>
      </c>
      <c r="BJ455" t="s">
        <v>4320</v>
      </c>
      <c r="BK455" t="b">
        <v>0</v>
      </c>
      <c r="BM455" t="s">
        <v>66</v>
      </c>
      <c r="BN455" t="s">
        <v>4322</v>
      </c>
      <c r="BO455" s="79" t="str">
        <f>HYPERLINK("https://twitter.com/radiocrystalcl")</f>
        <v>https://twitter.com/radiocrystalcl</v>
      </c>
      <c r="BP455" s="112" t="str">
        <f>REPLACE(INDEX(GroupVertices[Group], MATCH("~"&amp;Vertices[[#This Row],[Vertex]],GroupVertices[Vertex],0)),1,1,"")</f>
        <v>119</v>
      </c>
      <c r="BQ455" s="2"/>
    </row>
    <row r="456" spans="1:69" x14ac:dyDescent="0.25">
      <c r="A456" s="61" t="s">
        <v>482</v>
      </c>
      <c r="B456" s="62"/>
      <c r="C456" s="62"/>
      <c r="D456" s="63">
        <v>1.5</v>
      </c>
      <c r="E456" s="65"/>
      <c r="F456" s="97" t="str">
        <f>HYPERLINK("https://pbs.twimg.com/profile_images/1705662226701369344/YS5FpkLw_normal.jpg")</f>
        <v>https://pbs.twimg.com/profile_images/1705662226701369344/YS5FpkLw_normal.jpg</v>
      </c>
      <c r="G456" s="62"/>
      <c r="H456" s="66"/>
      <c r="I456" s="67"/>
      <c r="J456" s="67"/>
      <c r="K456" s="66" t="s">
        <v>4772</v>
      </c>
      <c r="L456" s="70"/>
      <c r="M456" s="71">
        <v>3275.83837890625</v>
      </c>
      <c r="N456" s="71">
        <v>9006.0927734375</v>
      </c>
      <c r="O456" s="72"/>
      <c r="P456" s="73"/>
      <c r="Q456" s="73"/>
      <c r="R456" s="81"/>
      <c r="S456" s="45">
        <v>1</v>
      </c>
      <c r="T456" s="45">
        <v>1</v>
      </c>
      <c r="U456" s="46">
        <v>0</v>
      </c>
      <c r="V456" s="46">
        <v>0</v>
      </c>
      <c r="W456" s="47"/>
      <c r="X456" s="47"/>
      <c r="Y456" s="47"/>
      <c r="Z456" s="46"/>
      <c r="AA456" s="68">
        <v>456</v>
      </c>
      <c r="AB456"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56" s="69"/>
      <c r="AD456" t="s">
        <v>3124</v>
      </c>
      <c r="AE456" s="77" t="s">
        <v>3384</v>
      </c>
      <c r="AF456">
        <v>7943</v>
      </c>
      <c r="AG456">
        <v>280</v>
      </c>
      <c r="AH456">
        <v>44185</v>
      </c>
      <c r="AI456">
        <v>40</v>
      </c>
      <c r="AJ456">
        <v>346</v>
      </c>
      <c r="AK456">
        <v>10287</v>
      </c>
      <c r="AL456" t="b">
        <v>0</v>
      </c>
      <c r="AM456" s="76">
        <v>41988.985000000001</v>
      </c>
      <c r="AN456" t="s">
        <v>3620</v>
      </c>
      <c r="AO456" t="s">
        <v>4029</v>
      </c>
      <c r="AP456" s="79" t="str">
        <f>HYPERLINK("https://t.co/W9MXeOoh54")</f>
        <v>https://t.co/W9MXeOoh54</v>
      </c>
      <c r="AQ456" s="79" t="str">
        <f>HYPERLINK("http://www.laliguanoticias.cl")</f>
        <v>http://www.laliguanoticias.cl</v>
      </c>
      <c r="AR456" t="s">
        <v>1204</v>
      </c>
      <c r="AW456" s="79" t="str">
        <f>HYPERLINK("https://t.co/W9MXeOoh54")</f>
        <v>https://t.co/W9MXeOoh54</v>
      </c>
      <c r="AX456" t="b">
        <v>0</v>
      </c>
      <c r="BA456" t="b">
        <v>1</v>
      </c>
      <c r="BB456" t="b">
        <v>1</v>
      </c>
      <c r="BC456" t="b">
        <v>1</v>
      </c>
      <c r="BD456" t="b">
        <v>0</v>
      </c>
      <c r="BE456" t="b">
        <v>1</v>
      </c>
      <c r="BF456" t="b">
        <v>0</v>
      </c>
      <c r="BG456" t="b">
        <v>0</v>
      </c>
      <c r="BH456" s="79" t="str">
        <f>HYPERLINK("https://pbs.twimg.com/profile_banners/2923886627/1728566259")</f>
        <v>https://pbs.twimg.com/profile_banners/2923886627/1728566259</v>
      </c>
      <c r="BJ456" t="s">
        <v>4320</v>
      </c>
      <c r="BK456" t="b">
        <v>0</v>
      </c>
      <c r="BM456" t="s">
        <v>66</v>
      </c>
      <c r="BN456" t="s">
        <v>4322</v>
      </c>
      <c r="BO456" s="79" t="str">
        <f>HYPERLINK("https://twitter.com/laliguanoticias")</f>
        <v>https://twitter.com/laliguanoticias</v>
      </c>
      <c r="BP456" s="112" t="str">
        <f>REPLACE(INDEX(GroupVertices[Group], MATCH("~"&amp;Vertices[[#This Row],[Vertex]],GroupVertices[Vertex],0)),1,1,"")</f>
        <v>173</v>
      </c>
      <c r="BQ456" s="2"/>
    </row>
    <row r="457" spans="1:69" x14ac:dyDescent="0.25">
      <c r="A457" s="61" t="s">
        <v>483</v>
      </c>
      <c r="B457" s="62"/>
      <c r="C457" s="62"/>
      <c r="D457" s="63">
        <v>1.5</v>
      </c>
      <c r="E457" s="65"/>
      <c r="F457" s="97" t="str">
        <f>HYPERLINK("https://pbs.twimg.com/profile_images/1877018598201286656/8DfI2OxY_normal.jpg")</f>
        <v>https://pbs.twimg.com/profile_images/1877018598201286656/8DfI2OxY_normal.jpg</v>
      </c>
      <c r="G457" s="62"/>
      <c r="H457" s="66"/>
      <c r="I457" s="67"/>
      <c r="J457" s="67"/>
      <c r="K457" s="66" t="s">
        <v>4773</v>
      </c>
      <c r="L457" s="70"/>
      <c r="M457" s="71">
        <v>7804.2421875</v>
      </c>
      <c r="N457" s="71">
        <v>8597.6865234375</v>
      </c>
      <c r="O457" s="72"/>
      <c r="P457" s="73"/>
      <c r="Q457" s="73"/>
      <c r="R457" s="81"/>
      <c r="S457" s="45">
        <v>1</v>
      </c>
      <c r="T457" s="45">
        <v>1</v>
      </c>
      <c r="U457" s="46">
        <v>0</v>
      </c>
      <c r="V457" s="46">
        <v>0</v>
      </c>
      <c r="W457" s="47"/>
      <c r="X457" s="47"/>
      <c r="Y457" s="47"/>
      <c r="Z457" s="46"/>
      <c r="AA457" s="68">
        <v>457</v>
      </c>
      <c r="AB457"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57" s="69"/>
      <c r="AD457" t="s">
        <v>1205</v>
      </c>
      <c r="AE457" s="77" t="s">
        <v>3385</v>
      </c>
      <c r="AF457">
        <v>14899</v>
      </c>
      <c r="AG457">
        <v>268</v>
      </c>
      <c r="AH457">
        <v>213593</v>
      </c>
      <c r="AI457">
        <v>264</v>
      </c>
      <c r="AJ457">
        <v>14670</v>
      </c>
      <c r="AK457">
        <v>23457</v>
      </c>
      <c r="AL457" t="b">
        <v>0</v>
      </c>
      <c r="AM457" s="76">
        <v>41062.532233796293</v>
      </c>
      <c r="AN457" t="s">
        <v>3537</v>
      </c>
      <c r="AO457" t="s">
        <v>4030</v>
      </c>
      <c r="AP457" s="79" t="str">
        <f>HYPERLINK("https://t.co/JVo0Gjycik")</f>
        <v>https://t.co/JVo0Gjycik</v>
      </c>
      <c r="AQ457" s="79" t="str">
        <f>HYPERLINK("http://www.lavozdelsur.es")</f>
        <v>http://www.lavozdelsur.es</v>
      </c>
      <c r="AR457" t="s">
        <v>1205</v>
      </c>
      <c r="AS457" t="s">
        <v>4249</v>
      </c>
      <c r="AT457" t="s">
        <v>4262</v>
      </c>
      <c r="AU457" t="s">
        <v>4316</v>
      </c>
      <c r="AW457" s="79" t="str">
        <f>HYPERLINK("https://t.co/JVo0Gjycik")</f>
        <v>https://t.co/JVo0Gjycik</v>
      </c>
      <c r="AX457" t="b">
        <v>1</v>
      </c>
      <c r="BA457" t="b">
        <v>0</v>
      </c>
      <c r="BB457" t="b">
        <v>0</v>
      </c>
      <c r="BC457" t="b">
        <v>0</v>
      </c>
      <c r="BD457" t="b">
        <v>0</v>
      </c>
      <c r="BE457" t="b">
        <v>1</v>
      </c>
      <c r="BF457" t="b">
        <v>0</v>
      </c>
      <c r="BG457" t="b">
        <v>0</v>
      </c>
      <c r="BH457" s="79" t="str">
        <f>HYPERLINK("https://pbs.twimg.com/profile_banners/597380069/1736351523")</f>
        <v>https://pbs.twimg.com/profile_banners/597380069/1736351523</v>
      </c>
      <c r="BJ457" t="s">
        <v>4320</v>
      </c>
      <c r="BK457" t="b">
        <v>0</v>
      </c>
      <c r="BM457" t="s">
        <v>66</v>
      </c>
      <c r="BN457" t="s">
        <v>4322</v>
      </c>
      <c r="BO457" s="79" t="str">
        <f>HYPERLINK("https://twitter.com/lavozdelsures")</f>
        <v>https://twitter.com/lavozdelsures</v>
      </c>
      <c r="BP457" s="112" t="str">
        <f>REPLACE(INDEX(GroupVertices[Group], MATCH("~"&amp;Vertices[[#This Row],[Vertex]],GroupVertices[Vertex],0)),1,1,"")</f>
        <v>171</v>
      </c>
      <c r="BQ457" s="2"/>
    </row>
    <row r="458" spans="1:69" x14ac:dyDescent="0.25">
      <c r="A458" s="61" t="s">
        <v>485</v>
      </c>
      <c r="B458" s="62"/>
      <c r="C458" s="62"/>
      <c r="D458" s="63">
        <v>1.5</v>
      </c>
      <c r="E458" s="65"/>
      <c r="F458" s="97" t="str">
        <f>HYPERLINK("https://pbs.twimg.com/profile_images/1343569368777687040/t5zlKMYn_normal.jpg")</f>
        <v>https://pbs.twimg.com/profile_images/1343569368777687040/t5zlKMYn_normal.jpg</v>
      </c>
      <c r="G458" s="62"/>
      <c r="H458" s="66"/>
      <c r="I458" s="67"/>
      <c r="J458" s="67"/>
      <c r="K458" s="66" t="s">
        <v>4774</v>
      </c>
      <c r="L458" s="70"/>
      <c r="M458" s="71">
        <v>9665.0244140625</v>
      </c>
      <c r="N458" s="71">
        <v>7161.74609375</v>
      </c>
      <c r="O458" s="72"/>
      <c r="P458" s="73"/>
      <c r="Q458" s="73"/>
      <c r="R458" s="81"/>
      <c r="S458" s="45">
        <v>1</v>
      </c>
      <c r="T458" s="45">
        <v>1</v>
      </c>
      <c r="U458" s="46">
        <v>0</v>
      </c>
      <c r="V458" s="46">
        <v>0</v>
      </c>
      <c r="W458" s="47"/>
      <c r="X458" s="47"/>
      <c r="Y458" s="47"/>
      <c r="Z458" s="46"/>
      <c r="AA458" s="68">
        <v>458</v>
      </c>
      <c r="AB458"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58" s="69"/>
      <c r="AD458" t="s">
        <v>3125</v>
      </c>
      <c r="AE458" s="77" t="s">
        <v>3386</v>
      </c>
      <c r="AF458">
        <v>25584</v>
      </c>
      <c r="AG458">
        <v>1775</v>
      </c>
      <c r="AH458">
        <v>201463</v>
      </c>
      <c r="AI458">
        <v>200</v>
      </c>
      <c r="AJ458">
        <v>1350</v>
      </c>
      <c r="AK458">
        <v>11508</v>
      </c>
      <c r="AL458" t="b">
        <v>0</v>
      </c>
      <c r="AM458" s="76">
        <v>40207.961909722224</v>
      </c>
      <c r="AN458" t="s">
        <v>3621</v>
      </c>
      <c r="AO458" t="s">
        <v>4031</v>
      </c>
      <c r="AP458" s="79" t="str">
        <f>HYPERLINK("https://t.co/DVzJ3Ed4lf")</f>
        <v>https://t.co/DVzJ3Ed4lf</v>
      </c>
      <c r="AQ458" s="79" t="str">
        <f>HYPERLINK("http://www.radiopolar.com")</f>
        <v>http://www.radiopolar.com</v>
      </c>
      <c r="AR458" t="s">
        <v>1207</v>
      </c>
      <c r="AW458" s="79" t="str">
        <f>HYPERLINK("https://t.co/DVzJ3Ed4lf")</f>
        <v>https://t.co/DVzJ3Ed4lf</v>
      </c>
      <c r="AX458" t="b">
        <v>0</v>
      </c>
      <c r="BA458" t="b">
        <v>0</v>
      </c>
      <c r="BB458" t="b">
        <v>1</v>
      </c>
      <c r="BC458" t="b">
        <v>0</v>
      </c>
      <c r="BD458" t="b">
        <v>0</v>
      </c>
      <c r="BE458" t="b">
        <v>1</v>
      </c>
      <c r="BF458" t="b">
        <v>0</v>
      </c>
      <c r="BG458" t="b">
        <v>0</v>
      </c>
      <c r="BH458" s="79" t="str">
        <f>HYPERLINK("https://pbs.twimg.com/profile_banners/109692058/1678286432")</f>
        <v>https://pbs.twimg.com/profile_banners/109692058/1678286432</v>
      </c>
      <c r="BJ458" t="s">
        <v>4320</v>
      </c>
      <c r="BK458" t="b">
        <v>0</v>
      </c>
      <c r="BM458" t="s">
        <v>66</v>
      </c>
      <c r="BN458" t="s">
        <v>4322</v>
      </c>
      <c r="BO458" s="79" t="str">
        <f>HYPERLINK("https://twitter.com/radiopolar")</f>
        <v>https://twitter.com/radiopolar</v>
      </c>
      <c r="BP458" s="112" t="str">
        <f>REPLACE(INDEX(GroupVertices[Group], MATCH("~"&amp;Vertices[[#This Row],[Vertex]],GroupVertices[Vertex],0)),1,1,"")</f>
        <v>160</v>
      </c>
      <c r="BQ458" s="2"/>
    </row>
    <row r="459" spans="1:69" x14ac:dyDescent="0.25">
      <c r="A459" s="61" t="s">
        <v>487</v>
      </c>
      <c r="B459" s="62"/>
      <c r="C459" s="62"/>
      <c r="D459" s="63">
        <v>1.5</v>
      </c>
      <c r="E459" s="65"/>
      <c r="F459" s="97" t="str">
        <f>HYPERLINK("https://pbs.twimg.com/profile_images/1818970626020737025/HbmiNTJA_normal.jpg")</f>
        <v>https://pbs.twimg.com/profile_images/1818970626020737025/HbmiNTJA_normal.jpg</v>
      </c>
      <c r="G459" s="62"/>
      <c r="H459" s="66"/>
      <c r="I459" s="67"/>
      <c r="J459" s="67"/>
      <c r="K459" s="66" t="s">
        <v>4775</v>
      </c>
      <c r="L459" s="70"/>
      <c r="M459" s="71">
        <v>5487.7001953125</v>
      </c>
      <c r="N459" s="71">
        <v>760.462890625</v>
      </c>
      <c r="O459" s="72"/>
      <c r="P459" s="73"/>
      <c r="Q459" s="73"/>
      <c r="R459" s="81"/>
      <c r="S459" s="45">
        <v>0</v>
      </c>
      <c r="T459" s="45">
        <v>1</v>
      </c>
      <c r="U459" s="46">
        <v>0</v>
      </c>
      <c r="V459" s="46">
        <v>3.774E-3</v>
      </c>
      <c r="W459" s="47"/>
      <c r="X459" s="47"/>
      <c r="Y459" s="47"/>
      <c r="Z459" s="46"/>
      <c r="AA459" s="68">
        <v>459</v>
      </c>
      <c r="AB459"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59" s="69"/>
      <c r="AD459" t="s">
        <v>3126</v>
      </c>
      <c r="AE459" s="77" t="s">
        <v>2636</v>
      </c>
      <c r="AF459">
        <v>1</v>
      </c>
      <c r="AG459">
        <v>43</v>
      </c>
      <c r="AH459">
        <v>78</v>
      </c>
      <c r="AI459">
        <v>0</v>
      </c>
      <c r="AJ459">
        <v>53</v>
      </c>
      <c r="AK459">
        <v>2</v>
      </c>
      <c r="AL459" t="b">
        <v>0</v>
      </c>
      <c r="AM459" s="76">
        <v>45505.47283564815</v>
      </c>
      <c r="AN459" t="s">
        <v>3622</v>
      </c>
      <c r="AO459" t="s">
        <v>4032</v>
      </c>
      <c r="AX459" t="b">
        <v>0</v>
      </c>
      <c r="BA459" t="b">
        <v>0</v>
      </c>
      <c r="BB459" t="b">
        <v>1</v>
      </c>
      <c r="BC459" t="b">
        <v>1</v>
      </c>
      <c r="BD459" t="b">
        <v>0</v>
      </c>
      <c r="BE459" t="b">
        <v>0</v>
      </c>
      <c r="BF459" t="b">
        <v>0</v>
      </c>
      <c r="BG459" t="b">
        <v>0</v>
      </c>
      <c r="BJ459" t="s">
        <v>4320</v>
      </c>
      <c r="BK459" t="b">
        <v>0</v>
      </c>
      <c r="BM459" t="s">
        <v>66</v>
      </c>
      <c r="BN459" t="s">
        <v>4322</v>
      </c>
      <c r="BO459" s="79" t="str">
        <f>HYPERLINK("https://twitter.com/maximotova612")</f>
        <v>https://twitter.com/maximotova612</v>
      </c>
      <c r="BP459" s="112" t="str">
        <f>REPLACE(INDEX(GroupVertices[Group], MATCH("~"&amp;Vertices[[#This Row],[Vertex]],GroupVertices[Vertex],0)),1,1,"")</f>
        <v>18</v>
      </c>
      <c r="BQ459" s="2"/>
    </row>
    <row r="460" spans="1:69" x14ac:dyDescent="0.25">
      <c r="A460" s="61" t="s">
        <v>488</v>
      </c>
      <c r="B460" s="62"/>
      <c r="C460" s="62"/>
      <c r="D460" s="63">
        <v>1.5</v>
      </c>
      <c r="E460" s="65"/>
      <c r="F460" s="97" t="str">
        <f>HYPERLINK("https://pbs.twimg.com/profile_images/1794083155386716160/eiUlb9Jk_normal.jpg")</f>
        <v>https://pbs.twimg.com/profile_images/1794083155386716160/eiUlb9Jk_normal.jpg</v>
      </c>
      <c r="G460" s="62"/>
      <c r="H460" s="66"/>
      <c r="I460" s="67"/>
      <c r="J460" s="67"/>
      <c r="K460" s="66" t="s">
        <v>4776</v>
      </c>
      <c r="L460" s="70"/>
      <c r="M460" s="71">
        <v>1073.3924560546875</v>
      </c>
      <c r="N460" s="71">
        <v>3465.681884765625</v>
      </c>
      <c r="O460" s="72"/>
      <c r="P460" s="73"/>
      <c r="Q460" s="73"/>
      <c r="R460" s="81"/>
      <c r="S460" s="45">
        <v>0</v>
      </c>
      <c r="T460" s="45">
        <v>1</v>
      </c>
      <c r="U460" s="46">
        <v>0</v>
      </c>
      <c r="V460" s="46">
        <v>2.7950000000000002E-3</v>
      </c>
      <c r="W460" s="47"/>
      <c r="X460" s="47"/>
      <c r="Y460" s="47"/>
      <c r="Z460" s="46"/>
      <c r="AA460" s="68">
        <v>460</v>
      </c>
      <c r="AB460"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60" s="69"/>
      <c r="AD460" t="s">
        <v>3127</v>
      </c>
      <c r="AE460" s="77" t="s">
        <v>2637</v>
      </c>
      <c r="AF460">
        <v>213</v>
      </c>
      <c r="AG460">
        <v>289</v>
      </c>
      <c r="AH460">
        <v>9547</v>
      </c>
      <c r="AI460">
        <v>1</v>
      </c>
      <c r="AJ460">
        <v>24724</v>
      </c>
      <c r="AK460">
        <v>1093</v>
      </c>
      <c r="AL460" t="b">
        <v>0</v>
      </c>
      <c r="AM460" s="76">
        <v>44166.868796296294</v>
      </c>
      <c r="AO460" t="s">
        <v>4033</v>
      </c>
      <c r="AV460">
        <v>1.6482267257367099E+18</v>
      </c>
      <c r="AX460" t="b">
        <v>0</v>
      </c>
      <c r="BA460" t="b">
        <v>0</v>
      </c>
      <c r="BB460" t="b">
        <v>1</v>
      </c>
      <c r="BC460" t="b">
        <v>1</v>
      </c>
      <c r="BD460" t="b">
        <v>0</v>
      </c>
      <c r="BE460" t="b">
        <v>0</v>
      </c>
      <c r="BF460" t="b">
        <v>0</v>
      </c>
      <c r="BG460" t="b">
        <v>0</v>
      </c>
      <c r="BH460" s="79" t="str">
        <f>HYPERLINK("https://pbs.twimg.com/profile_banners/1333876091883286533/1629959697")</f>
        <v>https://pbs.twimg.com/profile_banners/1333876091883286533/1629959697</v>
      </c>
      <c r="BJ460" t="s">
        <v>4320</v>
      </c>
      <c r="BK460" t="b">
        <v>0</v>
      </c>
      <c r="BM460" t="s">
        <v>66</v>
      </c>
      <c r="BN460" t="s">
        <v>4322</v>
      </c>
      <c r="BO460" s="79" t="str">
        <f>HYPERLINK("https://twitter.com/javispecialone1")</f>
        <v>https://twitter.com/javispecialone1</v>
      </c>
      <c r="BP460" s="112" t="str">
        <f>REPLACE(INDEX(GroupVertices[Group], MATCH("~"&amp;Vertices[[#This Row],[Vertex]],GroupVertices[Vertex],0)),1,1,"")</f>
        <v>33</v>
      </c>
      <c r="BQ460" s="2"/>
    </row>
    <row r="461" spans="1:69" x14ac:dyDescent="0.25">
      <c r="A461" s="61" t="s">
        <v>694</v>
      </c>
      <c r="B461" s="62"/>
      <c r="C461" s="62"/>
      <c r="D461" s="63">
        <v>1.5</v>
      </c>
      <c r="E461" s="65"/>
      <c r="F461" s="97" t="str">
        <f>HYPERLINK("https://pbs.twimg.com/profile_images/1848833978427482112/GS4OlE5S_normal.jpg")</f>
        <v>https://pbs.twimg.com/profile_images/1848833978427482112/GS4OlE5S_normal.jpg</v>
      </c>
      <c r="G461" s="62"/>
      <c r="H461" s="66"/>
      <c r="I461" s="67"/>
      <c r="J461" s="67"/>
      <c r="K461" s="66" t="s">
        <v>4778</v>
      </c>
      <c r="L461" s="70"/>
      <c r="M461" s="71">
        <v>1839.522705078125</v>
      </c>
      <c r="N461" s="71">
        <v>2811.779541015625</v>
      </c>
      <c r="O461" s="72"/>
      <c r="P461" s="73"/>
      <c r="Q461" s="73"/>
      <c r="R461" s="81"/>
      <c r="S461" s="45">
        <v>1</v>
      </c>
      <c r="T461" s="45">
        <v>0</v>
      </c>
      <c r="U461" s="46">
        <v>0</v>
      </c>
      <c r="V461" s="46">
        <v>2.7950000000000002E-3</v>
      </c>
      <c r="W461" s="47"/>
      <c r="X461" s="47"/>
      <c r="Y461" s="47"/>
      <c r="Z461" s="46"/>
      <c r="AA461" s="68">
        <v>461</v>
      </c>
      <c r="AB461"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61" s="69"/>
      <c r="AD461" t="s">
        <v>3129</v>
      </c>
      <c r="AE461" s="77" t="s">
        <v>3387</v>
      </c>
      <c r="AF461">
        <v>28060</v>
      </c>
      <c r="AG461">
        <v>615</v>
      </c>
      <c r="AH461">
        <v>31543</v>
      </c>
      <c r="AI461">
        <v>187</v>
      </c>
      <c r="AJ461">
        <v>38318</v>
      </c>
      <c r="AK461">
        <v>3679</v>
      </c>
      <c r="AL461" t="b">
        <v>0</v>
      </c>
      <c r="AM461" s="76">
        <v>42021.701307870368</v>
      </c>
      <c r="AO461" t="s">
        <v>4035</v>
      </c>
      <c r="AP461" s="79" t="str">
        <f>HYPERLINK("https://t.co/YMKiZg4seu")</f>
        <v>https://t.co/YMKiZg4seu</v>
      </c>
      <c r="AQ461" s="79" t="str">
        <f>HYPERLINK("http://instagram.com/nachojp_")</f>
        <v>http://instagram.com/nachojp_</v>
      </c>
      <c r="AR461" t="s">
        <v>4227</v>
      </c>
      <c r="AV461">
        <v>1.58242829181822E+18</v>
      </c>
      <c r="AW461" s="79" t="str">
        <f>HYPERLINK("https://t.co/YMKiZg4seu")</f>
        <v>https://t.co/YMKiZg4seu</v>
      </c>
      <c r="AX461" t="b">
        <v>0</v>
      </c>
      <c r="AZ461" t="b">
        <v>0</v>
      </c>
      <c r="BA461" t="b">
        <v>1</v>
      </c>
      <c r="BB461" t="b">
        <v>0</v>
      </c>
      <c r="BC461" t="b">
        <v>1</v>
      </c>
      <c r="BD461" t="b">
        <v>0</v>
      </c>
      <c r="BE461" t="b">
        <v>1</v>
      </c>
      <c r="BF461" t="b">
        <v>0</v>
      </c>
      <c r="BG461" t="b">
        <v>0</v>
      </c>
      <c r="BH461" s="79" t="str">
        <f>HYPERLINK("https://pbs.twimg.com/profile_banners/2982697647/1722508652")</f>
        <v>https://pbs.twimg.com/profile_banners/2982697647/1722508652</v>
      </c>
      <c r="BJ461" t="s">
        <v>4320</v>
      </c>
      <c r="BK461" t="b">
        <v>0</v>
      </c>
      <c r="BM461" t="s">
        <v>65</v>
      </c>
      <c r="BN461" t="s">
        <v>4322</v>
      </c>
      <c r="BO461" s="79" t="str">
        <f>HYPERLINK("https://twitter.com/nachojp_")</f>
        <v>https://twitter.com/nachojp_</v>
      </c>
      <c r="BP461" s="112" t="str">
        <f>REPLACE(INDEX(GroupVertices[Group], MATCH("~"&amp;Vertices[[#This Row],[Vertex]],GroupVertices[Vertex],0)),1,1,"")</f>
        <v>33</v>
      </c>
      <c r="BQ461" s="2"/>
    </row>
    <row r="462" spans="1:69" x14ac:dyDescent="0.25">
      <c r="A462" s="61" t="s">
        <v>491</v>
      </c>
      <c r="B462" s="62"/>
      <c r="C462" s="62"/>
      <c r="D462" s="63">
        <v>1.5</v>
      </c>
      <c r="E462" s="65"/>
      <c r="F462" s="97" t="str">
        <f>HYPERLINK("https://pbs.twimg.com/profile_images/1462988078855770112/5PY2-yjT_normal.jpg")</f>
        <v>https://pbs.twimg.com/profile_images/1462988078855770112/5PY2-yjT_normal.jpg</v>
      </c>
      <c r="G462" s="62"/>
      <c r="H462" s="66"/>
      <c r="I462" s="67"/>
      <c r="J462" s="67"/>
      <c r="K462" s="66" t="s">
        <v>4780</v>
      </c>
      <c r="L462" s="70"/>
      <c r="M462" s="71">
        <v>5847.16357421875</v>
      </c>
      <c r="N462" s="71">
        <v>8910.0712890625</v>
      </c>
      <c r="O462" s="72"/>
      <c r="P462" s="73"/>
      <c r="Q462" s="73"/>
      <c r="R462" s="81"/>
      <c r="S462" s="45">
        <v>1</v>
      </c>
      <c r="T462" s="45">
        <v>1</v>
      </c>
      <c r="U462" s="46">
        <v>0</v>
      </c>
      <c r="V462" s="46">
        <v>2.0960000000000002E-3</v>
      </c>
      <c r="W462" s="47"/>
      <c r="X462" s="47"/>
      <c r="Y462" s="47"/>
      <c r="Z462" s="46"/>
      <c r="AA462" s="68">
        <v>462</v>
      </c>
      <c r="AB462"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62" s="69"/>
      <c r="AD462" t="s">
        <v>3131</v>
      </c>
      <c r="AE462" s="77" t="s">
        <v>2488</v>
      </c>
      <c r="AF462">
        <v>24</v>
      </c>
      <c r="AG462">
        <v>113</v>
      </c>
      <c r="AH462">
        <v>740</v>
      </c>
      <c r="AI462">
        <v>2</v>
      </c>
      <c r="AJ462">
        <v>1491</v>
      </c>
      <c r="AK462">
        <v>73</v>
      </c>
      <c r="AL462" t="b">
        <v>0</v>
      </c>
      <c r="AM462" s="76">
        <v>44523.149456018517</v>
      </c>
      <c r="AO462" t="s">
        <v>4036</v>
      </c>
      <c r="AX462" t="b">
        <v>0</v>
      </c>
      <c r="BA462" t="b">
        <v>0</v>
      </c>
      <c r="BB462" t="b">
        <v>1</v>
      </c>
      <c r="BC462" t="b">
        <v>1</v>
      </c>
      <c r="BD462" t="b">
        <v>0</v>
      </c>
      <c r="BE462" t="b">
        <v>0</v>
      </c>
      <c r="BF462" t="b">
        <v>0</v>
      </c>
      <c r="BG462" t="b">
        <v>0</v>
      </c>
      <c r="BJ462" t="s">
        <v>4320</v>
      </c>
      <c r="BK462" t="b">
        <v>0</v>
      </c>
      <c r="BM462" t="s">
        <v>66</v>
      </c>
      <c r="BN462" t="s">
        <v>4322</v>
      </c>
      <c r="BO462" s="79" t="str">
        <f>HYPERLINK("https://twitter.com/ellioctop")</f>
        <v>https://twitter.com/ellioctop</v>
      </c>
      <c r="BP462" s="112" t="str">
        <f>REPLACE(INDEX(GroupVertices[Group], MATCH("~"&amp;Vertices[[#This Row],[Vertex]],GroupVertices[Vertex],0)),1,1,"")</f>
        <v>113</v>
      </c>
      <c r="BQ462" s="2"/>
    </row>
    <row r="463" spans="1:69" x14ac:dyDescent="0.25">
      <c r="A463" s="61" t="s">
        <v>492</v>
      </c>
      <c r="B463" s="62"/>
      <c r="C463" s="62"/>
      <c r="D463" s="63">
        <v>1.5</v>
      </c>
      <c r="E463" s="65"/>
      <c r="F463" s="97" t="str">
        <f>HYPERLINK("https://pbs.twimg.com/profile_images/1554930496634867712/Eq6nPPH1_normal.jpg")</f>
        <v>https://pbs.twimg.com/profile_images/1554930496634867712/Eq6nPPH1_normal.jpg</v>
      </c>
      <c r="G463" s="62"/>
      <c r="H463" s="66"/>
      <c r="I463" s="67"/>
      <c r="J463" s="67"/>
      <c r="K463" s="66" t="s">
        <v>4781</v>
      </c>
      <c r="L463" s="70"/>
      <c r="M463" s="71">
        <v>7350.56689453125</v>
      </c>
      <c r="N463" s="71">
        <v>9599.9521484375</v>
      </c>
      <c r="O463" s="72"/>
      <c r="P463" s="73"/>
      <c r="Q463" s="73"/>
      <c r="R463" s="81"/>
      <c r="S463" s="45">
        <v>1</v>
      </c>
      <c r="T463" s="45">
        <v>1</v>
      </c>
      <c r="U463" s="46">
        <v>0</v>
      </c>
      <c r="V463" s="46">
        <v>2.0960000000000002E-3</v>
      </c>
      <c r="W463" s="47"/>
      <c r="X463" s="47"/>
      <c r="Y463" s="47"/>
      <c r="Z463" s="46"/>
      <c r="AA463" s="68">
        <v>463</v>
      </c>
      <c r="AB463"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63" s="69"/>
      <c r="AD463" t="s">
        <v>3132</v>
      </c>
      <c r="AE463" s="77" t="s">
        <v>2487</v>
      </c>
      <c r="AF463">
        <v>415163</v>
      </c>
      <c r="AG463">
        <v>380</v>
      </c>
      <c r="AH463">
        <v>8539</v>
      </c>
      <c r="AI463">
        <v>92</v>
      </c>
      <c r="AJ463">
        <v>14696</v>
      </c>
      <c r="AK463">
        <v>2411</v>
      </c>
      <c r="AL463" t="b">
        <v>0</v>
      </c>
      <c r="AM463" s="76">
        <v>42984.691134259258</v>
      </c>
      <c r="AN463" t="s">
        <v>1769</v>
      </c>
      <c r="AO463" t="s">
        <v>4037</v>
      </c>
      <c r="AP463" s="79" t="str">
        <f>HYPERLINK("https://t.co/Qq8X29a3QM")</f>
        <v>https://t.co/Qq8X29a3QM</v>
      </c>
      <c r="AQ463" s="79" t="str">
        <f>HYPERLINK("https://linktr.ee/Mictia00")</f>
        <v>https://linktr.ee/Mictia00</v>
      </c>
      <c r="AR463" t="s">
        <v>4228</v>
      </c>
      <c r="AV463">
        <v>1.8917042303159601E+18</v>
      </c>
      <c r="AW463" s="79" t="str">
        <f>HYPERLINK("https://t.co/Qq8X29a3QM")</f>
        <v>https://t.co/Qq8X29a3QM</v>
      </c>
      <c r="AX463" t="b">
        <v>1</v>
      </c>
      <c r="BA463" t="b">
        <v>1</v>
      </c>
      <c r="BB463" t="b">
        <v>1</v>
      </c>
      <c r="BC463" t="b">
        <v>0</v>
      </c>
      <c r="BD463" t="b">
        <v>0</v>
      </c>
      <c r="BE463" t="b">
        <v>1</v>
      </c>
      <c r="BF463" t="b">
        <v>0</v>
      </c>
      <c r="BG463" t="b">
        <v>0</v>
      </c>
      <c r="BH463" s="79" t="str">
        <f>HYPERLINK("https://pbs.twimg.com/profile_banners/905469450421506053/1735110435")</f>
        <v>https://pbs.twimg.com/profile_banners/905469450421506053/1735110435</v>
      </c>
      <c r="BJ463" t="s">
        <v>4320</v>
      </c>
      <c r="BK463" t="b">
        <v>0</v>
      </c>
      <c r="BM463" t="s">
        <v>66</v>
      </c>
      <c r="BN463" t="s">
        <v>4322</v>
      </c>
      <c r="BO463" s="79" t="str">
        <f>HYPERLINK("https://twitter.com/mictia00")</f>
        <v>https://twitter.com/mictia00</v>
      </c>
      <c r="BP463" s="112" t="str">
        <f>REPLACE(INDEX(GroupVertices[Group], MATCH("~"&amp;Vertices[[#This Row],[Vertex]],GroupVertices[Vertex],0)),1,1,"")</f>
        <v>113</v>
      </c>
      <c r="BQ463" s="2"/>
    </row>
    <row r="464" spans="1:69" x14ac:dyDescent="0.25">
      <c r="A464" s="61" t="s">
        <v>493</v>
      </c>
      <c r="B464" s="62"/>
      <c r="C464" s="62"/>
      <c r="D464" s="63">
        <v>1.5</v>
      </c>
      <c r="E464" s="65"/>
      <c r="F464" s="97" t="str">
        <f>HYPERLINK("https://pbs.twimg.com/profile_images/1869202800447471616/-ZVJ_rtM_normal.jpg")</f>
        <v>https://pbs.twimg.com/profile_images/1869202800447471616/-ZVJ_rtM_normal.jpg</v>
      </c>
      <c r="G464" s="62"/>
      <c r="H464" s="66"/>
      <c r="I464" s="67"/>
      <c r="J464" s="67"/>
      <c r="K464" s="66" t="s">
        <v>4782</v>
      </c>
      <c r="L464" s="70"/>
      <c r="M464" s="71">
        <v>3918.79736328125</v>
      </c>
      <c r="N464" s="71">
        <v>9300.671875</v>
      </c>
      <c r="O464" s="72"/>
      <c r="P464" s="73"/>
      <c r="Q464" s="73"/>
      <c r="R464" s="81"/>
      <c r="S464" s="45">
        <v>0</v>
      </c>
      <c r="T464" s="45">
        <v>1</v>
      </c>
      <c r="U464" s="46">
        <v>0</v>
      </c>
      <c r="V464" s="46">
        <v>2.7950000000000002E-3</v>
      </c>
      <c r="W464" s="47"/>
      <c r="X464" s="47"/>
      <c r="Y464" s="47"/>
      <c r="Z464" s="46"/>
      <c r="AA464" s="68">
        <v>464</v>
      </c>
      <c r="AB464"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64" s="69"/>
      <c r="AD464" t="s">
        <v>3133</v>
      </c>
      <c r="AE464" s="77" t="s">
        <v>3389</v>
      </c>
      <c r="AF464">
        <v>4934</v>
      </c>
      <c r="AG464">
        <v>2443</v>
      </c>
      <c r="AH464">
        <v>18470</v>
      </c>
      <c r="AI464">
        <v>32</v>
      </c>
      <c r="AJ464">
        <v>18377</v>
      </c>
      <c r="AK464">
        <v>3510</v>
      </c>
      <c r="AL464" t="b">
        <v>0</v>
      </c>
      <c r="AM464" s="76">
        <v>40674.804942129631</v>
      </c>
      <c r="AN464" t="s">
        <v>3624</v>
      </c>
      <c r="AO464" t="s">
        <v>4038</v>
      </c>
      <c r="AX464" t="b">
        <v>0</v>
      </c>
      <c r="BA464" t="b">
        <v>1</v>
      </c>
      <c r="BB464" t="b">
        <v>1</v>
      </c>
      <c r="BC464" t="b">
        <v>0</v>
      </c>
      <c r="BD464" t="b">
        <v>0</v>
      </c>
      <c r="BE464" t="b">
        <v>1</v>
      </c>
      <c r="BF464" t="b">
        <v>0</v>
      </c>
      <c r="BG464" t="b">
        <v>0</v>
      </c>
      <c r="BH464" s="79" t="str">
        <f>HYPERLINK("https://pbs.twimg.com/profile_banners/297001852/1719702774")</f>
        <v>https://pbs.twimg.com/profile_banners/297001852/1719702774</v>
      </c>
      <c r="BJ464" t="s">
        <v>4320</v>
      </c>
      <c r="BK464" t="b">
        <v>0</v>
      </c>
      <c r="BM464" t="s">
        <v>66</v>
      </c>
      <c r="BN464" t="s">
        <v>4322</v>
      </c>
      <c r="BO464" s="79" t="str">
        <f>HYPERLINK("https://twitter.com/donmrmonster")</f>
        <v>https://twitter.com/donmrmonster</v>
      </c>
      <c r="BP464" s="112" t="str">
        <f>REPLACE(INDEX(GroupVertices[Group], MATCH("~"&amp;Vertices[[#This Row],[Vertex]],GroupVertices[Vertex],0)),1,1,"")</f>
        <v>40</v>
      </c>
      <c r="BQ464" s="2"/>
    </row>
    <row r="465" spans="1:69" x14ac:dyDescent="0.25">
      <c r="A465" s="61" t="s">
        <v>494</v>
      </c>
      <c r="B465" s="62"/>
      <c r="C465" s="62"/>
      <c r="D465" s="63">
        <v>1.5</v>
      </c>
      <c r="E465" s="65"/>
      <c r="F465" s="97" t="str">
        <f>HYPERLINK("https://pbs.twimg.com/profile_images/1487527764500439040/S90z-dJx_normal.jpg")</f>
        <v>https://pbs.twimg.com/profile_images/1487527764500439040/S90z-dJx_normal.jpg</v>
      </c>
      <c r="G465" s="62"/>
      <c r="H465" s="66"/>
      <c r="I465" s="67"/>
      <c r="J465" s="67"/>
      <c r="K465" s="66" t="s">
        <v>4783</v>
      </c>
      <c r="L465" s="70"/>
      <c r="M465" s="71">
        <v>1673.64208984375</v>
      </c>
      <c r="N465" s="71">
        <v>3859.91748046875</v>
      </c>
      <c r="O465" s="72"/>
      <c r="P465" s="73"/>
      <c r="Q465" s="73"/>
      <c r="R465" s="81"/>
      <c r="S465" s="45">
        <v>1</v>
      </c>
      <c r="T465" s="45">
        <v>1</v>
      </c>
      <c r="U465" s="46">
        <v>0</v>
      </c>
      <c r="V465" s="46">
        <v>0</v>
      </c>
      <c r="W465" s="47"/>
      <c r="X465" s="47"/>
      <c r="Y465" s="47"/>
      <c r="Z465" s="46"/>
      <c r="AA465" s="68">
        <v>465</v>
      </c>
      <c r="AB465"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65" s="69"/>
      <c r="AD465" t="s">
        <v>3134</v>
      </c>
      <c r="AE465" s="77" t="s">
        <v>3390</v>
      </c>
      <c r="AF465">
        <v>209</v>
      </c>
      <c r="AG465">
        <v>60</v>
      </c>
      <c r="AH465">
        <v>24826</v>
      </c>
      <c r="AI465">
        <v>9</v>
      </c>
      <c r="AJ465">
        <v>18576</v>
      </c>
      <c r="AK465">
        <v>1186</v>
      </c>
      <c r="AL465" t="b">
        <v>0</v>
      </c>
      <c r="AM465" s="76">
        <v>40238.190011574072</v>
      </c>
      <c r="AN465" t="s">
        <v>3625</v>
      </c>
      <c r="AO465" t="s">
        <v>4039</v>
      </c>
      <c r="AX465" t="b">
        <v>0</v>
      </c>
      <c r="BA465" t="b">
        <v>1</v>
      </c>
      <c r="BB465" t="b">
        <v>1</v>
      </c>
      <c r="BC465" t="b">
        <v>0</v>
      </c>
      <c r="BD465" t="b">
        <v>0</v>
      </c>
      <c r="BE465" t="b">
        <v>1</v>
      </c>
      <c r="BF465" t="b">
        <v>0</v>
      </c>
      <c r="BG465" t="b">
        <v>0</v>
      </c>
      <c r="BH465" s="79" t="str">
        <f>HYPERLINK("https://pbs.twimg.com/profile_banners/118589715/1348607288")</f>
        <v>https://pbs.twimg.com/profile_banners/118589715/1348607288</v>
      </c>
      <c r="BJ465" t="s">
        <v>4320</v>
      </c>
      <c r="BK465" t="b">
        <v>0</v>
      </c>
      <c r="BM465" t="s">
        <v>66</v>
      </c>
      <c r="BN465" t="s">
        <v>4322</v>
      </c>
      <c r="BO465" s="79" t="str">
        <f>HYPERLINK("https://twitter.com/jockqueshi")</f>
        <v>https://twitter.com/jockqueshi</v>
      </c>
      <c r="BP465" s="112" t="str">
        <f>REPLACE(INDEX(GroupVertices[Group], MATCH("~"&amp;Vertices[[#This Row],[Vertex]],GroupVertices[Vertex],0)),1,1,"")</f>
        <v>122</v>
      </c>
      <c r="BQ465" s="2"/>
    </row>
    <row r="466" spans="1:69" x14ac:dyDescent="0.25">
      <c r="A466" s="61" t="s">
        <v>495</v>
      </c>
      <c r="B466" s="62"/>
      <c r="C466" s="62"/>
      <c r="D466" s="63">
        <v>1.5</v>
      </c>
      <c r="E466" s="65"/>
      <c r="F466" s="97" t="str">
        <f>HYPERLINK("https://pbs.twimg.com/profile_images/1233369207292727302/1kV8bHl4_normal.jpg")</f>
        <v>https://pbs.twimg.com/profile_images/1233369207292727302/1kV8bHl4_normal.jpg</v>
      </c>
      <c r="G466" s="62"/>
      <c r="H466" s="66"/>
      <c r="I466" s="67"/>
      <c r="J466" s="67"/>
      <c r="K466" s="66" t="s">
        <v>4784</v>
      </c>
      <c r="L466" s="70"/>
      <c r="M466" s="71">
        <v>1513.545166015625</v>
      </c>
      <c r="N466" s="71">
        <v>3414.663818359375</v>
      </c>
      <c r="O466" s="72"/>
      <c r="P466" s="73"/>
      <c r="Q466" s="73"/>
      <c r="R466" s="81"/>
      <c r="S466" s="45">
        <v>0</v>
      </c>
      <c r="T466" s="45">
        <v>1</v>
      </c>
      <c r="U466" s="46">
        <v>0</v>
      </c>
      <c r="V466" s="46">
        <v>2.0960000000000002E-3</v>
      </c>
      <c r="W466" s="47"/>
      <c r="X466" s="47"/>
      <c r="Y466" s="47"/>
      <c r="Z466" s="46"/>
      <c r="AA466" s="68">
        <v>466</v>
      </c>
      <c r="AB466"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66" s="69"/>
      <c r="AD466" t="s">
        <v>3135</v>
      </c>
      <c r="AE466" s="77" t="s">
        <v>3391</v>
      </c>
      <c r="AF466">
        <v>981</v>
      </c>
      <c r="AG466">
        <v>1076</v>
      </c>
      <c r="AH466">
        <v>42660</v>
      </c>
      <c r="AI466">
        <v>4</v>
      </c>
      <c r="AJ466">
        <v>45108</v>
      </c>
      <c r="AK466">
        <v>4000</v>
      </c>
      <c r="AL466" t="b">
        <v>0</v>
      </c>
      <c r="AM466" s="76">
        <v>41139.536168981482</v>
      </c>
      <c r="AO466" t="s">
        <v>4040</v>
      </c>
      <c r="AX466" t="b">
        <v>0</v>
      </c>
      <c r="BA466" t="b">
        <v>0</v>
      </c>
      <c r="BB466" t="b">
        <v>1</v>
      </c>
      <c r="BC466" t="b">
        <v>1</v>
      </c>
      <c r="BD466" t="b">
        <v>0</v>
      </c>
      <c r="BE466" t="b">
        <v>1</v>
      </c>
      <c r="BF466" t="b">
        <v>0</v>
      </c>
      <c r="BG466" t="b">
        <v>0</v>
      </c>
      <c r="BJ466" t="s">
        <v>4320</v>
      </c>
      <c r="BK466" t="b">
        <v>0</v>
      </c>
      <c r="BM466" t="s">
        <v>66</v>
      </c>
      <c r="BN466" t="s">
        <v>4322</v>
      </c>
      <c r="BO466" s="79" t="str">
        <f>HYPERLINK("https://twitter.com/juguitodeodeo")</f>
        <v>https://twitter.com/juguitodeodeo</v>
      </c>
      <c r="BP466" s="112" t="str">
        <f>REPLACE(INDEX(GroupVertices[Group], MATCH("~"&amp;Vertices[[#This Row],[Vertex]],GroupVertices[Vertex],0)),1,1,"")</f>
        <v>54</v>
      </c>
      <c r="BQ466" s="2"/>
    </row>
    <row r="467" spans="1:69" x14ac:dyDescent="0.25">
      <c r="A467" s="61" t="s">
        <v>695</v>
      </c>
      <c r="B467" s="62"/>
      <c r="C467" s="62"/>
      <c r="D467" s="63">
        <v>1.5</v>
      </c>
      <c r="E467" s="65"/>
      <c r="F467" s="97" t="str">
        <f>HYPERLINK("https://pbs.twimg.com/profile_images/1633076637620408321/BYrRc7Fz_normal.jpg")</f>
        <v>https://pbs.twimg.com/profile_images/1633076637620408321/BYrRc7Fz_normal.jpg</v>
      </c>
      <c r="G467" s="62"/>
      <c r="H467" s="66"/>
      <c r="I467" s="67"/>
      <c r="J467" s="67"/>
      <c r="K467" s="66" t="s">
        <v>4785</v>
      </c>
      <c r="L467" s="70"/>
      <c r="M467" s="71">
        <v>1167.5374755859375</v>
      </c>
      <c r="N467" s="71">
        <v>2176.296875</v>
      </c>
      <c r="O467" s="72"/>
      <c r="P467" s="73"/>
      <c r="Q467" s="73"/>
      <c r="R467" s="81"/>
      <c r="S467" s="45">
        <v>1</v>
      </c>
      <c r="T467" s="45">
        <v>0</v>
      </c>
      <c r="U467" s="46">
        <v>0</v>
      </c>
      <c r="V467" s="46">
        <v>2.0960000000000002E-3</v>
      </c>
      <c r="W467" s="47"/>
      <c r="X467" s="47"/>
      <c r="Y467" s="47"/>
      <c r="Z467" s="46"/>
      <c r="AA467" s="68">
        <v>467</v>
      </c>
      <c r="AB467"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67" s="69"/>
      <c r="AD467" t="s">
        <v>3136</v>
      </c>
      <c r="AE467" s="77" t="s">
        <v>2489</v>
      </c>
      <c r="AF467">
        <v>36651</v>
      </c>
      <c r="AG467">
        <v>1472</v>
      </c>
      <c r="AH467">
        <v>76604</v>
      </c>
      <c r="AI467">
        <v>63</v>
      </c>
      <c r="AJ467">
        <v>87384</v>
      </c>
      <c r="AK467">
        <v>5156</v>
      </c>
      <c r="AL467" t="b">
        <v>0</v>
      </c>
      <c r="AM467" s="76">
        <v>40582.612997685188</v>
      </c>
      <c r="AN467" t="s">
        <v>3410</v>
      </c>
      <c r="AO467" t="s">
        <v>4041</v>
      </c>
      <c r="AP467" s="79" t="str">
        <f>HYPERLINK("https://t.co/iEfpJ1beM1")</f>
        <v>https://t.co/iEfpJ1beM1</v>
      </c>
      <c r="AQ467" s="79" t="str">
        <f>HYPERLINK("https://youtu.be/O6sKgy_r4eI")</f>
        <v>https://youtu.be/O6sKgy_r4eI</v>
      </c>
      <c r="AR467" t="s">
        <v>4229</v>
      </c>
      <c r="AV467">
        <v>1.0934921495497E+18</v>
      </c>
      <c r="AW467" s="79" t="str">
        <f>HYPERLINK("https://t.co/iEfpJ1beM1")</f>
        <v>https://t.co/iEfpJ1beM1</v>
      </c>
      <c r="AX467" t="b">
        <v>0</v>
      </c>
      <c r="AZ467" t="b">
        <v>1</v>
      </c>
      <c r="BA467" t="b">
        <v>1</v>
      </c>
      <c r="BB467" t="b">
        <v>1</v>
      </c>
      <c r="BC467" t="b">
        <v>0</v>
      </c>
      <c r="BD467" t="b">
        <v>0</v>
      </c>
      <c r="BE467" t="b">
        <v>1</v>
      </c>
      <c r="BF467" t="b">
        <v>0</v>
      </c>
      <c r="BG467" t="b">
        <v>0</v>
      </c>
      <c r="BH467" s="79" t="str">
        <f>HYPERLINK("https://pbs.twimg.com/profile_banners/249173310/1535239930")</f>
        <v>https://pbs.twimg.com/profile_banners/249173310/1535239930</v>
      </c>
      <c r="BJ467" t="s">
        <v>4320</v>
      </c>
      <c r="BK467" t="b">
        <v>1</v>
      </c>
      <c r="BM467" t="s">
        <v>65</v>
      </c>
      <c r="BN467" t="s">
        <v>4322</v>
      </c>
      <c r="BO467" s="79" t="str">
        <f>HYPERLINK("https://twitter.com/claudiaaldanas")</f>
        <v>https://twitter.com/claudiaaldanas</v>
      </c>
      <c r="BP467" s="112" t="str">
        <f>REPLACE(INDEX(GroupVertices[Group], MATCH("~"&amp;Vertices[[#This Row],[Vertex]],GroupVertices[Vertex],0)),1,1,"")</f>
        <v>54</v>
      </c>
      <c r="BQ467" s="2"/>
    </row>
    <row r="468" spans="1:69" x14ac:dyDescent="0.25">
      <c r="A468" s="61" t="s">
        <v>696</v>
      </c>
      <c r="B468" s="62"/>
      <c r="C468" s="62"/>
      <c r="D468" s="63">
        <v>1.5</v>
      </c>
      <c r="E468" s="65"/>
      <c r="F468" s="97" t="str">
        <f>HYPERLINK("https://pbs.twimg.com/profile_images/1436470154280452096/dZzaxIAy_normal.jpg")</f>
        <v>https://pbs.twimg.com/profile_images/1436470154280452096/dZzaxIAy_normal.jpg</v>
      </c>
      <c r="G468" s="62"/>
      <c r="H468" s="66"/>
      <c r="I468" s="67"/>
      <c r="J468" s="67"/>
      <c r="K468" s="66" t="s">
        <v>4787</v>
      </c>
      <c r="L468" s="70"/>
      <c r="M468" s="71">
        <v>569.01422119140625</v>
      </c>
      <c r="N468" s="71">
        <v>4393.23583984375</v>
      </c>
      <c r="O468" s="72"/>
      <c r="P468" s="73"/>
      <c r="Q468" s="73"/>
      <c r="R468" s="81"/>
      <c r="S468" s="45">
        <v>1</v>
      </c>
      <c r="T468" s="45">
        <v>0</v>
      </c>
      <c r="U468" s="46">
        <v>0</v>
      </c>
      <c r="V468" s="46">
        <v>3.774E-3</v>
      </c>
      <c r="W468" s="47"/>
      <c r="X468" s="47"/>
      <c r="Y468" s="47"/>
      <c r="Z468" s="46"/>
      <c r="AA468" s="68">
        <v>468</v>
      </c>
      <c r="AB468"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68" s="69"/>
      <c r="AD468" t="s">
        <v>3138</v>
      </c>
      <c r="AE468" s="77" t="s">
        <v>3392</v>
      </c>
      <c r="AF468">
        <v>857</v>
      </c>
      <c r="AG468">
        <v>2080</v>
      </c>
      <c r="AH468">
        <v>40323</v>
      </c>
      <c r="AI468">
        <v>16</v>
      </c>
      <c r="AJ468">
        <v>10035</v>
      </c>
      <c r="AK468">
        <v>941</v>
      </c>
      <c r="AL468" t="b">
        <v>0</v>
      </c>
      <c r="AM468" s="76">
        <v>40316.699224537035</v>
      </c>
      <c r="AN468" t="s">
        <v>3627</v>
      </c>
      <c r="AO468" t="s">
        <v>4043</v>
      </c>
      <c r="AP468" s="79" t="str">
        <f>HYPERLINK("https://t.co/12hgoqnGuu")</f>
        <v>https://t.co/12hgoqnGuu</v>
      </c>
      <c r="AQ468" s="79" t="str">
        <f>HYPERLINK("http://resacacultural.com")</f>
        <v>http://resacacultural.com</v>
      </c>
      <c r="AR468" t="s">
        <v>4231</v>
      </c>
      <c r="AV468">
        <v>1.62502958590029E+18</v>
      </c>
      <c r="AW468" s="79" t="str">
        <f>HYPERLINK("https://t.co/12hgoqnGuu")</f>
        <v>https://t.co/12hgoqnGuu</v>
      </c>
      <c r="AX468" t="b">
        <v>0</v>
      </c>
      <c r="AZ468" t="b">
        <v>0</v>
      </c>
      <c r="BA468" t="b">
        <v>1</v>
      </c>
      <c r="BB468" t="b">
        <v>0</v>
      </c>
      <c r="BC468" t="b">
        <v>0</v>
      </c>
      <c r="BD468" t="b">
        <v>0</v>
      </c>
      <c r="BE468" t="b">
        <v>1</v>
      </c>
      <c r="BF468" t="b">
        <v>0</v>
      </c>
      <c r="BG468" t="b">
        <v>0</v>
      </c>
      <c r="BH468" s="79" t="str">
        <f>HYPERLINK("https://pbs.twimg.com/profile_banners/145304567/1618773598")</f>
        <v>https://pbs.twimg.com/profile_banners/145304567/1618773598</v>
      </c>
      <c r="BJ468" t="s">
        <v>4320</v>
      </c>
      <c r="BK468" t="b">
        <v>0</v>
      </c>
      <c r="BM468" t="s">
        <v>65</v>
      </c>
      <c r="BN468" t="s">
        <v>4322</v>
      </c>
      <c r="BO468" s="79" t="str">
        <f>HYPERLINK("https://twitter.com/cfriascruz")</f>
        <v>https://twitter.com/cfriascruz</v>
      </c>
      <c r="BP468" s="112" t="str">
        <f>REPLACE(INDEX(GroupVertices[Group], MATCH("~"&amp;Vertices[[#This Row],[Vertex]],GroupVertices[Vertex],0)),1,1,"")</f>
        <v>20</v>
      </c>
      <c r="BQ468" s="2"/>
    </row>
    <row r="469" spans="1:69" x14ac:dyDescent="0.25">
      <c r="A469" s="61" t="s">
        <v>697</v>
      </c>
      <c r="B469" s="62"/>
      <c r="C469" s="62"/>
      <c r="D469" s="63">
        <v>1.5</v>
      </c>
      <c r="E469" s="65"/>
      <c r="F469" s="97" t="str">
        <f>HYPERLINK("https://pbs.twimg.com/profile_images/773807977069420544/o4tNI4zQ_normal.jpg")</f>
        <v>https://pbs.twimg.com/profile_images/773807977069420544/o4tNI4zQ_normal.jpg</v>
      </c>
      <c r="G469" s="62"/>
      <c r="H469" s="66"/>
      <c r="I469" s="67"/>
      <c r="J469" s="67"/>
      <c r="K469" s="66" t="s">
        <v>4788</v>
      </c>
      <c r="L469" s="70"/>
      <c r="M469" s="71">
        <v>7197.54833984375</v>
      </c>
      <c r="N469" s="71">
        <v>3763.4619140625</v>
      </c>
      <c r="O469" s="72"/>
      <c r="P469" s="73"/>
      <c r="Q469" s="73"/>
      <c r="R469" s="81"/>
      <c r="S469" s="45">
        <v>1</v>
      </c>
      <c r="T469" s="45">
        <v>0</v>
      </c>
      <c r="U469" s="46">
        <v>0</v>
      </c>
      <c r="V469" s="46">
        <v>3.774E-3</v>
      </c>
      <c r="W469" s="47"/>
      <c r="X469" s="47"/>
      <c r="Y469" s="47"/>
      <c r="Z469" s="46"/>
      <c r="AA469" s="68">
        <v>469</v>
      </c>
      <c r="AB469"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69" s="69"/>
      <c r="AD469" t="s">
        <v>3139</v>
      </c>
      <c r="AE469" s="77" t="s">
        <v>3393</v>
      </c>
      <c r="AF469">
        <v>110462</v>
      </c>
      <c r="AG469">
        <v>1232</v>
      </c>
      <c r="AH469">
        <v>226774</v>
      </c>
      <c r="AI469">
        <v>1928</v>
      </c>
      <c r="AJ469">
        <v>4470</v>
      </c>
      <c r="AK469">
        <v>12637</v>
      </c>
      <c r="AL469" t="b">
        <v>0</v>
      </c>
      <c r="AM469" s="76">
        <v>42537.619386574072</v>
      </c>
      <c r="AN469" t="s">
        <v>3432</v>
      </c>
      <c r="AO469" t="s">
        <v>4044</v>
      </c>
      <c r="AP469" s="79" t="str">
        <f>HYPERLINK("https://t.co/mWcxLJ7PM3")</f>
        <v>https://t.co/mWcxLJ7PM3</v>
      </c>
      <c r="AQ469" s="79" t="str">
        <f>HYPERLINK("http://www.elindependiente.com")</f>
        <v>http://www.elindependiente.com</v>
      </c>
      <c r="AR469" t="s">
        <v>4232</v>
      </c>
      <c r="AS469" s="79" t="str">
        <f>HYPERLINK("https://t.co/dHshGAb5R1")</f>
        <v>https://t.co/dHshGAb5R1</v>
      </c>
      <c r="AT469" s="79" t="str">
        <f>HYPERLINK("https://linktr.ee/elindepcom")</f>
        <v>https://linktr.ee/elindepcom</v>
      </c>
      <c r="AU469" t="s">
        <v>4318</v>
      </c>
      <c r="AW469" s="79" t="str">
        <f>HYPERLINK("https://t.co/mWcxLJ7PM3")</f>
        <v>https://t.co/mWcxLJ7PM3</v>
      </c>
      <c r="AX469" t="b">
        <v>1</v>
      </c>
      <c r="AZ469" t="b">
        <v>0</v>
      </c>
      <c r="BA469" t="b">
        <v>1</v>
      </c>
      <c r="BB469" t="b">
        <v>1</v>
      </c>
      <c r="BC469" t="b">
        <v>0</v>
      </c>
      <c r="BD469" t="b">
        <v>0</v>
      </c>
      <c r="BE469" t="b">
        <v>1</v>
      </c>
      <c r="BF469" t="b">
        <v>0</v>
      </c>
      <c r="BG469" t="b">
        <v>0</v>
      </c>
      <c r="BH469" s="79" t="str">
        <f>HYPERLINK("https://pbs.twimg.com/profile_banners/743456072673992704/1683546056")</f>
        <v>https://pbs.twimg.com/profile_banners/743456072673992704/1683546056</v>
      </c>
      <c r="BJ469" t="s">
        <v>4320</v>
      </c>
      <c r="BK469" t="b">
        <v>0</v>
      </c>
      <c r="BM469" t="s">
        <v>65</v>
      </c>
      <c r="BN469" t="s">
        <v>4322</v>
      </c>
      <c r="BO469" s="79" t="str">
        <f>HYPERLINK("https://twitter.com/elindepcom")</f>
        <v>https://twitter.com/elindepcom</v>
      </c>
      <c r="BP469" s="112" t="str">
        <f>REPLACE(INDEX(GroupVertices[Group], MATCH("~"&amp;Vertices[[#This Row],[Vertex]],GroupVertices[Vertex],0)),1,1,"")</f>
        <v>20</v>
      </c>
      <c r="BQ469" s="2"/>
    </row>
    <row r="470" spans="1:69" x14ac:dyDescent="0.25">
      <c r="A470" s="61" t="s">
        <v>698</v>
      </c>
      <c r="B470" s="62"/>
      <c r="C470" s="62"/>
      <c r="D470" s="63">
        <v>1.5</v>
      </c>
      <c r="E470" s="65"/>
      <c r="F470" s="97" t="str">
        <f>HYPERLINK("https://pbs.twimg.com/profile_images/1481603082127556617/YE7S1Yyp_normal.jpg")</f>
        <v>https://pbs.twimg.com/profile_images/1481603082127556617/YE7S1Yyp_normal.jpg</v>
      </c>
      <c r="G470" s="62"/>
      <c r="H470" s="66"/>
      <c r="I470" s="67"/>
      <c r="J470" s="67"/>
      <c r="K470" s="66" t="s">
        <v>4789</v>
      </c>
      <c r="L470" s="70"/>
      <c r="M470" s="71">
        <v>1670.335693359375</v>
      </c>
      <c r="N470" s="71">
        <v>2187.43408203125</v>
      </c>
      <c r="O470" s="72"/>
      <c r="P470" s="73"/>
      <c r="Q470" s="73"/>
      <c r="R470" s="81"/>
      <c r="S470" s="45">
        <v>1</v>
      </c>
      <c r="T470" s="45">
        <v>0</v>
      </c>
      <c r="U470" s="46">
        <v>0</v>
      </c>
      <c r="V470" s="46">
        <v>3.774E-3</v>
      </c>
      <c r="W470" s="47"/>
      <c r="X470" s="47"/>
      <c r="Y470" s="47"/>
      <c r="Z470" s="46"/>
      <c r="AA470" s="68">
        <v>470</v>
      </c>
      <c r="AB470"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70" s="69"/>
      <c r="AD470" t="s">
        <v>3140</v>
      </c>
      <c r="AE470" s="77" t="s">
        <v>2490</v>
      </c>
      <c r="AF470">
        <v>1224</v>
      </c>
      <c r="AG470">
        <v>1930</v>
      </c>
      <c r="AH470">
        <v>43232</v>
      </c>
      <c r="AI470">
        <v>10</v>
      </c>
      <c r="AJ470">
        <v>61266</v>
      </c>
      <c r="AK470">
        <v>2042</v>
      </c>
      <c r="AL470" t="b">
        <v>0</v>
      </c>
      <c r="AM470" s="76">
        <v>44408.454004629632</v>
      </c>
      <c r="AO470" t="s">
        <v>4045</v>
      </c>
      <c r="AV470">
        <v>1.8205135187365E+18</v>
      </c>
      <c r="AX470" t="b">
        <v>0</v>
      </c>
      <c r="AZ470" t="b">
        <v>0</v>
      </c>
      <c r="BA470" t="b">
        <v>0</v>
      </c>
      <c r="BB470" t="b">
        <v>1</v>
      </c>
      <c r="BC470" t="b">
        <v>1</v>
      </c>
      <c r="BD470" t="b">
        <v>0</v>
      </c>
      <c r="BE470" t="b">
        <v>0</v>
      </c>
      <c r="BF470" t="b">
        <v>0</v>
      </c>
      <c r="BG470" t="b">
        <v>0</v>
      </c>
      <c r="BH470" s="79" t="str">
        <f>HYPERLINK("https://pbs.twimg.com/profile_banners/1421423393979654152/1699606604")</f>
        <v>https://pbs.twimg.com/profile_banners/1421423393979654152/1699606604</v>
      </c>
      <c r="BJ470" t="s">
        <v>4320</v>
      </c>
      <c r="BK470" t="b">
        <v>0</v>
      </c>
      <c r="BM470" t="s">
        <v>65</v>
      </c>
      <c r="BN470" t="s">
        <v>4322</v>
      </c>
      <c r="BO470" s="79" t="str">
        <f>HYPERLINK("https://twitter.com/capichi__libre")</f>
        <v>https://twitter.com/capichi__libre</v>
      </c>
      <c r="BP470" s="112" t="str">
        <f>REPLACE(INDEX(GroupVertices[Group], MATCH("~"&amp;Vertices[[#This Row],[Vertex]],GroupVertices[Vertex],0)),1,1,"")</f>
        <v>20</v>
      </c>
      <c r="BQ470" s="2"/>
    </row>
    <row r="471" spans="1:69" x14ac:dyDescent="0.25">
      <c r="A471" s="61" t="s">
        <v>498</v>
      </c>
      <c r="B471" s="62"/>
      <c r="C471" s="62"/>
      <c r="D471" s="63">
        <v>1.5</v>
      </c>
      <c r="E471" s="65"/>
      <c r="F471" s="97" t="str">
        <f>HYPERLINK("https://pbs.twimg.com/profile_images/1545726193697230848/dmpn-r-I_normal.jpg")</f>
        <v>https://pbs.twimg.com/profile_images/1545726193697230848/dmpn-r-I_normal.jpg</v>
      </c>
      <c r="G471" s="62"/>
      <c r="H471" s="66"/>
      <c r="I471" s="67"/>
      <c r="J471" s="67"/>
      <c r="K471" s="66" t="s">
        <v>4790</v>
      </c>
      <c r="L471" s="70"/>
      <c r="M471" s="71">
        <v>4105.65087890625</v>
      </c>
      <c r="N471" s="71">
        <v>8064.87060546875</v>
      </c>
      <c r="O471" s="72"/>
      <c r="P471" s="73"/>
      <c r="Q471" s="73"/>
      <c r="R471" s="81"/>
      <c r="S471" s="45">
        <v>0</v>
      </c>
      <c r="T471" s="45">
        <v>1</v>
      </c>
      <c r="U471" s="46">
        <v>0</v>
      </c>
      <c r="V471" s="46">
        <v>2.3883000000000001E-2</v>
      </c>
      <c r="W471" s="47"/>
      <c r="X471" s="47"/>
      <c r="Y471" s="47"/>
      <c r="Z471" s="46"/>
      <c r="AA471" s="68">
        <v>471</v>
      </c>
      <c r="AB471"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71" s="69"/>
      <c r="AD471" t="s">
        <v>3141</v>
      </c>
      <c r="AE471" s="77" t="s">
        <v>2639</v>
      </c>
      <c r="AF471">
        <v>40</v>
      </c>
      <c r="AG471">
        <v>300</v>
      </c>
      <c r="AH471">
        <v>1835</v>
      </c>
      <c r="AI471">
        <v>1</v>
      </c>
      <c r="AJ471">
        <v>1110</v>
      </c>
      <c r="AK471">
        <v>61</v>
      </c>
      <c r="AL471" t="b">
        <v>0</v>
      </c>
      <c r="AM471" s="76">
        <v>44657.729351851849</v>
      </c>
      <c r="AX471" t="b">
        <v>0</v>
      </c>
      <c r="BA471" t="b">
        <v>0</v>
      </c>
      <c r="BB471" t="b">
        <v>1</v>
      </c>
      <c r="BC471" t="b">
        <v>1</v>
      </c>
      <c r="BD471" t="b">
        <v>0</v>
      </c>
      <c r="BE471" t="b">
        <v>0</v>
      </c>
      <c r="BF471" t="b">
        <v>0</v>
      </c>
      <c r="BG471" t="b">
        <v>0</v>
      </c>
      <c r="BH471" s="79" t="str">
        <f>HYPERLINK("https://pbs.twimg.com/profile_banners/1511758054995472394/1699493355")</f>
        <v>https://pbs.twimg.com/profile_banners/1511758054995472394/1699493355</v>
      </c>
      <c r="BJ471" t="s">
        <v>4320</v>
      </c>
      <c r="BK471" t="b">
        <v>0</v>
      </c>
      <c r="BM471" t="s">
        <v>66</v>
      </c>
      <c r="BN471" t="s">
        <v>4322</v>
      </c>
      <c r="BO471" s="79" t="str">
        <f>HYPERLINK("https://twitter.com/ina_manroker")</f>
        <v>https://twitter.com/ina_manroker</v>
      </c>
      <c r="BP471" s="112" t="str">
        <f>REPLACE(INDEX(GroupVertices[Group], MATCH("~"&amp;Vertices[[#This Row],[Vertex]],GroupVertices[Vertex],0)),1,1,"")</f>
        <v>1</v>
      </c>
      <c r="BQ471" s="2"/>
    </row>
    <row r="472" spans="1:69" x14ac:dyDescent="0.25">
      <c r="A472" s="61" t="s">
        <v>499</v>
      </c>
      <c r="B472" s="62"/>
      <c r="C472" s="62"/>
      <c r="D472" s="63">
        <v>1.5</v>
      </c>
      <c r="E472" s="65"/>
      <c r="F472" s="97" t="str">
        <f>HYPERLINK("https://pbs.twimg.com/profile_images/1799173999475175424/l_kPtYz1_normal.jpg")</f>
        <v>https://pbs.twimg.com/profile_images/1799173999475175424/l_kPtYz1_normal.jpg</v>
      </c>
      <c r="G472" s="62"/>
      <c r="H472" s="66"/>
      <c r="I472" s="67"/>
      <c r="J472" s="67"/>
      <c r="K472" s="66" t="s">
        <v>4791</v>
      </c>
      <c r="L472" s="70"/>
      <c r="M472" s="71">
        <v>4832.5595703125</v>
      </c>
      <c r="N472" s="71">
        <v>9263.998046875</v>
      </c>
      <c r="O472" s="72"/>
      <c r="P472" s="73"/>
      <c r="Q472" s="73"/>
      <c r="R472" s="81"/>
      <c r="S472" s="45">
        <v>0</v>
      </c>
      <c r="T472" s="45">
        <v>1</v>
      </c>
      <c r="U472" s="46">
        <v>0</v>
      </c>
      <c r="V472" s="46">
        <v>2.7950000000000002E-3</v>
      </c>
      <c r="W472" s="47"/>
      <c r="X472" s="47"/>
      <c r="Y472" s="47"/>
      <c r="Z472" s="46"/>
      <c r="AA472" s="68">
        <v>472</v>
      </c>
      <c r="AB472"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72" s="69"/>
      <c r="AD472" t="s">
        <v>3142</v>
      </c>
      <c r="AE472" s="77" t="s">
        <v>2640</v>
      </c>
      <c r="AF472">
        <v>52</v>
      </c>
      <c r="AG472">
        <v>115</v>
      </c>
      <c r="AH472">
        <v>108</v>
      </c>
      <c r="AI472">
        <v>0</v>
      </c>
      <c r="AJ472">
        <v>143</v>
      </c>
      <c r="AK472">
        <v>2</v>
      </c>
      <c r="AL472" t="b">
        <v>0</v>
      </c>
      <c r="AM472" s="76">
        <v>45450.840590277781</v>
      </c>
      <c r="AN472" t="s">
        <v>3628</v>
      </c>
      <c r="AO472" t="s">
        <v>4046</v>
      </c>
      <c r="AX472" t="b">
        <v>0</v>
      </c>
      <c r="BA472" t="b">
        <v>0</v>
      </c>
      <c r="BB472" t="b">
        <v>0</v>
      </c>
      <c r="BC472" t="b">
        <v>1</v>
      </c>
      <c r="BD472" t="b">
        <v>0</v>
      </c>
      <c r="BE472" t="b">
        <v>0</v>
      </c>
      <c r="BF472" t="b">
        <v>0</v>
      </c>
      <c r="BG472" t="b">
        <v>0</v>
      </c>
      <c r="BH472" s="79" t="str">
        <f>HYPERLINK("https://pbs.twimg.com/profile_banners/1799172055180435456/1717791554")</f>
        <v>https://pbs.twimg.com/profile_banners/1799172055180435456/1717791554</v>
      </c>
      <c r="BJ472" t="s">
        <v>4320</v>
      </c>
      <c r="BK472" t="b">
        <v>0</v>
      </c>
      <c r="BM472" t="s">
        <v>66</v>
      </c>
      <c r="BN472" t="s">
        <v>4322</v>
      </c>
      <c r="BO472" s="79" t="str">
        <f>HYPERLINK("https://twitter.com/fabiacade22")</f>
        <v>https://twitter.com/fabiacade22</v>
      </c>
      <c r="BP472" s="112" t="str">
        <f>REPLACE(INDEX(GroupVertices[Group], MATCH("~"&amp;Vertices[[#This Row],[Vertex]],GroupVertices[Vertex],0)),1,1,"")</f>
        <v>30</v>
      </c>
      <c r="BQ472" s="2"/>
    </row>
    <row r="473" spans="1:69" x14ac:dyDescent="0.25">
      <c r="A473" s="61" t="s">
        <v>500</v>
      </c>
      <c r="B473" s="62"/>
      <c r="C473" s="62"/>
      <c r="D473" s="63">
        <v>1.5</v>
      </c>
      <c r="E473" s="65"/>
      <c r="F473" s="97" t="str">
        <f>HYPERLINK("https://pbs.twimg.com/profile_images/1323668515740667904/3dNeJCk7_normal.jpg")</f>
        <v>https://pbs.twimg.com/profile_images/1323668515740667904/3dNeJCk7_normal.jpg</v>
      </c>
      <c r="G473" s="62"/>
      <c r="H473" s="66"/>
      <c r="I473" s="67"/>
      <c r="J473" s="67"/>
      <c r="K473" s="66" t="s">
        <v>4792</v>
      </c>
      <c r="L473" s="70"/>
      <c r="M473" s="71">
        <v>6059.15576171875</v>
      </c>
      <c r="N473" s="71">
        <v>715.81842041015625</v>
      </c>
      <c r="O473" s="72"/>
      <c r="P473" s="73"/>
      <c r="Q473" s="73"/>
      <c r="R473" s="81"/>
      <c r="S473" s="45">
        <v>0</v>
      </c>
      <c r="T473" s="45">
        <v>1</v>
      </c>
      <c r="U473" s="46">
        <v>0</v>
      </c>
      <c r="V473" s="46">
        <v>2.0960000000000002E-3</v>
      </c>
      <c r="W473" s="47"/>
      <c r="X473" s="47"/>
      <c r="Y473" s="47"/>
      <c r="Z473" s="46"/>
      <c r="AA473" s="68">
        <v>473</v>
      </c>
      <c r="AB473"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73" s="69"/>
      <c r="AD473" t="s">
        <v>3143</v>
      </c>
      <c r="AE473" s="77" t="s">
        <v>2641</v>
      </c>
      <c r="AF473">
        <v>22</v>
      </c>
      <c r="AG473">
        <v>69</v>
      </c>
      <c r="AH473">
        <v>243</v>
      </c>
      <c r="AI473">
        <v>0</v>
      </c>
      <c r="AJ473">
        <v>443</v>
      </c>
      <c r="AK473">
        <v>197</v>
      </c>
      <c r="AL473" t="b">
        <v>0</v>
      </c>
      <c r="AM473" s="76">
        <v>43159.403611111113</v>
      </c>
      <c r="AX473" t="b">
        <v>0</v>
      </c>
      <c r="BA473" t="b">
        <v>0</v>
      </c>
      <c r="BB473" t="b">
        <v>0</v>
      </c>
      <c r="BC473" t="b">
        <v>1</v>
      </c>
      <c r="BD473" t="b">
        <v>0</v>
      </c>
      <c r="BE473" t="b">
        <v>1</v>
      </c>
      <c r="BF473" t="b">
        <v>0</v>
      </c>
      <c r="BG473" t="b">
        <v>0</v>
      </c>
      <c r="BJ473" t="s">
        <v>4320</v>
      </c>
      <c r="BK473" t="b">
        <v>0</v>
      </c>
      <c r="BM473" t="s">
        <v>66</v>
      </c>
      <c r="BN473" t="s">
        <v>4322</v>
      </c>
      <c r="BO473" s="79" t="str">
        <f>HYPERLINK("https://twitter.com/josepmariarubi1")</f>
        <v>https://twitter.com/josepmariarubi1</v>
      </c>
      <c r="BP473" s="112" t="str">
        <f>REPLACE(INDEX(GroupVertices[Group], MATCH("~"&amp;Vertices[[#This Row],[Vertex]],GroupVertices[Vertex],0)),1,1,"")</f>
        <v>81</v>
      </c>
      <c r="BQ473" s="2"/>
    </row>
    <row r="474" spans="1:69" x14ac:dyDescent="0.25">
      <c r="A474" s="61" t="s">
        <v>699</v>
      </c>
      <c r="B474" s="62"/>
      <c r="C474" s="62"/>
      <c r="D474" s="63">
        <v>1.5</v>
      </c>
      <c r="E474" s="65"/>
      <c r="F474" s="97" t="str">
        <f>HYPERLINK("https://pbs.twimg.com/profile_images/658592786426388480/QRZaLV9l_normal.png")</f>
        <v>https://pbs.twimg.com/profile_images/658592786426388480/QRZaLV9l_normal.png</v>
      </c>
      <c r="G474" s="62"/>
      <c r="H474" s="66"/>
      <c r="I474" s="67"/>
      <c r="J474" s="67"/>
      <c r="K474" s="66" t="s">
        <v>4793</v>
      </c>
      <c r="L474" s="70"/>
      <c r="M474" s="71">
        <v>4768.0712890625</v>
      </c>
      <c r="N474" s="71">
        <v>3734.057861328125</v>
      </c>
      <c r="O474" s="72"/>
      <c r="P474" s="73"/>
      <c r="Q474" s="73"/>
      <c r="R474" s="81"/>
      <c r="S474" s="45">
        <v>1</v>
      </c>
      <c r="T474" s="45">
        <v>0</v>
      </c>
      <c r="U474" s="46">
        <v>0</v>
      </c>
      <c r="V474" s="46">
        <v>2.0960000000000002E-3</v>
      </c>
      <c r="W474" s="47"/>
      <c r="X474" s="47"/>
      <c r="Y474" s="47"/>
      <c r="Z474" s="46"/>
      <c r="AA474" s="68">
        <v>474</v>
      </c>
      <c r="AB474"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74" s="69"/>
      <c r="AD474" t="s">
        <v>3144</v>
      </c>
      <c r="AE474" s="77" t="s">
        <v>2492</v>
      </c>
      <c r="AF474">
        <v>269226</v>
      </c>
      <c r="AG474">
        <v>1299</v>
      </c>
      <c r="AH474">
        <v>376122</v>
      </c>
      <c r="AI474">
        <v>3153</v>
      </c>
      <c r="AJ474">
        <v>1352</v>
      </c>
      <c r="AK474">
        <v>18929</v>
      </c>
      <c r="AL474" t="b">
        <v>0</v>
      </c>
      <c r="AM474" s="76">
        <v>39473.715486111112</v>
      </c>
      <c r="AN474" t="s">
        <v>3629</v>
      </c>
      <c r="AO474" t="s">
        <v>4047</v>
      </c>
      <c r="AP474" s="79" t="str">
        <f>HYPERLINK("https://t.co/7sJ9qEp0AN")</f>
        <v>https://t.co/7sJ9qEp0AN</v>
      </c>
      <c r="AQ474" s="79" t="str">
        <f>HYPERLINK("https://www.elpuntavui.cat")</f>
        <v>https://www.elpuntavui.cat</v>
      </c>
      <c r="AR474" t="s">
        <v>4233</v>
      </c>
      <c r="AS474" t="s">
        <v>4250</v>
      </c>
      <c r="AT474" t="s">
        <v>4263</v>
      </c>
      <c r="AU474" t="s">
        <v>4319</v>
      </c>
      <c r="AW474" s="79" t="str">
        <f>HYPERLINK("https://t.co/7sJ9qEp0AN")</f>
        <v>https://t.co/7sJ9qEp0AN</v>
      </c>
      <c r="AX474" t="b">
        <v>0</v>
      </c>
      <c r="AZ474" t="b">
        <v>0</v>
      </c>
      <c r="BA474" t="b">
        <v>0</v>
      </c>
      <c r="BB474" t="b">
        <v>1</v>
      </c>
      <c r="BC474" t="b">
        <v>0</v>
      </c>
      <c r="BD474" t="b">
        <v>0</v>
      </c>
      <c r="BE474" t="b">
        <v>1</v>
      </c>
      <c r="BF474" t="b">
        <v>0</v>
      </c>
      <c r="BG474" t="b">
        <v>0</v>
      </c>
      <c r="BH474" s="79" t="str">
        <f>HYPERLINK("https://pbs.twimg.com/profile_banners/12723412/1445857598")</f>
        <v>https://pbs.twimg.com/profile_banners/12723412/1445857598</v>
      </c>
      <c r="BJ474" t="s">
        <v>4321</v>
      </c>
      <c r="BK474" t="b">
        <v>0</v>
      </c>
      <c r="BM474" t="s">
        <v>65</v>
      </c>
      <c r="BN474" t="s">
        <v>4322</v>
      </c>
      <c r="BO474" s="79" t="str">
        <f>HYPERLINK("https://twitter.com/elpuntavui")</f>
        <v>https://twitter.com/elpuntavui</v>
      </c>
      <c r="BP474" s="112" t="str">
        <f>REPLACE(INDEX(GroupVertices[Group], MATCH("~"&amp;Vertices[[#This Row],[Vertex]],GroupVertices[Vertex],0)),1,1,"")</f>
        <v>81</v>
      </c>
      <c r="BQ474" s="2"/>
    </row>
    <row r="475" spans="1:69" x14ac:dyDescent="0.25">
      <c r="A475" s="61" t="s">
        <v>502</v>
      </c>
      <c r="B475" s="62"/>
      <c r="C475" s="62"/>
      <c r="D475" s="63">
        <v>1.5</v>
      </c>
      <c r="E475" s="65"/>
      <c r="F475" s="97" t="str">
        <f>HYPERLINK("https://pbs.twimg.com/profile_images/1928483415931731970/PtZ0avEy_normal.jpg")</f>
        <v>https://pbs.twimg.com/profile_images/1928483415931731970/PtZ0avEy_normal.jpg</v>
      </c>
      <c r="G475" s="62"/>
      <c r="H475" s="66"/>
      <c r="I475" s="67"/>
      <c r="J475" s="67"/>
      <c r="K475" s="66" t="s">
        <v>4794</v>
      </c>
      <c r="L475" s="70"/>
      <c r="M475" s="71">
        <v>8222.1416015625</v>
      </c>
      <c r="N475" s="71">
        <v>5683.33447265625</v>
      </c>
      <c r="O475" s="72"/>
      <c r="P475" s="73"/>
      <c r="Q475" s="73"/>
      <c r="R475" s="81"/>
      <c r="S475" s="45">
        <v>1</v>
      </c>
      <c r="T475" s="45">
        <v>1</v>
      </c>
      <c r="U475" s="46">
        <v>0</v>
      </c>
      <c r="V475" s="46">
        <v>0</v>
      </c>
      <c r="W475" s="47"/>
      <c r="X475" s="47"/>
      <c r="Y475" s="47"/>
      <c r="Z475" s="46"/>
      <c r="AA475" s="68">
        <v>475</v>
      </c>
      <c r="AB475"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75" s="69"/>
      <c r="AD475" t="s">
        <v>3145</v>
      </c>
      <c r="AE475" s="77" t="s">
        <v>2642</v>
      </c>
      <c r="AF475">
        <v>835</v>
      </c>
      <c r="AG475">
        <v>505</v>
      </c>
      <c r="AH475">
        <v>14464</v>
      </c>
      <c r="AI475">
        <v>14</v>
      </c>
      <c r="AJ475">
        <v>37453</v>
      </c>
      <c r="AK475">
        <v>2694</v>
      </c>
      <c r="AL475" t="b">
        <v>0</v>
      </c>
      <c r="AM475" s="76">
        <v>45408.000451388885</v>
      </c>
      <c r="AN475" t="s">
        <v>3630</v>
      </c>
      <c r="AO475" t="s">
        <v>4048</v>
      </c>
      <c r="AP475" s="79" t="str">
        <f>HYPERLINK("https://t.co/fBpyBQ1kEg")</f>
        <v>https://t.co/fBpyBQ1kEg</v>
      </c>
      <c r="AQ475" s="79" t="str">
        <f>HYPERLINK("https://tsxjaeger.straw.page")</f>
        <v>https://tsxjaeger.straw.page</v>
      </c>
      <c r="AR475" t="s">
        <v>4234</v>
      </c>
      <c r="AV475">
        <v>1.9271254616975201E+18</v>
      </c>
      <c r="AW475" s="79" t="str">
        <f>HYPERLINK("https://t.co/fBpyBQ1kEg")</f>
        <v>https://t.co/fBpyBQ1kEg</v>
      </c>
      <c r="AX475" t="b">
        <v>0</v>
      </c>
      <c r="BA475" t="b">
        <v>1</v>
      </c>
      <c r="BB475" t="b">
        <v>0</v>
      </c>
      <c r="BC475" t="b">
        <v>1</v>
      </c>
      <c r="BD475" t="b">
        <v>0</v>
      </c>
      <c r="BE475" t="b">
        <v>0</v>
      </c>
      <c r="BF475" t="b">
        <v>0</v>
      </c>
      <c r="BG475" t="b">
        <v>0</v>
      </c>
      <c r="BH475" s="79" t="str">
        <f>HYPERLINK("https://pbs.twimg.com/profile_banners/1783647307423956992/1748622714")</f>
        <v>https://pbs.twimg.com/profile_banners/1783647307423956992/1748622714</v>
      </c>
      <c r="BJ475" t="s">
        <v>4320</v>
      </c>
      <c r="BK475" t="b">
        <v>0</v>
      </c>
      <c r="BM475" t="s">
        <v>66</v>
      </c>
      <c r="BN475" t="s">
        <v>4322</v>
      </c>
      <c r="BO475" s="79" t="str">
        <f>HYPERLINK("https://twitter.com/tsxjaeger")</f>
        <v>https://twitter.com/tsxjaeger</v>
      </c>
      <c r="BP475" s="112" t="str">
        <f>REPLACE(INDEX(GroupVertices[Group], MATCH("~"&amp;Vertices[[#This Row],[Vertex]],GroupVertices[Vertex],0)),1,1,"")</f>
        <v>162</v>
      </c>
      <c r="BQ475" s="2"/>
    </row>
    <row r="476" spans="1:69" x14ac:dyDescent="0.25">
      <c r="A476" s="61" t="s">
        <v>503</v>
      </c>
      <c r="B476" s="62"/>
      <c r="C476" s="62"/>
      <c r="D476" s="63">
        <v>1.5</v>
      </c>
      <c r="E476" s="65"/>
      <c r="F476" s="97" t="str">
        <f>HYPERLINK("https://pbs.twimg.com/profile_images/1266124631997476865/GLRMuy6y_normal.jpg")</f>
        <v>https://pbs.twimg.com/profile_images/1266124631997476865/GLRMuy6y_normal.jpg</v>
      </c>
      <c r="G476" s="62"/>
      <c r="H476" s="66"/>
      <c r="I476" s="67"/>
      <c r="J476" s="67"/>
      <c r="K476" s="66" t="s">
        <v>4795</v>
      </c>
      <c r="L476" s="70"/>
      <c r="M476" s="71">
        <v>1909.5567626953125</v>
      </c>
      <c r="N476" s="71">
        <v>2557.199951171875</v>
      </c>
      <c r="O476" s="72"/>
      <c r="P476" s="73"/>
      <c r="Q476" s="73"/>
      <c r="R476" s="81"/>
      <c r="S476" s="45">
        <v>1</v>
      </c>
      <c r="T476" s="45">
        <v>1</v>
      </c>
      <c r="U476" s="46">
        <v>0</v>
      </c>
      <c r="V476" s="46">
        <v>0</v>
      </c>
      <c r="W476" s="47"/>
      <c r="X476" s="47"/>
      <c r="Y476" s="47"/>
      <c r="Z476" s="46"/>
      <c r="AA476" s="68">
        <v>476</v>
      </c>
      <c r="AB476"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76" s="69"/>
      <c r="AD476" t="s">
        <v>3146</v>
      </c>
      <c r="AE476" s="77" t="s">
        <v>3394</v>
      </c>
      <c r="AF476">
        <v>1881</v>
      </c>
      <c r="AG476">
        <v>3284</v>
      </c>
      <c r="AH476">
        <v>14035</v>
      </c>
      <c r="AI476">
        <v>23</v>
      </c>
      <c r="AJ476">
        <v>3063</v>
      </c>
      <c r="AK476">
        <v>2524</v>
      </c>
      <c r="AL476" t="b">
        <v>0</v>
      </c>
      <c r="AM476" s="76">
        <v>41480.030636574076</v>
      </c>
      <c r="AN476" t="s">
        <v>3631</v>
      </c>
      <c r="AO476" t="s">
        <v>4049</v>
      </c>
      <c r="AP476" s="79" t="str">
        <f>HYPERLINK("https://t.co/X5UKUwstSv")</f>
        <v>https://t.co/X5UKUwstSv</v>
      </c>
      <c r="AQ476" s="79" t="str">
        <f>HYPERLINK("http://www.prensaeventos.cl")</f>
        <v>http://www.prensaeventos.cl</v>
      </c>
      <c r="AR476" t="s">
        <v>1209</v>
      </c>
      <c r="AS476" s="79" t="str">
        <f>HYPERLINK("https://t.co/7LfAqtq6Ni")</f>
        <v>https://t.co/7LfAqtq6Ni</v>
      </c>
      <c r="AT476" s="79" t="str">
        <f>HYPERLINK("http://grupoprensadigital.cl")</f>
        <v>http://grupoprensadigital.cl</v>
      </c>
      <c r="AU476" t="s">
        <v>4285</v>
      </c>
      <c r="AV476">
        <v>1.66393173168082E+18</v>
      </c>
      <c r="AW476" s="79" t="str">
        <f>HYPERLINK("https://t.co/X5UKUwstSv")</f>
        <v>https://t.co/X5UKUwstSv</v>
      </c>
      <c r="AX476" t="b">
        <v>0</v>
      </c>
      <c r="BA476" t="b">
        <v>0</v>
      </c>
      <c r="BB476" t="b">
        <v>1</v>
      </c>
      <c r="BC476" t="b">
        <v>0</v>
      </c>
      <c r="BD476" t="b">
        <v>0</v>
      </c>
      <c r="BE476" t="b">
        <v>0</v>
      </c>
      <c r="BF476" t="b">
        <v>0</v>
      </c>
      <c r="BG476" t="b">
        <v>0</v>
      </c>
      <c r="BH476" s="79" t="str">
        <f>HYPERLINK("https://pbs.twimg.com/profile_banners/1618972646/1590693790")</f>
        <v>https://pbs.twimg.com/profile_banners/1618972646/1590693790</v>
      </c>
      <c r="BJ476" t="s">
        <v>4320</v>
      </c>
      <c r="BK476" t="b">
        <v>0</v>
      </c>
      <c r="BM476" t="s">
        <v>66</v>
      </c>
      <c r="BN476" t="s">
        <v>4322</v>
      </c>
      <c r="BO476" s="79" t="str">
        <f>HYPERLINK("https://twitter.com/prensaevento")</f>
        <v>https://twitter.com/prensaevento</v>
      </c>
      <c r="BP476" s="112" t="str">
        <f>REPLACE(INDEX(GroupVertices[Group], MATCH("~"&amp;Vertices[[#This Row],[Vertex]],GroupVertices[Vertex],0)),1,1,"")</f>
        <v>137</v>
      </c>
      <c r="BQ476" s="2"/>
    </row>
    <row r="477" spans="1:69" x14ac:dyDescent="0.25">
      <c r="A477" s="61" t="s">
        <v>504</v>
      </c>
      <c r="B477" s="62"/>
      <c r="C477" s="62"/>
      <c r="D477" s="63">
        <v>1.5</v>
      </c>
      <c r="E477" s="65"/>
      <c r="F477" s="97" t="str">
        <f>HYPERLINK("https://pbs.twimg.com/profile_images/1576425782397870080/TzaL7SE3_normal.png")</f>
        <v>https://pbs.twimg.com/profile_images/1576425782397870080/TzaL7SE3_normal.png</v>
      </c>
      <c r="G477" s="62"/>
      <c r="H477" s="66"/>
      <c r="I477" s="67"/>
      <c r="J477" s="67"/>
      <c r="K477" s="66" t="s">
        <v>4796</v>
      </c>
      <c r="L477" s="70"/>
      <c r="M477" s="71">
        <v>7379.205078125</v>
      </c>
      <c r="N477" s="71">
        <v>648.60302734375</v>
      </c>
      <c r="O477" s="72"/>
      <c r="P477" s="73"/>
      <c r="Q477" s="73"/>
      <c r="R477" s="81"/>
      <c r="S477" s="45">
        <v>0</v>
      </c>
      <c r="T477" s="45">
        <v>1</v>
      </c>
      <c r="U477" s="46">
        <v>0</v>
      </c>
      <c r="V477" s="46">
        <v>2.0960000000000002E-3</v>
      </c>
      <c r="W477" s="47"/>
      <c r="X477" s="47"/>
      <c r="Y477" s="47"/>
      <c r="Z477" s="46"/>
      <c r="AA477" s="68">
        <v>477</v>
      </c>
      <c r="AB477"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77" s="69"/>
      <c r="AD477" t="s">
        <v>3147</v>
      </c>
      <c r="AE477" s="77" t="s">
        <v>2643</v>
      </c>
      <c r="AF477">
        <v>7</v>
      </c>
      <c r="AG477">
        <v>5</v>
      </c>
      <c r="AH477">
        <v>758</v>
      </c>
      <c r="AI477">
        <v>1</v>
      </c>
      <c r="AJ477">
        <v>4</v>
      </c>
      <c r="AK477">
        <v>0</v>
      </c>
      <c r="AL477" t="b">
        <v>0</v>
      </c>
      <c r="AM477" s="76">
        <v>44836.177881944444</v>
      </c>
      <c r="AX477" t="b">
        <v>0</v>
      </c>
      <c r="BA477" t="b">
        <v>0</v>
      </c>
      <c r="BB477" t="b">
        <v>1</v>
      </c>
      <c r="BC477" t="b">
        <v>1</v>
      </c>
      <c r="BD477" t="b">
        <v>0</v>
      </c>
      <c r="BE477" t="b">
        <v>0</v>
      </c>
      <c r="BF477" t="b">
        <v>0</v>
      </c>
      <c r="BG477" t="b">
        <v>0</v>
      </c>
      <c r="BJ477" t="s">
        <v>4320</v>
      </c>
      <c r="BK477" t="b">
        <v>0</v>
      </c>
      <c r="BM477" t="s">
        <v>66</v>
      </c>
      <c r="BN477" t="s">
        <v>4322</v>
      </c>
      <c r="BO477" s="79" t="str">
        <f>HYPERLINK("https://twitter.com/roornu59ortiz")</f>
        <v>https://twitter.com/roornu59ortiz</v>
      </c>
      <c r="BP477" s="112" t="str">
        <f>REPLACE(INDEX(GroupVertices[Group], MATCH("~"&amp;Vertices[[#This Row],[Vertex]],GroupVertices[Vertex],0)),1,1,"")</f>
        <v>42</v>
      </c>
      <c r="BQ477" s="2"/>
    </row>
    <row r="478" spans="1:69" x14ac:dyDescent="0.25">
      <c r="A478" s="61" t="s">
        <v>700</v>
      </c>
      <c r="B478" s="62"/>
      <c r="C478" s="62"/>
      <c r="D478" s="63">
        <v>1.5</v>
      </c>
      <c r="E478" s="65"/>
      <c r="F478" s="97" t="str">
        <f>HYPERLINK("https://pbs.twimg.com/profile_images/1796058441372307457/zdDW7kTt_normal.jpg")</f>
        <v>https://pbs.twimg.com/profile_images/1796058441372307457/zdDW7kTt_normal.jpg</v>
      </c>
      <c r="G478" s="62"/>
      <c r="H478" s="66"/>
      <c r="I478" s="67"/>
      <c r="J478" s="67"/>
      <c r="K478" s="66" t="s">
        <v>4797</v>
      </c>
      <c r="L478" s="70"/>
      <c r="M478" s="71">
        <v>6509.66015625</v>
      </c>
      <c r="N478" s="71">
        <v>2145.822265625</v>
      </c>
      <c r="O478" s="72"/>
      <c r="P478" s="73"/>
      <c r="Q478" s="73"/>
      <c r="R478" s="81"/>
      <c r="S478" s="45">
        <v>1</v>
      </c>
      <c r="T478" s="45">
        <v>0</v>
      </c>
      <c r="U478" s="46">
        <v>0</v>
      </c>
      <c r="V478" s="46">
        <v>2.0960000000000002E-3</v>
      </c>
      <c r="W478" s="47"/>
      <c r="X478" s="47"/>
      <c r="Y478" s="47"/>
      <c r="Z478" s="46"/>
      <c r="AA478" s="68">
        <v>478</v>
      </c>
      <c r="AB478"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78" s="69"/>
      <c r="AD478" t="s">
        <v>3148</v>
      </c>
      <c r="AE478" s="77" t="s">
        <v>2493</v>
      </c>
      <c r="AF478">
        <v>987811</v>
      </c>
      <c r="AG478">
        <v>6406</v>
      </c>
      <c r="AH478">
        <v>56181</v>
      </c>
      <c r="AI478">
        <v>2340</v>
      </c>
      <c r="AJ478">
        <v>99321</v>
      </c>
      <c r="AK478">
        <v>7937</v>
      </c>
      <c r="AL478" t="b">
        <v>0</v>
      </c>
      <c r="AM478" s="76">
        <v>40112.945023148146</v>
      </c>
      <c r="AN478" t="s">
        <v>3632</v>
      </c>
      <c r="AO478" t="s">
        <v>4050</v>
      </c>
      <c r="AP478" s="79" t="str">
        <f>HYPERLINK("https://t.co/9cVX8lkLhR")</f>
        <v>https://t.co/9cVX8lkLhR</v>
      </c>
      <c r="AQ478" s="79" t="str">
        <f>HYPERLINK("http://www.xochitlgalvez.com")</f>
        <v>http://www.xochitlgalvez.com</v>
      </c>
      <c r="AR478" t="s">
        <v>4235</v>
      </c>
      <c r="AV478">
        <v>1.92776350427613E+18</v>
      </c>
      <c r="AW478" s="79" t="str">
        <f>HYPERLINK("https://t.co/9cVX8lkLhR")</f>
        <v>https://t.co/9cVX8lkLhR</v>
      </c>
      <c r="AX478" t="b">
        <v>1</v>
      </c>
      <c r="AZ478" t="b">
        <v>0</v>
      </c>
      <c r="BA478" t="b">
        <v>0</v>
      </c>
      <c r="BB478" t="b">
        <v>1</v>
      </c>
      <c r="BC478" t="b">
        <v>0</v>
      </c>
      <c r="BD478" t="b">
        <v>0</v>
      </c>
      <c r="BE478" t="b">
        <v>1</v>
      </c>
      <c r="BF478" t="b">
        <v>0</v>
      </c>
      <c r="BG478" t="b">
        <v>0</v>
      </c>
      <c r="BH478" s="79" t="str">
        <f>HYPERLINK("https://pbs.twimg.com/profile_banners/85437334/1730138942")</f>
        <v>https://pbs.twimg.com/profile_banners/85437334/1730138942</v>
      </c>
      <c r="BJ478" t="s">
        <v>4320</v>
      </c>
      <c r="BK478" t="b">
        <v>0</v>
      </c>
      <c r="BM478" t="s">
        <v>65</v>
      </c>
      <c r="BN478" t="s">
        <v>4322</v>
      </c>
      <c r="BO478" s="79" t="str">
        <f>HYPERLINK("https://twitter.com/xochitlgalvez")</f>
        <v>https://twitter.com/xochitlgalvez</v>
      </c>
      <c r="BP478" s="112" t="str">
        <f>REPLACE(INDEX(GroupVertices[Group], MATCH("~"&amp;Vertices[[#This Row],[Vertex]],GroupVertices[Vertex],0)),1,1,"")</f>
        <v>42</v>
      </c>
      <c r="BQ478" s="2"/>
    </row>
    <row r="479" spans="1:69" x14ac:dyDescent="0.25">
      <c r="A479" s="61" t="s">
        <v>505</v>
      </c>
      <c r="B479" s="62"/>
      <c r="C479" s="62"/>
      <c r="D479" s="63">
        <v>1.5</v>
      </c>
      <c r="E479" s="65"/>
      <c r="F479" s="97" t="str">
        <f>HYPERLINK("https://pbs.twimg.com/profile_images/1602688302787661824/RyXy7zMy_normal.jpg")</f>
        <v>https://pbs.twimg.com/profile_images/1602688302787661824/RyXy7zMy_normal.jpg</v>
      </c>
      <c r="G479" s="62"/>
      <c r="H479" s="66"/>
      <c r="I479" s="67"/>
      <c r="J479" s="67"/>
      <c r="K479" s="66" t="s">
        <v>4798</v>
      </c>
      <c r="L479" s="70"/>
      <c r="M479" s="71">
        <v>4973.87744140625</v>
      </c>
      <c r="N479" s="71">
        <v>7242.7099609375</v>
      </c>
      <c r="O479" s="72"/>
      <c r="P479" s="73"/>
      <c r="Q479" s="73"/>
      <c r="R479" s="81"/>
      <c r="S479" s="45">
        <v>0</v>
      </c>
      <c r="T479" s="45">
        <v>1</v>
      </c>
      <c r="U479" s="46">
        <v>0</v>
      </c>
      <c r="V479" s="46">
        <v>8.9449999999999998E-3</v>
      </c>
      <c r="W479" s="47"/>
      <c r="X479" s="47"/>
      <c r="Y479" s="47"/>
      <c r="Z479" s="46"/>
      <c r="AA479" s="68">
        <v>479</v>
      </c>
      <c r="AB479"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79" s="69"/>
      <c r="AD479" t="s">
        <v>3149</v>
      </c>
      <c r="AE479" s="77" t="s">
        <v>2644</v>
      </c>
      <c r="AF479">
        <v>12788</v>
      </c>
      <c r="AG479">
        <v>12757</v>
      </c>
      <c r="AH479">
        <v>83109</v>
      </c>
      <c r="AI479">
        <v>3</v>
      </c>
      <c r="AJ479">
        <v>60982</v>
      </c>
      <c r="AK479">
        <v>1693</v>
      </c>
      <c r="AL479" t="b">
        <v>0</v>
      </c>
      <c r="AM479" s="76">
        <v>43465.084606481483</v>
      </c>
      <c r="AO479" t="s">
        <v>4051</v>
      </c>
      <c r="AV479">
        <v>1.9281885361607401E+18</v>
      </c>
      <c r="AX479" t="b">
        <v>0</v>
      </c>
      <c r="BA479" t="b">
        <v>0</v>
      </c>
      <c r="BB479" t="b">
        <v>0</v>
      </c>
      <c r="BC479" t="b">
        <v>0</v>
      </c>
      <c r="BD479" t="b">
        <v>0</v>
      </c>
      <c r="BE479" t="b">
        <v>1</v>
      </c>
      <c r="BF479" t="b">
        <v>0</v>
      </c>
      <c r="BG479" t="b">
        <v>0</v>
      </c>
      <c r="BH479" s="79" t="str">
        <f>HYPERLINK("https://pbs.twimg.com/profile_banners/1079558214587482112/1618197151")</f>
        <v>https://pbs.twimg.com/profile_banners/1079558214587482112/1618197151</v>
      </c>
      <c r="BJ479" t="s">
        <v>4320</v>
      </c>
      <c r="BK479" t="b">
        <v>0</v>
      </c>
      <c r="BM479" t="s">
        <v>66</v>
      </c>
      <c r="BN479" t="s">
        <v>4322</v>
      </c>
      <c r="BO479" s="79" t="str">
        <f>HYPERLINK("https://twitter.com/becasess")</f>
        <v>https://twitter.com/becasess</v>
      </c>
      <c r="BP479" s="112" t="str">
        <f>REPLACE(INDEX(GroupVertices[Group], MATCH("~"&amp;Vertices[[#This Row],[Vertex]],GroupVertices[Vertex],0)),1,1,"")</f>
        <v>7</v>
      </c>
      <c r="BQ479" s="2"/>
    </row>
    <row r="480" spans="1:69" x14ac:dyDescent="0.25">
      <c r="A480" s="82" t="s">
        <v>507</v>
      </c>
      <c r="B480" s="83"/>
      <c r="C480" s="83"/>
      <c r="D480" s="84">
        <v>1.5</v>
      </c>
      <c r="E480" s="85"/>
      <c r="F480" s="98" t="str">
        <f>HYPERLINK("https://pbs.twimg.com/profile_images/497244630866747392/TemYDJIk_normal.jpeg")</f>
        <v>https://pbs.twimg.com/profile_images/497244630866747392/TemYDJIk_normal.jpeg</v>
      </c>
      <c r="G480" s="83"/>
      <c r="H480" s="86"/>
      <c r="I480" s="87"/>
      <c r="J480" s="87"/>
      <c r="K480" s="86" t="s">
        <v>4799</v>
      </c>
      <c r="L480" s="88"/>
      <c r="M480" s="89">
        <v>7203.92724609375</v>
      </c>
      <c r="N480" s="89">
        <v>6163.38427734375</v>
      </c>
      <c r="O480" s="90"/>
      <c r="P480" s="91"/>
      <c r="Q480" s="91"/>
      <c r="R480" s="92"/>
      <c r="S480" s="45">
        <v>0</v>
      </c>
      <c r="T480" s="45">
        <v>2</v>
      </c>
      <c r="U480" s="46">
        <v>0</v>
      </c>
      <c r="V480" s="46">
        <v>1.3722E-2</v>
      </c>
      <c r="W480" s="93"/>
      <c r="X480" s="93"/>
      <c r="Y480" s="93"/>
      <c r="Z480" s="94"/>
      <c r="AA480" s="95">
        <v>480</v>
      </c>
      <c r="AB480" s="95"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80" s="96"/>
      <c r="AD480" t="s">
        <v>3150</v>
      </c>
      <c r="AE480" s="77" t="s">
        <v>3395</v>
      </c>
      <c r="AF480">
        <v>2236</v>
      </c>
      <c r="AG480">
        <v>679</v>
      </c>
      <c r="AH480">
        <v>244909</v>
      </c>
      <c r="AI480">
        <v>29</v>
      </c>
      <c r="AJ480">
        <v>1810</v>
      </c>
      <c r="AK480">
        <v>985</v>
      </c>
      <c r="AL480" t="b">
        <v>0</v>
      </c>
      <c r="AM480" s="76">
        <v>41178.900659722225</v>
      </c>
      <c r="AN480" t="s">
        <v>3633</v>
      </c>
      <c r="AX480" t="b">
        <v>0</v>
      </c>
      <c r="BA480" t="b">
        <v>0</v>
      </c>
      <c r="BB480" t="b">
        <v>1</v>
      </c>
      <c r="BC480" t="b">
        <v>1</v>
      </c>
      <c r="BD480" t="b">
        <v>0</v>
      </c>
      <c r="BE480" t="b">
        <v>0</v>
      </c>
      <c r="BF480" t="b">
        <v>0</v>
      </c>
      <c r="BG480" t="b">
        <v>0</v>
      </c>
      <c r="BH480" s="79" t="str">
        <f>HYPERLINK("https://pbs.twimg.com/profile_banners/848170292/1413385529")</f>
        <v>https://pbs.twimg.com/profile_banners/848170292/1413385529</v>
      </c>
      <c r="BJ480" t="s">
        <v>4320</v>
      </c>
      <c r="BK480" t="b">
        <v>0</v>
      </c>
      <c r="BM480" t="s">
        <v>66</v>
      </c>
      <c r="BN480" t="s">
        <v>4322</v>
      </c>
      <c r="BO480" s="79" t="str">
        <f>HYPERLINK("https://twitter.com/mesa_plural")</f>
        <v>https://twitter.com/mesa_plural</v>
      </c>
      <c r="BP480" s="112" t="str">
        <f>REPLACE(INDEX(GroupVertices[Group], MATCH("~"&amp;Vertices[[#This Row],[Vertex]],GroupVertices[Vertex],0)),1,1,"")</f>
        <v>4</v>
      </c>
      <c r="BQ480" s="2"/>
    </row>
    <row r="481" spans="1:69" x14ac:dyDescent="0.25">
      <c r="A481" s="61" t="s">
        <v>2647</v>
      </c>
      <c r="B481" s="62"/>
      <c r="C481" s="62"/>
      <c r="D481" s="63">
        <v>1.5</v>
      </c>
      <c r="E481" s="65"/>
      <c r="F481" s="97" t="str">
        <f>HYPERLINK("https://pbs.twimg.com/profile_images/1708277825701019648/J42whn52_normal.png")</f>
        <v>https://pbs.twimg.com/profile_images/1708277825701019648/J42whn52_normal.png</v>
      </c>
      <c r="G481" s="62" t="s">
        <v>51</v>
      </c>
      <c r="H481" s="66"/>
      <c r="I481" s="67"/>
      <c r="J481" s="67"/>
      <c r="K481" s="66" t="s">
        <v>4800</v>
      </c>
      <c r="L481" s="70"/>
      <c r="M481" s="71">
        <v>8083.69091796875</v>
      </c>
      <c r="N481" s="71">
        <v>8325.9287109375</v>
      </c>
      <c r="O481" s="72"/>
      <c r="P481" s="73"/>
      <c r="Q481" s="73"/>
      <c r="R481" s="81"/>
      <c r="S481" s="45">
        <v>0</v>
      </c>
      <c r="T481" s="45">
        <v>0</v>
      </c>
      <c r="U481" s="46">
        <v>0</v>
      </c>
      <c r="V481" s="46">
        <v>0</v>
      </c>
      <c r="W481" s="47"/>
      <c r="X481" s="47"/>
      <c r="Y481" s="47"/>
      <c r="Z481" s="46"/>
      <c r="AA481" s="68">
        <v>481</v>
      </c>
      <c r="AB481"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81" s="69"/>
      <c r="AD481" t="s">
        <v>3151</v>
      </c>
      <c r="AE481" s="77" t="s">
        <v>3396</v>
      </c>
      <c r="AF481">
        <v>103</v>
      </c>
      <c r="AG481">
        <v>65</v>
      </c>
      <c r="AH481">
        <v>5778</v>
      </c>
      <c r="AI481">
        <v>1</v>
      </c>
      <c r="AJ481">
        <v>4135</v>
      </c>
      <c r="AK481">
        <v>98</v>
      </c>
      <c r="AL481" t="b">
        <v>0</v>
      </c>
      <c r="AM481" s="76">
        <v>44167.893831018519</v>
      </c>
      <c r="AO481" t="s">
        <v>4052</v>
      </c>
      <c r="AV481">
        <v>1.33429815188959E+18</v>
      </c>
      <c r="AX481" t="b">
        <v>0</v>
      </c>
      <c r="BA481" t="b">
        <v>0</v>
      </c>
      <c r="BB481" t="b">
        <v>1</v>
      </c>
      <c r="BC481" t="b">
        <v>1</v>
      </c>
      <c r="BD481" t="b">
        <v>0</v>
      </c>
      <c r="BE481" t="b">
        <v>0</v>
      </c>
      <c r="BF481" t="b">
        <v>0</v>
      </c>
      <c r="BG481" t="b">
        <v>0</v>
      </c>
      <c r="BH481" s="79" t="str">
        <f>HYPERLINK("https://pbs.twimg.com/profile_banners/1334247697163964425/1696120148")</f>
        <v>https://pbs.twimg.com/profile_banners/1334247697163964425/1696120148</v>
      </c>
      <c r="BJ481" t="s">
        <v>4320</v>
      </c>
      <c r="BK481" t="b">
        <v>0</v>
      </c>
      <c r="BM481" t="s">
        <v>66</v>
      </c>
      <c r="BN481" t="s">
        <v>4322</v>
      </c>
      <c r="BO481" s="79" t="str">
        <f>HYPERLINK("https://twitter.com/kxngofxce")</f>
        <v>https://twitter.com/kxngofxce</v>
      </c>
      <c r="BP481" s="112" t="e">
        <f>REPLACE(INDEX(GroupVertices[Group], MATCH("~"&amp;Vertices[[#This Row],[Vertex]],GroupVertices[Vertex],0)),1,1,"")</f>
        <v>#N/A</v>
      </c>
      <c r="BQ481" s="2"/>
    </row>
    <row r="482" spans="1:69" x14ac:dyDescent="0.25">
      <c r="A482" s="61" t="s">
        <v>2646</v>
      </c>
      <c r="B482" s="62"/>
      <c r="C482" s="62"/>
      <c r="D482" s="63">
        <v>1.5</v>
      </c>
      <c r="E482" s="65"/>
      <c r="F482" s="97" t="str">
        <f>HYPERLINK("https://pbs.twimg.com/profile_images/1505847178169921538/0RxtiS5H_normal.jpg")</f>
        <v>https://pbs.twimg.com/profile_images/1505847178169921538/0RxtiS5H_normal.jpg</v>
      </c>
      <c r="G482" s="62" t="s">
        <v>51</v>
      </c>
      <c r="H482" s="66"/>
      <c r="I482" s="67"/>
      <c r="J482" s="67"/>
      <c r="K482" s="66" t="s">
        <v>4801</v>
      </c>
      <c r="L482" s="70"/>
      <c r="M482" s="71">
        <v>8330.4755859375</v>
      </c>
      <c r="N482" s="71">
        <v>2385.174072265625</v>
      </c>
      <c r="O482" s="72"/>
      <c r="P482" s="73"/>
      <c r="Q482" s="73"/>
      <c r="R482" s="81"/>
      <c r="S482" s="45">
        <v>0</v>
      </c>
      <c r="T482" s="45">
        <v>0</v>
      </c>
      <c r="U482" s="46">
        <v>0</v>
      </c>
      <c r="V482" s="46">
        <v>0</v>
      </c>
      <c r="W482" s="47"/>
      <c r="X482" s="47"/>
      <c r="Y482" s="47"/>
      <c r="Z482" s="46"/>
      <c r="AA482" s="68">
        <v>482</v>
      </c>
      <c r="AB482"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82" s="69"/>
      <c r="AD482" t="s">
        <v>3152</v>
      </c>
      <c r="AE482" s="77" t="s">
        <v>3397</v>
      </c>
      <c r="AF482">
        <v>295</v>
      </c>
      <c r="AG482">
        <v>641</v>
      </c>
      <c r="AH482">
        <v>7368</v>
      </c>
      <c r="AI482">
        <v>5</v>
      </c>
      <c r="AJ482">
        <v>4813</v>
      </c>
      <c r="AK482">
        <v>100</v>
      </c>
      <c r="AL482" t="b">
        <v>0</v>
      </c>
      <c r="AM482" s="76">
        <v>40106.685567129629</v>
      </c>
      <c r="AN482" t="s">
        <v>3432</v>
      </c>
      <c r="AO482" t="s">
        <v>4053</v>
      </c>
      <c r="AP482" s="79" t="str">
        <f>HYPERLINK("https://t.co/1A1fWuq91L")</f>
        <v>https://t.co/1A1fWuq91L</v>
      </c>
      <c r="AQ482" s="79" t="str">
        <f>HYPERLINK("http://linktr.ee/ps_martin")</f>
        <v>http://linktr.ee/ps_martin</v>
      </c>
      <c r="AR482" t="s">
        <v>4236</v>
      </c>
      <c r="AV482">
        <v>1.2904359986026701E+18</v>
      </c>
      <c r="AW482" s="79" t="str">
        <f>HYPERLINK("https://t.co/1A1fWuq91L")</f>
        <v>https://t.co/1A1fWuq91L</v>
      </c>
      <c r="AX482" t="b">
        <v>0</v>
      </c>
      <c r="AZ482" t="b">
        <v>0</v>
      </c>
      <c r="BA482" t="b">
        <v>1</v>
      </c>
      <c r="BB482" t="b">
        <v>0</v>
      </c>
      <c r="BC482" t="b">
        <v>0</v>
      </c>
      <c r="BD482" t="b">
        <v>0</v>
      </c>
      <c r="BE482" t="b">
        <v>1</v>
      </c>
      <c r="BF482" t="b">
        <v>0</v>
      </c>
      <c r="BG482" t="b">
        <v>0</v>
      </c>
      <c r="BH482" s="79" t="str">
        <f>HYPERLINK("https://pbs.twimg.com/profile_banners/83876461/1465770018")</f>
        <v>https://pbs.twimg.com/profile_banners/83876461/1465770018</v>
      </c>
      <c r="BJ482" t="s">
        <v>4320</v>
      </c>
      <c r="BK482" t="b">
        <v>0</v>
      </c>
      <c r="BM482" t="s">
        <v>65</v>
      </c>
      <c r="BN482" t="s">
        <v>4322</v>
      </c>
      <c r="BO482" s="79" t="str">
        <f>HYPERLINK("https://twitter.com/ps_martin_")</f>
        <v>https://twitter.com/ps_martin_</v>
      </c>
      <c r="BP482" s="112" t="e">
        <f>REPLACE(INDEX(GroupVertices[Group], MATCH("~"&amp;Vertices[[#This Row],[Vertex]],GroupVertices[Vertex],0)),1,1,"")</f>
        <v>#N/A</v>
      </c>
      <c r="BQ482" s="2"/>
    </row>
    <row r="483" spans="1:69" x14ac:dyDescent="0.25">
      <c r="A483" s="61" t="s">
        <v>1262</v>
      </c>
      <c r="B483" s="62"/>
      <c r="C483" s="62"/>
      <c r="D483" s="63">
        <v>1.5</v>
      </c>
      <c r="E483" s="65"/>
      <c r="F483" s="97" t="str">
        <f>HYPERLINK("https://pbs.twimg.com/profile_images/1922043633164804097/NgiqzuxO_normal.jpg")</f>
        <v>https://pbs.twimg.com/profile_images/1922043633164804097/NgiqzuxO_normal.jpg</v>
      </c>
      <c r="G483" s="62" t="s">
        <v>51</v>
      </c>
      <c r="H483" s="66"/>
      <c r="I483" s="67"/>
      <c r="J483" s="67"/>
      <c r="K483" s="66" t="s">
        <v>4802</v>
      </c>
      <c r="L483" s="70"/>
      <c r="M483" s="71">
        <v>8647.4326171875</v>
      </c>
      <c r="N483" s="71">
        <v>1562.1285400390625</v>
      </c>
      <c r="O483" s="72"/>
      <c r="P483" s="73"/>
      <c r="Q483" s="73"/>
      <c r="R483" s="81"/>
      <c r="S483" s="45">
        <v>0</v>
      </c>
      <c r="T483" s="45">
        <v>0</v>
      </c>
      <c r="U483" s="46">
        <v>0</v>
      </c>
      <c r="V483" s="46">
        <v>0</v>
      </c>
      <c r="W483" s="47"/>
      <c r="X483" s="47"/>
      <c r="Y483" s="47"/>
      <c r="Z483" s="46"/>
      <c r="AA483" s="68">
        <v>483</v>
      </c>
      <c r="AB483" s="68"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83" s="69"/>
      <c r="AD483" t="s">
        <v>3153</v>
      </c>
      <c r="AE483" s="77" t="s">
        <v>3398</v>
      </c>
      <c r="AF483">
        <v>8859</v>
      </c>
      <c r="AG483">
        <v>8188</v>
      </c>
      <c r="AH483">
        <v>28630</v>
      </c>
      <c r="AI483">
        <v>4</v>
      </c>
      <c r="AJ483">
        <v>96743</v>
      </c>
      <c r="AK483">
        <v>1224</v>
      </c>
      <c r="AL483" t="b">
        <v>0</v>
      </c>
      <c r="AM483" s="76">
        <v>41041.99832175926</v>
      </c>
      <c r="AN483" t="s">
        <v>3410</v>
      </c>
      <c r="AO483" t="s">
        <v>4054</v>
      </c>
      <c r="AV483">
        <v>1.8481133509176399E+18</v>
      </c>
      <c r="AX483" t="b">
        <v>1</v>
      </c>
      <c r="AZ483" t="b">
        <v>0</v>
      </c>
      <c r="BA483" t="b">
        <v>0</v>
      </c>
      <c r="BB483" t="b">
        <v>0</v>
      </c>
      <c r="BC483" t="b">
        <v>1</v>
      </c>
      <c r="BD483" t="b">
        <v>0</v>
      </c>
      <c r="BE483" t="b">
        <v>0</v>
      </c>
      <c r="BF483" t="b">
        <v>0</v>
      </c>
      <c r="BG483" t="b">
        <v>0</v>
      </c>
      <c r="BH483" s="79" t="str">
        <f>HYPERLINK("https://pbs.twimg.com/profile_banners/578494949/1747085966")</f>
        <v>https://pbs.twimg.com/profile_banners/578494949/1747085966</v>
      </c>
      <c r="BJ483" t="s">
        <v>4320</v>
      </c>
      <c r="BK483" t="b">
        <v>0</v>
      </c>
      <c r="BM483" t="s">
        <v>65</v>
      </c>
      <c r="BN483" t="s">
        <v>4322</v>
      </c>
      <c r="BO483" s="79" t="str">
        <f>HYPERLINK("https://twitter.com/carlatornasol")</f>
        <v>https://twitter.com/carlatornasol</v>
      </c>
      <c r="BP483" s="112" t="e">
        <f>REPLACE(INDEX(GroupVertices[Group], MATCH("~"&amp;Vertices[[#This Row],[Vertex]],GroupVertices[Vertex],0)),1,1,"")</f>
        <v>#N/A</v>
      </c>
      <c r="BQ483" s="2"/>
    </row>
    <row r="484" spans="1:69" x14ac:dyDescent="0.25">
      <c r="A484" s="82" t="s">
        <v>1230</v>
      </c>
      <c r="B484" s="83"/>
      <c r="C484" s="83"/>
      <c r="D484" s="84">
        <v>1.5</v>
      </c>
      <c r="E484" s="85"/>
      <c r="F484" s="98" t="str">
        <f>HYPERLINK("https://pbs.twimg.com/profile_images/1800252676774543360/Mp0LsmmO_normal.jpg")</f>
        <v>https://pbs.twimg.com/profile_images/1800252676774543360/Mp0LsmmO_normal.jpg</v>
      </c>
      <c r="G484" s="83" t="s">
        <v>51</v>
      </c>
      <c r="H484" s="86"/>
      <c r="I484" s="87"/>
      <c r="J484" s="87"/>
      <c r="K484" s="86" t="s">
        <v>4803</v>
      </c>
      <c r="L484" s="88"/>
      <c r="M484" s="89">
        <v>9315.4072265625</v>
      </c>
      <c r="N484" s="89">
        <v>8694.076171875</v>
      </c>
      <c r="O484" s="90"/>
      <c r="P484" s="91"/>
      <c r="Q484" s="91"/>
      <c r="R484" s="92"/>
      <c r="S484" s="45">
        <v>0</v>
      </c>
      <c r="T484" s="45">
        <v>0</v>
      </c>
      <c r="U484" s="46">
        <v>0</v>
      </c>
      <c r="V484" s="46">
        <v>0</v>
      </c>
      <c r="W484" s="93"/>
      <c r="X484" s="93"/>
      <c r="Y484" s="93"/>
      <c r="Z484" s="94"/>
      <c r="AA484" s="95">
        <v>484</v>
      </c>
      <c r="AB484" s="95" t="b">
        <f xml:space="preserve"> IF(AND(OR(NOT(ISNUMBER(Vertices[[#This Row],[Size]])), Vertices[[#This Row],[Size]] &gt;= Misc!$O$10), OR(NOT(ISNUMBER(Vertices[[#This Row],[Size]])), Vertices[[#This Row],[Size]] &lt;= Misc!$P$10),OR(NOT(ISNUMBER(Vertices[[#This Row],[X]])), Vertices[[#This Row],[X]] &gt;= Misc!$O$11), OR(NOT(ISNUMBER(Vertices[[#This Row],[X]])), Vertices[[#This Row],[X]] &lt;= Misc!$P$11),OR(NOT(ISNUMBER(Vertices[[#This Row],[Y]])), Vertices[[#This Row],[Y]] &gt;= Misc!$O$12), OR(NOT(ISNUMBER(Vertices[[#This Row],[Y]])), Vertices[[#This Row],[Y]] &lt;= Misc!$P$12),OR(NOT(ISNUMBER(Vertices[[#This Row],[,,,,]])), Vertices[[#This Row],[,,,,]] &gt;= Misc!$O$13), OR(NOT(ISNUMBER(Vertices[[#This Row],[,,,,]])), Vertices[[#This Row],[,,,,]] &lt;= Misc!$P$13),OR(NOT(ISNUMBER(Vertices[[#This Row],[Out-Degree]])), Vertices[[#This Row],[Out-Degree]] &gt;= Misc!$O$14), OR(NOT(ISNUMBER(Vertices[[#This Row],[Out-Degree]])), Vertices[[#This Row],[Out-Degree]] &lt;= Misc!$P$14),OR(NOT(ISNUMBER(Vertices[[#This Row],[Betweenness Centrality]])), Vertices[[#This Row],[Betweenness Centrality]] &gt;= Misc!$O$15), OR(NOT(ISNUMBER(Vertices[[#This Row],[Betweenness Centrality]])), Vertices[[#This Row],[Betweenness Centrality]] &lt;= Misc!$P$15),OR(NOT(ISNUMBER(Vertices[[#This Row],[Closeness Centrality]])), Vertices[[#This Row],[Closeness Centrality]] &gt;= Misc!$O$16), OR(NOT(ISNUMBER(Vertices[[#This Row],[Closeness Centrality]])), Vertices[[#This Row],[Closeness Centrality]] &lt;= Misc!$P$16),OR(NOT(ISNUMBER(Vertices[[#This Row],[Followers]])), Vertices[[#This Row],[Followers]] &gt;= Misc!$O$17), OR(NOT(ISNUMBER(Vertices[[#This Row],[Followers]])), Vertices[[#This Row],[Followers]] &lt;= Misc!$P$17),OR(NOT(ISNUMBER(Vertices[[#This Row],[Followed]])), Vertices[[#This Row],[Followed]] &gt;= Misc!$O$18), OR(NOT(ISNUMBER(Vertices[[#This Row],[Followed]])), Vertices[[#This Row],[Followed]] &lt;= Misc!$P$18),OR(NOT(ISNUMBER(Vertices[[#This Row],[Tweets]])), Vertices[[#This Row],[Tweets]] &gt;= Misc!$O$19), OR(NOT(ISNUMBER(Vertices[[#This Row],[Tweets]])), Vertices[[#This Row],[Tweets]] &lt;= Misc!$P$19),OR(NOT(ISNUMBER(Vertices[[#This Row],[Listed Count]])), Vertices[[#This Row],[Listed Count]] &gt;= Misc!$O$20), OR(NOT(ISNUMBER(Vertices[[#This Row],[Listed Count]])), Vertices[[#This Row],[Listed Count]] &lt;= Misc!$P$20),OR(NOT(ISNUMBER(Vertices[[#This Row],[Favourites Count]])), Vertices[[#This Row],[Favourites Count]] &gt;= Misc!$O$21), OR(NOT(ISNUMBER(Vertices[[#This Row],[Favourites Count]])), Vertices[[#This Row],[Favourites Count]] &lt;= Misc!$P$21),OR(NOT(ISNUMBER(Vertices[[#This Row],[Media Count]])), Vertices[[#This Row],[Media Count]] &gt;= Misc!$O$22), OR(NOT(ISNUMBER(Vertices[[#This Row],[Media Count]])), Vertices[[#This Row],[Media Count]] &lt;= Misc!$P$22),OR(NOT(ISNUMBER(Vertices[[#This Row],[Joined Twitter Date (UTC)]])), Vertices[[#This Row],[Joined Twitter Date (UTC)]] &gt;= Misc!$O$23), OR(NOT(ISNUMBER(Vertices[[#This Row],[Joined Twitter Date (UTC)]])), Vertices[[#This Row],[Joined Twitter Date (UTC)]] &lt;= Misc!$P$23),TRUE), TRUE, FALSE)</f>
        <v>1</v>
      </c>
      <c r="AC484" s="96"/>
      <c r="AD484" t="s">
        <v>3154</v>
      </c>
      <c r="AE484" s="77" t="s">
        <v>3399</v>
      </c>
      <c r="AF484">
        <v>4024</v>
      </c>
      <c r="AG484">
        <v>697</v>
      </c>
      <c r="AH484">
        <v>8654</v>
      </c>
      <c r="AI484">
        <v>4</v>
      </c>
      <c r="AJ484">
        <v>23758</v>
      </c>
      <c r="AK484">
        <v>1275</v>
      </c>
      <c r="AL484" t="b">
        <v>0</v>
      </c>
      <c r="AM484" s="76">
        <v>44184.166759259257</v>
      </c>
      <c r="AN484" t="s">
        <v>3634</v>
      </c>
      <c r="AO484" t="s">
        <v>4055</v>
      </c>
      <c r="AP484" s="79" t="str">
        <f>HYPERLINK("https://t.co/13eukW3bKY")</f>
        <v>https://t.co/13eukW3bKY</v>
      </c>
      <c r="AQ484" s="79" t="str">
        <f>HYPERLINK("http://instagr.am/gonzavpl")</f>
        <v>http://instagr.am/gonzavpl</v>
      </c>
      <c r="AR484" t="s">
        <v>4237</v>
      </c>
      <c r="AV484">
        <v>1.8731906590223201E+18</v>
      </c>
      <c r="AW484" s="79" t="str">
        <f>HYPERLINK("https://t.co/13eukW3bKY")</f>
        <v>https://t.co/13eukW3bKY</v>
      </c>
      <c r="AX484" t="b">
        <v>0</v>
      </c>
      <c r="AZ484" t="b">
        <v>0</v>
      </c>
      <c r="BA484" t="b">
        <v>1</v>
      </c>
      <c r="BB484" t="b">
        <v>0</v>
      </c>
      <c r="BC484" t="b">
        <v>1</v>
      </c>
      <c r="BD484" t="b">
        <v>0</v>
      </c>
      <c r="BE484" t="b">
        <v>1</v>
      </c>
      <c r="BF484" t="b">
        <v>0</v>
      </c>
      <c r="BG484" t="b">
        <v>0</v>
      </c>
      <c r="BH484" s="79" t="str">
        <f>HYPERLINK("https://pbs.twimg.com/profile_banners/1340144769914318849/1659224474")</f>
        <v>https://pbs.twimg.com/profile_banners/1340144769914318849/1659224474</v>
      </c>
      <c r="BJ484" t="s">
        <v>4320</v>
      </c>
      <c r="BK484" t="b">
        <v>0</v>
      </c>
      <c r="BM484" t="s">
        <v>65</v>
      </c>
      <c r="BN484" t="s">
        <v>4322</v>
      </c>
      <c r="BO484" s="79" t="str">
        <f>HYPERLINK("https://twitter.com/gonzavpl")</f>
        <v>https://twitter.com/gonzavpl</v>
      </c>
      <c r="BP484" s="112" t="e">
        <f>REPLACE(INDEX(GroupVertices[Group], MATCH("~"&amp;Vertices[[#This Row],[Vertex]],GroupVertices[Vertex],0)),1,1,"")</f>
        <v>#N/A</v>
      </c>
      <c r="BQ484" s="2"/>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484" xr:uid="{00000000-0002-0000-0100-000000000000}"/>
    <dataValidation allowBlank="1" errorTitle="Invalid Vertex Visibility" error="You have entered an unrecognized vertex visibility.  Try selecting from the drop-down list instead." sqref="BQ3" xr:uid="{00000000-0002-0000-0100-000001000000}"/>
    <dataValidation allowBlank="1" showErrorMessage="1" sqref="BQ2" xr:uid="{00000000-0002-0000-0100-000002000000}"/>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484" xr:uid="{00000000-0002-0000-0100-0000030000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484" xr:uid="{00000000-0002-0000-0100-0000040000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484" xr:uid="{00000000-0002-0000-0100-0000050000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484" xr:uid="{00000000-0002-0000-0100-0000060000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484" xr:uid="{00000000-0002-0000-0100-000007000000}"/>
    <dataValidation allowBlank="1" showInputMessage="1" errorTitle="Invalid Vertex Image Key" promptTitle="Vertex Tooltip" prompt="Enter optional text that will pop up when the mouse is hovered over the vertex." sqref="K3:K484" xr:uid="{00000000-0002-0000-0100-000008000000}"/>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484" xr:uid="{00000000-0002-0000-0100-00000900000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484" xr:uid="{00000000-0002-0000-0100-00000A000000}">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484" xr:uid="{00000000-0002-0000-0100-00000B000000}"/>
    <dataValidation allowBlank="1" showInputMessage="1" promptTitle="Vertex Label Fill Color" prompt="To select an optional fill color for the Label shape, right-click and select Select Color on the right-click menu." sqref="I3:I484" xr:uid="{00000000-0002-0000-0100-00000C000000}"/>
    <dataValidation allowBlank="1" showInputMessage="1" errorTitle="Invalid Vertex Image Key" promptTitle="Vertex Image File" prompt="Enter the path to an image file.  Hover over the column header for examples." sqref="F3:F484" xr:uid="{00000000-0002-0000-0100-00000D000000}"/>
    <dataValidation allowBlank="1" showInputMessage="1" promptTitle="Vertex Color" prompt="To select an optional vertex color, right-click and select Select Color on the right-click menu." sqref="B3:B484" xr:uid="{00000000-0002-0000-0100-00000E000000}"/>
    <dataValidation allowBlank="1" showInputMessage="1" errorTitle="Invalid Vertex Opacity" error="The optional vertex opacity must be a whole number between 0 and 10." promptTitle="Vertex Opacity" prompt="Enter an optional vertex opacity between 0 (transparent) and 100 (opaque)." sqref="E3:E484" xr:uid="{00000000-0002-0000-0100-00000F000000}"/>
    <dataValidation type="list" allowBlank="1" showInputMessage="1" showErrorMessage="1" errorTitle="Invalid Vertex Shape" error="You have entered an invalid vertex shape.  Try selecting from the drop-down list instead." promptTitle="Vertex Shape" prompt="Select an optional vertex shape." sqref="C3:C484" xr:uid="{00000000-0002-0000-0100-00001000000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484" xr:uid="{00000000-0002-0000-0100-00001100000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484" xr:uid="{00000000-0002-0000-0100-000012000000}">
      <formula1>ValidVertexLabelPositions</formula1>
    </dataValidation>
    <dataValidation allowBlank="1" showInputMessage="1" showErrorMessage="1" promptTitle="Vertex Name" prompt="Enter the name of the vertex." sqref="A3:A484" xr:uid="{00000000-0002-0000-0100-000013000000}"/>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baseColWidth="10" defaultColWidth="9.140625" defaultRowHeight="15" x14ac:dyDescent="0.25"/>
  <cols>
    <col min="1" max="1" width="10.85546875" bestFit="1" customWidth="1"/>
    <col min="2" max="2" width="16.85546875" bestFit="1" customWidth="1"/>
    <col min="4" max="5" width="9.140625" customWidth="1"/>
  </cols>
  <sheetData>
    <row r="1" spans="1:1" x14ac:dyDescent="0.25">
      <c r="A1" t="s">
        <v>49</v>
      </c>
    </row>
    <row r="2" spans="1:1" ht="15" customHeight="1" x14ac:dyDescent="0.25"/>
    <row r="3" spans="1:1" ht="15" customHeight="1" x14ac:dyDescent="0.25">
      <c r="A3" s="28" t="s">
        <v>50</v>
      </c>
    </row>
    <row r="21" spans="4:4" x14ac:dyDescent="0.25">
      <c r="D21" s="6"/>
    </row>
  </sheetData>
  <dataConsolidate/>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214"/>
  <sheetViews>
    <sheetView topLeftCell="S1" workbookViewId="0">
      <pane ySplit="2" topLeftCell="A3" activePane="bottomLeft" state="frozen"/>
      <selection pane="bottomLeft" activeCell="T4" sqref="T4"/>
    </sheetView>
  </sheetViews>
  <sheetFormatPr baseColWidth="10" defaultColWidth="9.140625"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customWidth="1"/>
    <col min="12" max="12" width="9.7109375" customWidth="1"/>
    <col min="13" max="13" width="13.140625" customWidth="1"/>
    <col min="14" max="15" width="8.42578125" customWidth="1"/>
    <col min="16" max="16" width="18.28515625" customWidth="1"/>
    <col min="17" max="17" width="14.85546875" customWidth="1"/>
    <col min="18" max="18" width="14.5703125" customWidth="1"/>
    <col min="19" max="21" width="24.140625" customWidth="1"/>
    <col min="22" max="22" width="21.28515625" customWidth="1"/>
    <col min="23" max="23" width="19.28515625" customWidth="1"/>
    <col min="24" max="24" width="10" customWidth="1"/>
    <col min="25" max="25" width="13" customWidth="1"/>
  </cols>
  <sheetData>
    <row r="1" spans="1:24" x14ac:dyDescent="0.25">
      <c r="B1" s="51" t="s">
        <v>39</v>
      </c>
      <c r="C1" s="52"/>
      <c r="D1" s="52"/>
      <c r="E1" s="53"/>
      <c r="F1" s="50" t="s">
        <v>43</v>
      </c>
      <c r="G1" s="54" t="s">
        <v>44</v>
      </c>
      <c r="H1" s="55"/>
      <c r="I1" s="56" t="s">
        <v>40</v>
      </c>
      <c r="J1" s="57"/>
      <c r="K1" s="58" t="s">
        <v>42</v>
      </c>
      <c r="L1" s="59"/>
      <c r="M1" s="59"/>
      <c r="N1" s="59"/>
      <c r="O1" s="59"/>
      <c r="P1" s="59"/>
      <c r="Q1" s="59"/>
      <c r="R1" s="59"/>
      <c r="S1" s="59"/>
      <c r="T1" s="59"/>
      <c r="U1" s="59"/>
      <c r="V1" s="59"/>
      <c r="W1" s="59"/>
      <c r="X1" s="59"/>
    </row>
    <row r="2" spans="1:24" s="7" customFormat="1" ht="30" customHeight="1" x14ac:dyDescent="0.25">
      <c r="A2" s="10" t="s">
        <v>143</v>
      </c>
      <c r="B2" s="7" t="s">
        <v>21</v>
      </c>
      <c r="C2" s="7" t="s">
        <v>20</v>
      </c>
      <c r="D2" s="7" t="s">
        <v>11</v>
      </c>
      <c r="E2" s="7" t="s">
        <v>144</v>
      </c>
      <c r="F2" s="7" t="s">
        <v>46</v>
      </c>
      <c r="G2" s="7" t="s">
        <v>166</v>
      </c>
      <c r="H2" s="7" t="s">
        <v>167</v>
      </c>
      <c r="I2" s="7" t="s">
        <v>12</v>
      </c>
      <c r="J2" s="7" t="s">
        <v>165</v>
      </c>
      <c r="K2" s="7" t="s">
        <v>145</v>
      </c>
      <c r="L2" s="7" t="s">
        <v>147</v>
      </c>
      <c r="M2" s="7" t="s">
        <v>148</v>
      </c>
      <c r="N2" s="7" t="s">
        <v>149</v>
      </c>
      <c r="O2" s="7" t="s">
        <v>150</v>
      </c>
      <c r="P2" s="7" t="s">
        <v>169</v>
      </c>
      <c r="Q2" s="7" t="s">
        <v>170</v>
      </c>
      <c r="R2" s="7" t="s">
        <v>151</v>
      </c>
      <c r="S2" s="7" t="s">
        <v>152</v>
      </c>
      <c r="T2" s="7" t="s">
        <v>153</v>
      </c>
      <c r="U2" s="7" t="s">
        <v>154</v>
      </c>
      <c r="V2" s="7" t="s">
        <v>155</v>
      </c>
      <c r="W2" s="7" t="s">
        <v>156</v>
      </c>
      <c r="X2" s="7" t="s">
        <v>157</v>
      </c>
    </row>
    <row r="3" spans="1:24" x14ac:dyDescent="0.25">
      <c r="A3" s="61" t="s">
        <v>4837</v>
      </c>
      <c r="B3" s="62" t="s">
        <v>5049</v>
      </c>
      <c r="C3" s="62" t="s">
        <v>56</v>
      </c>
      <c r="D3" s="100"/>
      <c r="E3" s="11"/>
      <c r="F3" s="12"/>
      <c r="G3" s="60"/>
      <c r="H3" s="60"/>
      <c r="I3" s="101"/>
      <c r="J3" s="48"/>
      <c r="K3" s="43"/>
      <c r="L3" s="43"/>
      <c r="M3" s="43"/>
      <c r="N3" s="43"/>
      <c r="O3" s="43"/>
      <c r="P3" s="43"/>
      <c r="Q3" s="43"/>
      <c r="R3" s="43"/>
      <c r="S3" s="43"/>
      <c r="T3" s="43"/>
      <c r="U3" s="43"/>
      <c r="V3" s="43"/>
      <c r="W3" s="44"/>
      <c r="X3" s="44"/>
    </row>
    <row r="4" spans="1:24" x14ac:dyDescent="0.25">
      <c r="A4" s="102" t="s">
        <v>4838</v>
      </c>
      <c r="B4" s="62" t="s">
        <v>5050</v>
      </c>
      <c r="C4" s="62" t="s">
        <v>56</v>
      </c>
      <c r="D4" s="103"/>
      <c r="E4" s="11"/>
      <c r="F4" s="12"/>
      <c r="G4" s="60"/>
      <c r="H4" s="60"/>
      <c r="I4" s="101"/>
      <c r="J4" s="74"/>
      <c r="K4" s="43"/>
      <c r="L4" s="43"/>
      <c r="M4" s="43"/>
      <c r="N4" s="43"/>
      <c r="O4" s="43"/>
      <c r="P4" s="43"/>
      <c r="Q4" s="43"/>
      <c r="R4" s="43"/>
      <c r="S4" s="43"/>
      <c r="T4" s="43"/>
      <c r="U4" s="43"/>
      <c r="V4" s="43"/>
      <c r="W4" s="44"/>
      <c r="X4" s="44"/>
    </row>
    <row r="5" spans="1:24" x14ac:dyDescent="0.25">
      <c r="A5" s="102" t="s">
        <v>4839</v>
      </c>
      <c r="B5" s="62" t="s">
        <v>5051</v>
      </c>
      <c r="C5" s="62" t="s">
        <v>56</v>
      </c>
      <c r="D5" s="103"/>
      <c r="E5" s="11"/>
      <c r="F5" s="12"/>
      <c r="G5" s="60"/>
      <c r="H5" s="60"/>
      <c r="I5" s="101"/>
      <c r="J5" s="74"/>
      <c r="K5" s="43"/>
      <c r="L5" s="43"/>
      <c r="M5" s="43"/>
      <c r="N5" s="43"/>
      <c r="O5" s="43"/>
      <c r="P5" s="43"/>
      <c r="Q5" s="43"/>
      <c r="R5" s="43"/>
      <c r="S5" s="43"/>
      <c r="T5" s="43"/>
      <c r="U5" s="43"/>
      <c r="V5" s="43"/>
      <c r="W5" s="44"/>
      <c r="X5" s="44"/>
    </row>
    <row r="6" spans="1:24" x14ac:dyDescent="0.25">
      <c r="A6" s="102" t="s">
        <v>4840</v>
      </c>
      <c r="B6" s="62" t="s">
        <v>5052</v>
      </c>
      <c r="C6" s="62" t="s">
        <v>56</v>
      </c>
      <c r="D6" s="103"/>
      <c r="E6" s="11"/>
      <c r="F6" s="12"/>
      <c r="G6" s="60"/>
      <c r="H6" s="60"/>
      <c r="I6" s="101"/>
      <c r="J6" s="74"/>
      <c r="K6" s="43"/>
      <c r="L6" s="43"/>
      <c r="M6" s="43"/>
      <c r="N6" s="43"/>
      <c r="O6" s="43"/>
      <c r="P6" s="43"/>
      <c r="Q6" s="43"/>
      <c r="R6" s="43"/>
      <c r="S6" s="43"/>
      <c r="T6" s="43"/>
      <c r="U6" s="43"/>
      <c r="V6" s="43"/>
      <c r="W6" s="44"/>
      <c r="X6" s="44"/>
    </row>
    <row r="7" spans="1:24" x14ac:dyDescent="0.25">
      <c r="A7" s="102" t="s">
        <v>4841</v>
      </c>
      <c r="B7" s="62" t="s">
        <v>5053</v>
      </c>
      <c r="C7" s="62" t="s">
        <v>56</v>
      </c>
      <c r="D7" s="103"/>
      <c r="E7" s="11"/>
      <c r="F7" s="12"/>
      <c r="G7" s="60"/>
      <c r="H7" s="60"/>
      <c r="I7" s="101"/>
      <c r="J7" s="74"/>
      <c r="K7" s="43"/>
      <c r="L7" s="43"/>
      <c r="M7" s="43"/>
      <c r="N7" s="43"/>
      <c r="O7" s="43"/>
      <c r="P7" s="43"/>
      <c r="Q7" s="43"/>
      <c r="R7" s="43"/>
      <c r="S7" s="43"/>
      <c r="T7" s="43"/>
      <c r="U7" s="43"/>
      <c r="V7" s="43"/>
      <c r="W7" s="44"/>
      <c r="X7" s="44"/>
    </row>
    <row r="8" spans="1:24" x14ac:dyDescent="0.25">
      <c r="A8" s="102" t="s">
        <v>4842</v>
      </c>
      <c r="B8" s="62" t="s">
        <v>5054</v>
      </c>
      <c r="C8" s="62" t="s">
        <v>56</v>
      </c>
      <c r="D8" s="103"/>
      <c r="E8" s="11"/>
      <c r="F8" s="12"/>
      <c r="G8" s="60"/>
      <c r="H8" s="60"/>
      <c r="I8" s="101"/>
      <c r="J8" s="74"/>
      <c r="K8" s="43"/>
      <c r="L8" s="43"/>
      <c r="M8" s="43"/>
      <c r="N8" s="43"/>
      <c r="O8" s="43"/>
      <c r="P8" s="43"/>
      <c r="Q8" s="43"/>
      <c r="R8" s="43"/>
      <c r="S8" s="43"/>
      <c r="T8" s="43"/>
      <c r="U8" s="43"/>
      <c r="V8" s="43"/>
      <c r="W8" s="44"/>
      <c r="X8" s="44"/>
    </row>
    <row r="9" spans="1:24" x14ac:dyDescent="0.25">
      <c r="A9" s="102" t="s">
        <v>4843</v>
      </c>
      <c r="B9" s="62" t="s">
        <v>5055</v>
      </c>
      <c r="C9" s="62" t="s">
        <v>56</v>
      </c>
      <c r="D9" s="103"/>
      <c r="E9" s="11"/>
      <c r="F9" s="12"/>
      <c r="G9" s="60"/>
      <c r="H9" s="60"/>
      <c r="I9" s="101"/>
      <c r="J9" s="74"/>
      <c r="K9" s="43"/>
      <c r="L9" s="43"/>
      <c r="M9" s="43"/>
      <c r="N9" s="43"/>
      <c r="O9" s="43"/>
      <c r="P9" s="43"/>
      <c r="Q9" s="43"/>
      <c r="R9" s="43"/>
      <c r="S9" s="43"/>
      <c r="T9" s="43"/>
      <c r="U9" s="43"/>
      <c r="V9" s="43"/>
      <c r="W9" s="44"/>
      <c r="X9" s="44"/>
    </row>
    <row r="10" spans="1:24" ht="14.25" customHeight="1" x14ac:dyDescent="0.25">
      <c r="A10" s="102" t="s">
        <v>4844</v>
      </c>
      <c r="B10" s="62" t="s">
        <v>5056</v>
      </c>
      <c r="C10" s="62" t="s">
        <v>56</v>
      </c>
      <c r="D10" s="103"/>
      <c r="E10" s="11"/>
      <c r="F10" s="12"/>
      <c r="G10" s="60"/>
      <c r="H10" s="60"/>
      <c r="I10" s="101"/>
      <c r="J10" s="74"/>
      <c r="K10" s="43"/>
      <c r="L10" s="43"/>
      <c r="M10" s="43"/>
      <c r="N10" s="43"/>
      <c r="O10" s="43"/>
      <c r="P10" s="43"/>
      <c r="Q10" s="43"/>
      <c r="R10" s="43"/>
      <c r="S10" s="43"/>
      <c r="T10" s="43"/>
      <c r="U10" s="43"/>
      <c r="V10" s="43"/>
      <c r="W10" s="44"/>
      <c r="X10" s="44"/>
    </row>
    <row r="11" spans="1:24" x14ac:dyDescent="0.25">
      <c r="A11" s="102" t="s">
        <v>4845</v>
      </c>
      <c r="B11" s="62" t="s">
        <v>5057</v>
      </c>
      <c r="C11" s="62" t="s">
        <v>56</v>
      </c>
      <c r="D11" s="103"/>
      <c r="E11" s="11"/>
      <c r="F11" s="12"/>
      <c r="G11" s="60"/>
      <c r="H11" s="60"/>
      <c r="I11" s="101"/>
      <c r="J11" s="74"/>
      <c r="K11" s="43"/>
      <c r="L11" s="43"/>
      <c r="M11" s="43"/>
      <c r="N11" s="43"/>
      <c r="O11" s="43"/>
      <c r="P11" s="43"/>
      <c r="Q11" s="43"/>
      <c r="R11" s="43"/>
      <c r="S11" s="43"/>
      <c r="T11" s="43"/>
      <c r="U11" s="43"/>
      <c r="V11" s="43"/>
      <c r="W11" s="44"/>
      <c r="X11" s="44"/>
    </row>
    <row r="12" spans="1:24" x14ac:dyDescent="0.25">
      <c r="A12" s="102" t="s">
        <v>4846</v>
      </c>
      <c r="B12" s="62" t="s">
        <v>5058</v>
      </c>
      <c r="C12" s="62" t="s">
        <v>56</v>
      </c>
      <c r="D12" s="103"/>
      <c r="E12" s="11"/>
      <c r="F12" s="12"/>
      <c r="G12" s="60"/>
      <c r="H12" s="60"/>
      <c r="I12" s="101"/>
      <c r="J12" s="74"/>
      <c r="K12" s="43"/>
      <c r="L12" s="43"/>
      <c r="M12" s="43"/>
      <c r="N12" s="43"/>
      <c r="O12" s="43"/>
      <c r="P12" s="43"/>
      <c r="Q12" s="43"/>
      <c r="R12" s="43"/>
      <c r="S12" s="43"/>
      <c r="T12" s="43"/>
      <c r="U12" s="43"/>
      <c r="V12" s="43"/>
      <c r="W12" s="44"/>
      <c r="X12" s="44"/>
    </row>
    <row r="13" spans="1:24" x14ac:dyDescent="0.25">
      <c r="A13" s="102" t="s">
        <v>4847</v>
      </c>
      <c r="B13" s="62" t="s">
        <v>5059</v>
      </c>
      <c r="C13" s="62" t="s">
        <v>56</v>
      </c>
      <c r="D13" s="103"/>
      <c r="E13" s="11"/>
      <c r="F13" s="12"/>
      <c r="G13" s="60"/>
      <c r="H13" s="60"/>
      <c r="I13" s="101"/>
      <c r="J13" s="74"/>
      <c r="K13" s="43"/>
      <c r="L13" s="43"/>
      <c r="M13" s="43"/>
      <c r="N13" s="43"/>
      <c r="O13" s="43"/>
      <c r="P13" s="43"/>
      <c r="Q13" s="43"/>
      <c r="R13" s="43"/>
      <c r="S13" s="43"/>
      <c r="T13" s="43"/>
      <c r="U13" s="43"/>
      <c r="V13" s="43"/>
      <c r="W13" s="44"/>
      <c r="X13" s="44"/>
    </row>
    <row r="14" spans="1:24" x14ac:dyDescent="0.25">
      <c r="A14" s="102" t="s">
        <v>4848</v>
      </c>
      <c r="B14" s="62" t="s">
        <v>5060</v>
      </c>
      <c r="C14" s="62" t="s">
        <v>56</v>
      </c>
      <c r="D14" s="103"/>
      <c r="E14" s="11"/>
      <c r="F14" s="12"/>
      <c r="G14" s="60"/>
      <c r="H14" s="60"/>
      <c r="I14" s="101"/>
      <c r="J14" s="74"/>
      <c r="K14" s="43"/>
      <c r="L14" s="43"/>
      <c r="M14" s="43"/>
      <c r="N14" s="43"/>
      <c r="O14" s="43"/>
      <c r="P14" s="43"/>
      <c r="Q14" s="43"/>
      <c r="R14" s="43"/>
      <c r="S14" s="43"/>
      <c r="T14" s="43"/>
      <c r="U14" s="43"/>
      <c r="V14" s="43"/>
      <c r="W14" s="44"/>
      <c r="X14" s="44"/>
    </row>
    <row r="15" spans="1:24" x14ac:dyDescent="0.25">
      <c r="A15" s="102" t="s">
        <v>4849</v>
      </c>
      <c r="B15" s="62" t="s">
        <v>5049</v>
      </c>
      <c r="C15" s="62" t="s">
        <v>59</v>
      </c>
      <c r="D15" s="103"/>
      <c r="E15" s="11"/>
      <c r="F15" s="12"/>
      <c r="G15" s="60"/>
      <c r="H15" s="60"/>
      <c r="I15" s="101"/>
      <c r="J15" s="74"/>
      <c r="K15" s="43"/>
      <c r="L15" s="43"/>
      <c r="M15" s="43"/>
      <c r="N15" s="43"/>
      <c r="O15" s="43"/>
      <c r="P15" s="43"/>
      <c r="Q15" s="43"/>
      <c r="R15" s="43"/>
      <c r="S15" s="43"/>
      <c r="T15" s="43"/>
      <c r="U15" s="43"/>
      <c r="V15" s="43"/>
      <c r="W15" s="44"/>
      <c r="X15" s="44"/>
    </row>
    <row r="16" spans="1:24" x14ac:dyDescent="0.25">
      <c r="A16" s="102" t="s">
        <v>4850</v>
      </c>
      <c r="B16" s="62" t="s">
        <v>5050</v>
      </c>
      <c r="C16" s="62" t="s">
        <v>59</v>
      </c>
      <c r="D16" s="103"/>
      <c r="E16" s="11"/>
      <c r="F16" s="12"/>
      <c r="G16" s="60"/>
      <c r="H16" s="60"/>
      <c r="I16" s="101"/>
      <c r="J16" s="74"/>
      <c r="K16" s="43"/>
      <c r="L16" s="43"/>
      <c r="M16" s="43"/>
      <c r="N16" s="43"/>
      <c r="O16" s="43"/>
      <c r="P16" s="43"/>
      <c r="Q16" s="43"/>
      <c r="R16" s="43"/>
      <c r="S16" s="43"/>
      <c r="T16" s="43"/>
      <c r="U16" s="43"/>
      <c r="V16" s="43"/>
      <c r="W16" s="44"/>
      <c r="X16" s="44"/>
    </row>
    <row r="17" spans="1:24" x14ac:dyDescent="0.25">
      <c r="A17" s="102" t="s">
        <v>4851</v>
      </c>
      <c r="B17" s="62" t="s">
        <v>5051</v>
      </c>
      <c r="C17" s="62" t="s">
        <v>59</v>
      </c>
      <c r="D17" s="103"/>
      <c r="E17" s="11"/>
      <c r="F17" s="12"/>
      <c r="G17" s="60"/>
      <c r="H17" s="60"/>
      <c r="I17" s="101"/>
      <c r="J17" s="74"/>
      <c r="K17" s="43"/>
      <c r="L17" s="43"/>
      <c r="M17" s="43"/>
      <c r="N17" s="43"/>
      <c r="O17" s="43"/>
      <c r="P17" s="43"/>
      <c r="Q17" s="43"/>
      <c r="R17" s="43"/>
      <c r="S17" s="43"/>
      <c r="T17" s="43"/>
      <c r="U17" s="43"/>
      <c r="V17" s="43"/>
      <c r="W17" s="44"/>
      <c r="X17" s="44"/>
    </row>
    <row r="18" spans="1:24" x14ac:dyDescent="0.25">
      <c r="A18" s="102" t="s">
        <v>4852</v>
      </c>
      <c r="B18" s="62" t="s">
        <v>5052</v>
      </c>
      <c r="C18" s="62" t="s">
        <v>59</v>
      </c>
      <c r="D18" s="103"/>
      <c r="E18" s="11"/>
      <c r="F18" s="12"/>
      <c r="G18" s="60"/>
      <c r="H18" s="60"/>
      <c r="I18" s="101"/>
      <c r="J18" s="74"/>
      <c r="K18" s="43"/>
      <c r="L18" s="43"/>
      <c r="M18" s="43"/>
      <c r="N18" s="43"/>
      <c r="O18" s="43"/>
      <c r="P18" s="43"/>
      <c r="Q18" s="43"/>
      <c r="R18" s="43"/>
      <c r="S18" s="43"/>
      <c r="T18" s="43"/>
      <c r="U18" s="43"/>
      <c r="V18" s="43"/>
      <c r="W18" s="44"/>
      <c r="X18" s="44"/>
    </row>
    <row r="19" spans="1:24" x14ac:dyDescent="0.25">
      <c r="A19" s="102" t="s">
        <v>4853</v>
      </c>
      <c r="B19" s="62" t="s">
        <v>5053</v>
      </c>
      <c r="C19" s="62" t="s">
        <v>59</v>
      </c>
      <c r="D19" s="103"/>
      <c r="E19" s="11"/>
      <c r="F19" s="12"/>
      <c r="G19" s="60"/>
      <c r="H19" s="60"/>
      <c r="I19" s="101"/>
      <c r="J19" s="74"/>
      <c r="K19" s="43"/>
      <c r="L19" s="43"/>
      <c r="M19" s="43"/>
      <c r="N19" s="43"/>
      <c r="O19" s="43"/>
      <c r="P19" s="43"/>
      <c r="Q19" s="43"/>
      <c r="R19" s="43"/>
      <c r="S19" s="43"/>
      <c r="T19" s="43"/>
      <c r="U19" s="43"/>
      <c r="V19" s="43"/>
      <c r="W19" s="44"/>
      <c r="X19" s="44"/>
    </row>
    <row r="20" spans="1:24" x14ac:dyDescent="0.25">
      <c r="A20" s="102" t="s">
        <v>4854</v>
      </c>
      <c r="B20" s="62" t="s">
        <v>5054</v>
      </c>
      <c r="C20" s="62" t="s">
        <v>59</v>
      </c>
      <c r="D20" s="103"/>
      <c r="E20" s="11"/>
      <c r="F20" s="12"/>
      <c r="G20" s="60"/>
      <c r="H20" s="60"/>
      <c r="I20" s="101"/>
      <c r="J20" s="74"/>
      <c r="K20" s="43"/>
      <c r="L20" s="43"/>
      <c r="M20" s="43"/>
      <c r="N20" s="43"/>
      <c r="O20" s="43"/>
      <c r="P20" s="43"/>
      <c r="Q20" s="43"/>
      <c r="R20" s="43"/>
      <c r="S20" s="43"/>
      <c r="T20" s="43"/>
      <c r="U20" s="43"/>
      <c r="V20" s="43"/>
      <c r="W20" s="44"/>
      <c r="X20" s="44"/>
    </row>
    <row r="21" spans="1:24" x14ac:dyDescent="0.25">
      <c r="A21" s="102" t="s">
        <v>4855</v>
      </c>
      <c r="B21" s="62" t="s">
        <v>5055</v>
      </c>
      <c r="C21" s="62" t="s">
        <v>59</v>
      </c>
      <c r="D21" s="103"/>
      <c r="E21" s="11"/>
      <c r="F21" s="12"/>
      <c r="G21" s="60"/>
      <c r="H21" s="60"/>
      <c r="I21" s="101"/>
      <c r="J21" s="74"/>
      <c r="K21" s="43"/>
      <c r="L21" s="43"/>
      <c r="M21" s="43"/>
      <c r="N21" s="43"/>
      <c r="O21" s="43"/>
      <c r="P21" s="43"/>
      <c r="Q21" s="43"/>
      <c r="R21" s="43"/>
      <c r="S21" s="43"/>
      <c r="T21" s="43"/>
      <c r="U21" s="43"/>
      <c r="V21" s="43"/>
      <c r="W21" s="44"/>
      <c r="X21" s="44"/>
    </row>
    <row r="22" spans="1:24" x14ac:dyDescent="0.25">
      <c r="A22" s="102" t="s">
        <v>4856</v>
      </c>
      <c r="B22" s="62" t="s">
        <v>5056</v>
      </c>
      <c r="C22" s="62" t="s">
        <v>59</v>
      </c>
      <c r="D22" s="103"/>
      <c r="E22" s="11"/>
      <c r="F22" s="12"/>
      <c r="G22" s="60"/>
      <c r="H22" s="60"/>
      <c r="I22" s="101"/>
      <c r="J22" s="74"/>
      <c r="K22" s="43"/>
      <c r="L22" s="43"/>
      <c r="M22" s="43"/>
      <c r="N22" s="43"/>
      <c r="O22" s="43"/>
      <c r="P22" s="43"/>
      <c r="Q22" s="43"/>
      <c r="R22" s="43"/>
      <c r="S22" s="43"/>
      <c r="T22" s="43"/>
      <c r="U22" s="43"/>
      <c r="V22" s="43"/>
      <c r="W22" s="44"/>
      <c r="X22" s="44"/>
    </row>
    <row r="23" spans="1:24" x14ac:dyDescent="0.25">
      <c r="A23" s="102" t="s">
        <v>4857</v>
      </c>
      <c r="B23" s="62" t="s">
        <v>5057</v>
      </c>
      <c r="C23" s="62" t="s">
        <v>59</v>
      </c>
      <c r="D23" s="103"/>
      <c r="E23" s="11"/>
      <c r="F23" s="12"/>
      <c r="G23" s="60"/>
      <c r="H23" s="60"/>
      <c r="I23" s="101"/>
      <c r="J23" s="74"/>
      <c r="K23" s="43"/>
      <c r="L23" s="43"/>
      <c r="M23" s="43"/>
      <c r="N23" s="43"/>
      <c r="O23" s="43"/>
      <c r="P23" s="43"/>
      <c r="Q23" s="43"/>
      <c r="R23" s="43"/>
      <c r="S23" s="43"/>
      <c r="T23" s="43"/>
      <c r="U23" s="43"/>
      <c r="V23" s="43"/>
      <c r="W23" s="44"/>
      <c r="X23" s="44"/>
    </row>
    <row r="24" spans="1:24" x14ac:dyDescent="0.25">
      <c r="A24" s="102" t="s">
        <v>4858</v>
      </c>
      <c r="B24" s="62" t="s">
        <v>5058</v>
      </c>
      <c r="C24" s="62" t="s">
        <v>59</v>
      </c>
      <c r="D24" s="103"/>
      <c r="E24" s="11"/>
      <c r="F24" s="12"/>
      <c r="G24" s="60"/>
      <c r="H24" s="60"/>
      <c r="I24" s="101"/>
      <c r="J24" s="74"/>
      <c r="K24" s="43"/>
      <c r="L24" s="43"/>
      <c r="M24" s="43"/>
      <c r="N24" s="43"/>
      <c r="O24" s="43"/>
      <c r="P24" s="43"/>
      <c r="Q24" s="43"/>
      <c r="R24" s="43"/>
      <c r="S24" s="43"/>
      <c r="T24" s="43"/>
      <c r="U24" s="43"/>
      <c r="V24" s="43"/>
      <c r="W24" s="44"/>
      <c r="X24" s="44"/>
    </row>
    <row r="25" spans="1:24" x14ac:dyDescent="0.25">
      <c r="A25" s="102" t="s">
        <v>4859</v>
      </c>
      <c r="B25" s="62" t="s">
        <v>5059</v>
      </c>
      <c r="C25" s="62" t="s">
        <v>59</v>
      </c>
      <c r="D25" s="103"/>
      <c r="E25" s="11"/>
      <c r="F25" s="12"/>
      <c r="G25" s="60"/>
      <c r="H25" s="60"/>
      <c r="I25" s="101"/>
      <c r="J25" s="74"/>
      <c r="K25" s="43"/>
      <c r="L25" s="43"/>
      <c r="M25" s="43"/>
      <c r="N25" s="43"/>
      <c r="O25" s="43"/>
      <c r="P25" s="43"/>
      <c r="Q25" s="43"/>
      <c r="R25" s="43"/>
      <c r="S25" s="43"/>
      <c r="T25" s="43"/>
      <c r="U25" s="43"/>
      <c r="V25" s="43"/>
      <c r="W25" s="44"/>
      <c r="X25" s="44"/>
    </row>
    <row r="26" spans="1:24" x14ac:dyDescent="0.25">
      <c r="A26" s="102" t="s">
        <v>4860</v>
      </c>
      <c r="B26" s="62" t="s">
        <v>5060</v>
      </c>
      <c r="C26" s="62" t="s">
        <v>59</v>
      </c>
      <c r="D26" s="103"/>
      <c r="E26" s="11"/>
      <c r="F26" s="12"/>
      <c r="G26" s="60"/>
      <c r="H26" s="60"/>
      <c r="I26" s="101"/>
      <c r="J26" s="74"/>
      <c r="K26" s="43"/>
      <c r="L26" s="43"/>
      <c r="M26" s="43"/>
      <c r="N26" s="43"/>
      <c r="O26" s="43"/>
      <c r="P26" s="43"/>
      <c r="Q26" s="43"/>
      <c r="R26" s="43"/>
      <c r="S26" s="43"/>
      <c r="T26" s="43"/>
      <c r="U26" s="43"/>
      <c r="V26" s="43"/>
      <c r="W26" s="44"/>
      <c r="X26" s="44"/>
    </row>
    <row r="27" spans="1:24" x14ac:dyDescent="0.25">
      <c r="A27" s="102" t="s">
        <v>4861</v>
      </c>
      <c r="B27" s="62" t="s">
        <v>5049</v>
      </c>
      <c r="C27" s="62" t="s">
        <v>61</v>
      </c>
      <c r="D27" s="103"/>
      <c r="E27" s="11"/>
      <c r="F27" s="12"/>
      <c r="G27" s="60"/>
      <c r="H27" s="60"/>
      <c r="I27" s="101"/>
      <c r="J27" s="74"/>
      <c r="K27" s="43"/>
      <c r="L27" s="43"/>
      <c r="M27" s="43"/>
      <c r="N27" s="43"/>
      <c r="O27" s="43"/>
      <c r="P27" s="43"/>
      <c r="Q27" s="43"/>
      <c r="R27" s="43"/>
      <c r="S27" s="43"/>
      <c r="T27" s="43"/>
      <c r="U27" s="43"/>
      <c r="V27" s="43"/>
      <c r="W27" s="44"/>
      <c r="X27" s="44"/>
    </row>
    <row r="28" spans="1:24" x14ac:dyDescent="0.25">
      <c r="A28" s="102" t="s">
        <v>4862</v>
      </c>
      <c r="B28" s="62" t="s">
        <v>5050</v>
      </c>
      <c r="C28" s="62" t="s">
        <v>61</v>
      </c>
      <c r="D28" s="103"/>
      <c r="E28" s="11"/>
      <c r="F28" s="12"/>
      <c r="G28" s="60"/>
      <c r="H28" s="60"/>
      <c r="I28" s="101"/>
      <c r="J28" s="74"/>
      <c r="K28" s="43"/>
      <c r="L28" s="43"/>
      <c r="M28" s="43"/>
      <c r="N28" s="43"/>
      <c r="O28" s="43"/>
      <c r="P28" s="43"/>
      <c r="Q28" s="43"/>
      <c r="R28" s="43"/>
      <c r="S28" s="43"/>
      <c r="T28" s="43"/>
      <c r="U28" s="43"/>
      <c r="V28" s="43"/>
      <c r="W28" s="44"/>
      <c r="X28" s="44"/>
    </row>
    <row r="29" spans="1:24" x14ac:dyDescent="0.25">
      <c r="A29" s="102" t="s">
        <v>4863</v>
      </c>
      <c r="B29" s="62" t="s">
        <v>5051</v>
      </c>
      <c r="C29" s="62" t="s">
        <v>61</v>
      </c>
      <c r="D29" s="103"/>
      <c r="E29" s="11"/>
      <c r="F29" s="12"/>
      <c r="G29" s="60"/>
      <c r="H29" s="60"/>
      <c r="I29" s="101"/>
      <c r="J29" s="74"/>
      <c r="K29" s="43"/>
      <c r="L29" s="43"/>
      <c r="M29" s="43"/>
      <c r="N29" s="43"/>
      <c r="O29" s="43"/>
      <c r="P29" s="43"/>
      <c r="Q29" s="43"/>
      <c r="R29" s="43"/>
      <c r="S29" s="43"/>
      <c r="T29" s="43"/>
      <c r="U29" s="43"/>
      <c r="V29" s="43"/>
      <c r="W29" s="44"/>
      <c r="X29" s="44"/>
    </row>
    <row r="30" spans="1:24" x14ac:dyDescent="0.25">
      <c r="A30" s="102" t="s">
        <v>4864</v>
      </c>
      <c r="B30" s="62" t="s">
        <v>5052</v>
      </c>
      <c r="C30" s="62" t="s">
        <v>61</v>
      </c>
      <c r="D30" s="103"/>
      <c r="E30" s="11"/>
      <c r="F30" s="12"/>
      <c r="G30" s="60"/>
      <c r="H30" s="60"/>
      <c r="I30" s="101"/>
      <c r="J30" s="74"/>
      <c r="K30" s="43"/>
      <c r="L30" s="43"/>
      <c r="M30" s="43"/>
      <c r="N30" s="43"/>
      <c r="O30" s="43"/>
      <c r="P30" s="43"/>
      <c r="Q30" s="43"/>
      <c r="R30" s="43"/>
      <c r="S30" s="43"/>
      <c r="T30" s="43"/>
      <c r="U30" s="43"/>
      <c r="V30" s="43"/>
      <c r="W30" s="44"/>
      <c r="X30" s="44"/>
    </row>
    <row r="31" spans="1:24" x14ac:dyDescent="0.25">
      <c r="A31" s="102" t="s">
        <v>4865</v>
      </c>
      <c r="B31" s="62" t="s">
        <v>5053</v>
      </c>
      <c r="C31" s="62" t="s">
        <v>61</v>
      </c>
      <c r="D31" s="103"/>
      <c r="E31" s="11"/>
      <c r="F31" s="12"/>
      <c r="G31" s="60"/>
      <c r="H31" s="60"/>
      <c r="I31" s="101"/>
      <c r="J31" s="74"/>
      <c r="K31" s="43"/>
      <c r="L31" s="43"/>
      <c r="M31" s="43"/>
      <c r="N31" s="43"/>
      <c r="O31" s="43"/>
      <c r="P31" s="43"/>
      <c r="Q31" s="43"/>
      <c r="R31" s="43"/>
      <c r="S31" s="43"/>
      <c r="T31" s="43"/>
      <c r="U31" s="43"/>
      <c r="V31" s="43"/>
      <c r="W31" s="44"/>
      <c r="X31" s="44"/>
    </row>
    <row r="32" spans="1:24" x14ac:dyDescent="0.25">
      <c r="A32" s="102" t="s">
        <v>4866</v>
      </c>
      <c r="B32" s="62" t="s">
        <v>5054</v>
      </c>
      <c r="C32" s="62" t="s">
        <v>61</v>
      </c>
      <c r="D32" s="103"/>
      <c r="E32" s="11"/>
      <c r="F32" s="12"/>
      <c r="G32" s="60"/>
      <c r="H32" s="60"/>
      <c r="I32" s="101"/>
      <c r="J32" s="74"/>
      <c r="K32" s="43"/>
      <c r="L32" s="43"/>
      <c r="M32" s="43"/>
      <c r="N32" s="43"/>
      <c r="O32" s="43"/>
      <c r="P32" s="43"/>
      <c r="Q32" s="43"/>
      <c r="R32" s="43"/>
      <c r="S32" s="43"/>
      <c r="T32" s="43"/>
      <c r="U32" s="43"/>
      <c r="V32" s="43"/>
      <c r="W32" s="44"/>
      <c r="X32" s="44"/>
    </row>
    <row r="33" spans="1:24" x14ac:dyDescent="0.25">
      <c r="A33" s="102" t="s">
        <v>4867</v>
      </c>
      <c r="B33" s="62" t="s">
        <v>5055</v>
      </c>
      <c r="C33" s="62" t="s">
        <v>61</v>
      </c>
      <c r="D33" s="103"/>
      <c r="E33" s="11"/>
      <c r="F33" s="12"/>
      <c r="G33" s="60"/>
      <c r="H33" s="60"/>
      <c r="I33" s="101"/>
      <c r="J33" s="74"/>
      <c r="K33" s="43"/>
      <c r="L33" s="43"/>
      <c r="M33" s="43"/>
      <c r="N33" s="43"/>
      <c r="O33" s="43"/>
      <c r="P33" s="43"/>
      <c r="Q33" s="43"/>
      <c r="R33" s="43"/>
      <c r="S33" s="43"/>
      <c r="T33" s="43"/>
      <c r="U33" s="43"/>
      <c r="V33" s="43"/>
      <c r="W33" s="44"/>
      <c r="X33" s="44"/>
    </row>
    <row r="34" spans="1:24" x14ac:dyDescent="0.25">
      <c r="A34" s="102" t="s">
        <v>4868</v>
      </c>
      <c r="B34" s="62" t="s">
        <v>5056</v>
      </c>
      <c r="C34" s="62" t="s">
        <v>61</v>
      </c>
      <c r="D34" s="103"/>
      <c r="E34" s="11"/>
      <c r="F34" s="12"/>
      <c r="G34" s="60"/>
      <c r="H34" s="60"/>
      <c r="I34" s="101"/>
      <c r="J34" s="74"/>
      <c r="K34" s="43"/>
      <c r="L34" s="43"/>
      <c r="M34" s="43"/>
      <c r="N34" s="43"/>
      <c r="O34" s="43"/>
      <c r="P34" s="43"/>
      <c r="Q34" s="43"/>
      <c r="R34" s="43"/>
      <c r="S34" s="43"/>
      <c r="T34" s="43"/>
      <c r="U34" s="43"/>
      <c r="V34" s="43"/>
      <c r="W34" s="44"/>
      <c r="X34" s="44"/>
    </row>
    <row r="35" spans="1:24" x14ac:dyDescent="0.25">
      <c r="A35" s="102" t="s">
        <v>4869</v>
      </c>
      <c r="B35" s="62" t="s">
        <v>5057</v>
      </c>
      <c r="C35" s="62" t="s">
        <v>61</v>
      </c>
      <c r="D35" s="103"/>
      <c r="E35" s="11"/>
      <c r="F35" s="12"/>
      <c r="G35" s="60"/>
      <c r="H35" s="60"/>
      <c r="I35" s="101"/>
      <c r="J35" s="74"/>
      <c r="K35" s="43"/>
      <c r="L35" s="43"/>
      <c r="M35" s="43"/>
      <c r="N35" s="43"/>
      <c r="O35" s="43"/>
      <c r="P35" s="43"/>
      <c r="Q35" s="43"/>
      <c r="R35" s="43"/>
      <c r="S35" s="43"/>
      <c r="T35" s="43"/>
      <c r="U35" s="43"/>
      <c r="V35" s="43"/>
      <c r="W35" s="44"/>
      <c r="X35" s="44"/>
    </row>
    <row r="36" spans="1:24" x14ac:dyDescent="0.25">
      <c r="A36" s="102" t="s">
        <v>4870</v>
      </c>
      <c r="B36" s="62" t="s">
        <v>5058</v>
      </c>
      <c r="C36" s="62" t="s">
        <v>61</v>
      </c>
      <c r="D36" s="103"/>
      <c r="E36" s="11"/>
      <c r="F36" s="12"/>
      <c r="G36" s="60"/>
      <c r="H36" s="60"/>
      <c r="I36" s="101"/>
      <c r="J36" s="74"/>
      <c r="K36" s="43"/>
      <c r="L36" s="43"/>
      <c r="M36" s="43"/>
      <c r="N36" s="43"/>
      <c r="O36" s="43"/>
      <c r="P36" s="43"/>
      <c r="Q36" s="43"/>
      <c r="R36" s="43"/>
      <c r="S36" s="43"/>
      <c r="T36" s="43"/>
      <c r="U36" s="43"/>
      <c r="V36" s="43"/>
      <c r="W36" s="44"/>
      <c r="X36" s="44"/>
    </row>
    <row r="37" spans="1:24" x14ac:dyDescent="0.25">
      <c r="A37" s="102" t="s">
        <v>4871</v>
      </c>
      <c r="B37" s="62" t="s">
        <v>5059</v>
      </c>
      <c r="C37" s="62" t="s">
        <v>61</v>
      </c>
      <c r="D37" s="103"/>
      <c r="E37" s="11"/>
      <c r="F37" s="12"/>
      <c r="G37" s="60"/>
      <c r="H37" s="60"/>
      <c r="I37" s="101"/>
      <c r="J37" s="74"/>
      <c r="K37" s="43"/>
      <c r="L37" s="43"/>
      <c r="M37" s="43"/>
      <c r="N37" s="43"/>
      <c r="O37" s="43"/>
      <c r="P37" s="43"/>
      <c r="Q37" s="43"/>
      <c r="R37" s="43"/>
      <c r="S37" s="43"/>
      <c r="T37" s="43"/>
      <c r="U37" s="43"/>
      <c r="V37" s="43"/>
      <c r="W37" s="44"/>
      <c r="X37" s="44"/>
    </row>
    <row r="38" spans="1:24" x14ac:dyDescent="0.25">
      <c r="A38" s="102" t="s">
        <v>4872</v>
      </c>
      <c r="B38" s="62" t="s">
        <v>5060</v>
      </c>
      <c r="C38" s="62" t="s">
        <v>61</v>
      </c>
      <c r="D38" s="103"/>
      <c r="E38" s="11"/>
      <c r="F38" s="12"/>
      <c r="G38" s="60"/>
      <c r="H38" s="60"/>
      <c r="I38" s="101"/>
      <c r="J38" s="74"/>
      <c r="K38" s="43"/>
      <c r="L38" s="43"/>
      <c r="M38" s="43"/>
      <c r="N38" s="43"/>
      <c r="O38" s="43"/>
      <c r="P38" s="43"/>
      <c r="Q38" s="43"/>
      <c r="R38" s="43"/>
      <c r="S38" s="43"/>
      <c r="T38" s="43"/>
      <c r="U38" s="43"/>
      <c r="V38" s="43"/>
      <c r="W38" s="44"/>
      <c r="X38" s="44"/>
    </row>
    <row r="39" spans="1:24" x14ac:dyDescent="0.25">
      <c r="A39" s="102" t="s">
        <v>4873</v>
      </c>
      <c r="B39" s="62" t="s">
        <v>5049</v>
      </c>
      <c r="C39" s="62" t="s">
        <v>63</v>
      </c>
      <c r="D39" s="103"/>
      <c r="E39" s="11"/>
      <c r="F39" s="12"/>
      <c r="G39" s="60"/>
      <c r="H39" s="60"/>
      <c r="I39" s="101"/>
      <c r="J39" s="74"/>
      <c r="K39" s="43"/>
      <c r="L39" s="43"/>
      <c r="M39" s="43"/>
      <c r="N39" s="43"/>
      <c r="O39" s="43"/>
      <c r="P39" s="43"/>
      <c r="Q39" s="43"/>
      <c r="R39" s="43"/>
      <c r="S39" s="43"/>
      <c r="T39" s="43"/>
      <c r="U39" s="43"/>
      <c r="V39" s="43"/>
      <c r="W39" s="44"/>
      <c r="X39" s="44"/>
    </row>
    <row r="40" spans="1:24" x14ac:dyDescent="0.25">
      <c r="A40" s="102" t="s">
        <v>4874</v>
      </c>
      <c r="B40" s="62" t="s">
        <v>5050</v>
      </c>
      <c r="C40" s="62" t="s">
        <v>63</v>
      </c>
      <c r="D40" s="103"/>
      <c r="E40" s="11"/>
      <c r="F40" s="12"/>
      <c r="G40" s="60"/>
      <c r="H40" s="60"/>
      <c r="I40" s="101"/>
      <c r="J40" s="74"/>
      <c r="K40" s="43"/>
      <c r="L40" s="43"/>
      <c r="M40" s="43"/>
      <c r="N40" s="43"/>
      <c r="O40" s="43"/>
      <c r="P40" s="43"/>
      <c r="Q40" s="43"/>
      <c r="R40" s="43"/>
      <c r="S40" s="43"/>
      <c r="T40" s="43"/>
      <c r="U40" s="43"/>
      <c r="V40" s="43"/>
      <c r="W40" s="44"/>
      <c r="X40" s="44"/>
    </row>
    <row r="41" spans="1:24" x14ac:dyDescent="0.25">
      <c r="A41" s="102" t="s">
        <v>4875</v>
      </c>
      <c r="B41" s="62" t="s">
        <v>5051</v>
      </c>
      <c r="C41" s="62" t="s">
        <v>63</v>
      </c>
      <c r="D41" s="103"/>
      <c r="E41" s="11"/>
      <c r="F41" s="12"/>
      <c r="G41" s="60"/>
      <c r="H41" s="60"/>
      <c r="I41" s="101"/>
      <c r="J41" s="74"/>
      <c r="K41" s="43"/>
      <c r="L41" s="43"/>
      <c r="M41" s="43"/>
      <c r="N41" s="43"/>
      <c r="O41" s="43"/>
      <c r="P41" s="43"/>
      <c r="Q41" s="43"/>
      <c r="R41" s="43"/>
      <c r="S41" s="43"/>
      <c r="T41" s="43"/>
      <c r="U41" s="43"/>
      <c r="V41" s="43"/>
      <c r="W41" s="44"/>
      <c r="X41" s="44"/>
    </row>
    <row r="42" spans="1:24" x14ac:dyDescent="0.25">
      <c r="A42" s="102" t="s">
        <v>4876</v>
      </c>
      <c r="B42" s="62" t="s">
        <v>5052</v>
      </c>
      <c r="C42" s="62" t="s">
        <v>63</v>
      </c>
      <c r="D42" s="103"/>
      <c r="E42" s="11"/>
      <c r="F42" s="12"/>
      <c r="G42" s="60"/>
      <c r="H42" s="60"/>
      <c r="I42" s="101"/>
      <c r="J42" s="74"/>
      <c r="K42" s="43"/>
      <c r="L42" s="43"/>
      <c r="M42" s="43"/>
      <c r="N42" s="43"/>
      <c r="O42" s="43"/>
      <c r="P42" s="43"/>
      <c r="Q42" s="43"/>
      <c r="R42" s="43"/>
      <c r="S42" s="43"/>
      <c r="T42" s="43"/>
      <c r="U42" s="43"/>
      <c r="V42" s="43"/>
      <c r="W42" s="44"/>
      <c r="X42" s="44"/>
    </row>
    <row r="43" spans="1:24" x14ac:dyDescent="0.25">
      <c r="A43" s="102" t="s">
        <v>4877</v>
      </c>
      <c r="B43" s="62" t="s">
        <v>5053</v>
      </c>
      <c r="C43" s="62" t="s">
        <v>63</v>
      </c>
      <c r="D43" s="103"/>
      <c r="E43" s="11"/>
      <c r="F43" s="12"/>
      <c r="G43" s="60"/>
      <c r="H43" s="60"/>
      <c r="I43" s="101"/>
      <c r="J43" s="74"/>
      <c r="K43" s="43"/>
      <c r="L43" s="43"/>
      <c r="M43" s="43"/>
      <c r="N43" s="43"/>
      <c r="O43" s="43"/>
      <c r="P43" s="43"/>
      <c r="Q43" s="43"/>
      <c r="R43" s="43"/>
      <c r="S43" s="43"/>
      <c r="T43" s="43"/>
      <c r="U43" s="43"/>
      <c r="V43" s="43"/>
      <c r="W43" s="44"/>
      <c r="X43" s="44"/>
    </row>
    <row r="44" spans="1:24" x14ac:dyDescent="0.25">
      <c r="A44" s="102" t="s">
        <v>4878</v>
      </c>
      <c r="B44" s="62" t="s">
        <v>5054</v>
      </c>
      <c r="C44" s="62" t="s">
        <v>63</v>
      </c>
      <c r="D44" s="103"/>
      <c r="E44" s="11"/>
      <c r="F44" s="12"/>
      <c r="G44" s="60"/>
      <c r="H44" s="60"/>
      <c r="I44" s="101"/>
      <c r="J44" s="74"/>
      <c r="K44" s="43"/>
      <c r="L44" s="43"/>
      <c r="M44" s="43"/>
      <c r="N44" s="43"/>
      <c r="O44" s="43"/>
      <c r="P44" s="43"/>
      <c r="Q44" s="43"/>
      <c r="R44" s="43"/>
      <c r="S44" s="43"/>
      <c r="T44" s="43"/>
      <c r="U44" s="43"/>
      <c r="V44" s="43"/>
      <c r="W44" s="44"/>
      <c r="X44" s="44"/>
    </row>
    <row r="45" spans="1:24" x14ac:dyDescent="0.25">
      <c r="A45" s="102" t="s">
        <v>4879</v>
      </c>
      <c r="B45" s="62" t="s">
        <v>5055</v>
      </c>
      <c r="C45" s="62" t="s">
        <v>63</v>
      </c>
      <c r="D45" s="103"/>
      <c r="E45" s="11"/>
      <c r="F45" s="12"/>
      <c r="G45" s="60"/>
      <c r="H45" s="60"/>
      <c r="I45" s="101"/>
      <c r="J45" s="74"/>
      <c r="K45" s="43"/>
      <c r="L45" s="43"/>
      <c r="M45" s="43"/>
      <c r="N45" s="43"/>
      <c r="O45" s="43"/>
      <c r="P45" s="43"/>
      <c r="Q45" s="43"/>
      <c r="R45" s="43"/>
      <c r="S45" s="43"/>
      <c r="T45" s="43"/>
      <c r="U45" s="43"/>
      <c r="V45" s="43"/>
      <c r="W45" s="44"/>
      <c r="X45" s="44"/>
    </row>
    <row r="46" spans="1:24" x14ac:dyDescent="0.25">
      <c r="A46" s="102" t="s">
        <v>4880</v>
      </c>
      <c r="B46" s="62" t="s">
        <v>5056</v>
      </c>
      <c r="C46" s="62" t="s">
        <v>63</v>
      </c>
      <c r="D46" s="103"/>
      <c r="E46" s="11"/>
      <c r="F46" s="12"/>
      <c r="G46" s="60"/>
      <c r="H46" s="60"/>
      <c r="I46" s="101"/>
      <c r="J46" s="74"/>
      <c r="K46" s="43"/>
      <c r="L46" s="43"/>
      <c r="M46" s="43"/>
      <c r="N46" s="43"/>
      <c r="O46" s="43"/>
      <c r="P46" s="43"/>
      <c r="Q46" s="43"/>
      <c r="R46" s="43"/>
      <c r="S46" s="43"/>
      <c r="T46" s="43"/>
      <c r="U46" s="43"/>
      <c r="V46" s="43"/>
      <c r="W46" s="44"/>
      <c r="X46" s="44"/>
    </row>
    <row r="47" spans="1:24" x14ac:dyDescent="0.25">
      <c r="A47" s="102" t="s">
        <v>4881</v>
      </c>
      <c r="B47" s="62" t="s">
        <v>5057</v>
      </c>
      <c r="C47" s="62" t="s">
        <v>63</v>
      </c>
      <c r="D47" s="103"/>
      <c r="E47" s="11"/>
      <c r="F47" s="12"/>
      <c r="G47" s="60"/>
      <c r="H47" s="60"/>
      <c r="I47" s="101"/>
      <c r="J47" s="74"/>
      <c r="K47" s="43"/>
      <c r="L47" s="43"/>
      <c r="M47" s="43"/>
      <c r="N47" s="43"/>
      <c r="O47" s="43"/>
      <c r="P47" s="43"/>
      <c r="Q47" s="43"/>
      <c r="R47" s="43"/>
      <c r="S47" s="43"/>
      <c r="T47" s="43"/>
      <c r="U47" s="43"/>
      <c r="V47" s="43"/>
      <c r="W47" s="44"/>
      <c r="X47" s="44"/>
    </row>
    <row r="48" spans="1:24" x14ac:dyDescent="0.25">
      <c r="A48" s="102" t="s">
        <v>4882</v>
      </c>
      <c r="B48" s="62" t="s">
        <v>5058</v>
      </c>
      <c r="C48" s="62" t="s">
        <v>63</v>
      </c>
      <c r="D48" s="103"/>
      <c r="E48" s="11"/>
      <c r="F48" s="12"/>
      <c r="G48" s="60"/>
      <c r="H48" s="60"/>
      <c r="I48" s="101"/>
      <c r="J48" s="74"/>
      <c r="K48" s="43"/>
      <c r="L48" s="43"/>
      <c r="M48" s="43"/>
      <c r="N48" s="43"/>
      <c r="O48" s="43"/>
      <c r="P48" s="43"/>
      <c r="Q48" s="43"/>
      <c r="R48" s="43"/>
      <c r="S48" s="43"/>
      <c r="T48" s="43"/>
      <c r="U48" s="43"/>
      <c r="V48" s="43"/>
      <c r="W48" s="44"/>
      <c r="X48" s="44"/>
    </row>
    <row r="49" spans="1:24" x14ac:dyDescent="0.25">
      <c r="A49" s="102" t="s">
        <v>4883</v>
      </c>
      <c r="B49" s="62" t="s">
        <v>5059</v>
      </c>
      <c r="C49" s="62" t="s">
        <v>63</v>
      </c>
      <c r="D49" s="103"/>
      <c r="E49" s="11"/>
      <c r="F49" s="12"/>
      <c r="G49" s="60"/>
      <c r="H49" s="60"/>
      <c r="I49" s="101"/>
      <c r="J49" s="74"/>
      <c r="K49" s="43"/>
      <c r="L49" s="43"/>
      <c r="M49" s="43"/>
      <c r="N49" s="43"/>
      <c r="O49" s="43"/>
      <c r="P49" s="43"/>
      <c r="Q49" s="43"/>
      <c r="R49" s="43"/>
      <c r="S49" s="43"/>
      <c r="T49" s="43"/>
      <c r="U49" s="43"/>
      <c r="V49" s="43"/>
      <c r="W49" s="44"/>
      <c r="X49" s="44"/>
    </row>
    <row r="50" spans="1:24" x14ac:dyDescent="0.25">
      <c r="A50" s="102" t="s">
        <v>4884</v>
      </c>
      <c r="B50" s="62" t="s">
        <v>5060</v>
      </c>
      <c r="C50" s="62" t="s">
        <v>63</v>
      </c>
      <c r="D50" s="103"/>
      <c r="E50" s="11"/>
      <c r="F50" s="12"/>
      <c r="G50" s="60"/>
      <c r="H50" s="60"/>
      <c r="I50" s="101"/>
      <c r="J50" s="74"/>
      <c r="K50" s="43"/>
      <c r="L50" s="43"/>
      <c r="M50" s="43"/>
      <c r="N50" s="43"/>
      <c r="O50" s="43"/>
      <c r="P50" s="43"/>
      <c r="Q50" s="43"/>
      <c r="R50" s="43"/>
      <c r="S50" s="43"/>
      <c r="T50" s="43"/>
      <c r="U50" s="43"/>
      <c r="V50" s="43"/>
      <c r="W50" s="44"/>
      <c r="X50" s="44"/>
    </row>
    <row r="51" spans="1:24" x14ac:dyDescent="0.25">
      <c r="A51" s="102" t="s">
        <v>4885</v>
      </c>
      <c r="B51" s="62" t="s">
        <v>5049</v>
      </c>
      <c r="C51" s="62" t="s">
        <v>57</v>
      </c>
      <c r="D51" s="103"/>
      <c r="E51" s="11"/>
      <c r="F51" s="12"/>
      <c r="G51" s="60"/>
      <c r="H51" s="60"/>
      <c r="I51" s="101"/>
      <c r="J51" s="74"/>
      <c r="K51" s="43"/>
      <c r="L51" s="43"/>
      <c r="M51" s="43"/>
      <c r="N51" s="43"/>
      <c r="O51" s="43"/>
      <c r="P51" s="43"/>
      <c r="Q51" s="43"/>
      <c r="R51" s="43"/>
      <c r="S51" s="43"/>
      <c r="T51" s="43"/>
      <c r="U51" s="43"/>
      <c r="V51" s="43"/>
      <c r="W51" s="44"/>
      <c r="X51" s="44"/>
    </row>
    <row r="52" spans="1:24" x14ac:dyDescent="0.25">
      <c r="A52" s="102" t="s">
        <v>4886</v>
      </c>
      <c r="B52" s="62" t="s">
        <v>5050</v>
      </c>
      <c r="C52" s="62" t="s">
        <v>57</v>
      </c>
      <c r="D52" s="103"/>
      <c r="E52" s="11"/>
      <c r="F52" s="12"/>
      <c r="G52" s="60"/>
      <c r="H52" s="60"/>
      <c r="I52" s="101"/>
      <c r="J52" s="74"/>
      <c r="K52" s="43"/>
      <c r="L52" s="43"/>
      <c r="M52" s="43"/>
      <c r="N52" s="43"/>
      <c r="O52" s="43"/>
      <c r="P52" s="43"/>
      <c r="Q52" s="43"/>
      <c r="R52" s="43"/>
      <c r="S52" s="43"/>
      <c r="T52" s="43"/>
      <c r="U52" s="43"/>
      <c r="V52" s="43"/>
      <c r="W52" s="44"/>
      <c r="X52" s="44"/>
    </row>
    <row r="53" spans="1:24" x14ac:dyDescent="0.25">
      <c r="A53" s="102" t="s">
        <v>4887</v>
      </c>
      <c r="B53" s="62" t="s">
        <v>5051</v>
      </c>
      <c r="C53" s="62" t="s">
        <v>57</v>
      </c>
      <c r="D53" s="103"/>
      <c r="E53" s="11"/>
      <c r="F53" s="12"/>
      <c r="G53" s="60"/>
      <c r="H53" s="60"/>
      <c r="I53" s="101"/>
      <c r="J53" s="74"/>
      <c r="K53" s="43"/>
      <c r="L53" s="43"/>
      <c r="M53" s="43"/>
      <c r="N53" s="43"/>
      <c r="O53" s="43"/>
      <c r="P53" s="43"/>
      <c r="Q53" s="43"/>
      <c r="R53" s="43"/>
      <c r="S53" s="43"/>
      <c r="T53" s="43"/>
      <c r="U53" s="43"/>
      <c r="V53" s="43"/>
      <c r="W53" s="44"/>
      <c r="X53" s="44"/>
    </row>
    <row r="54" spans="1:24" x14ac:dyDescent="0.25">
      <c r="A54" s="102" t="s">
        <v>4888</v>
      </c>
      <c r="B54" s="62" t="s">
        <v>5052</v>
      </c>
      <c r="C54" s="62" t="s">
        <v>57</v>
      </c>
      <c r="D54" s="103"/>
      <c r="E54" s="11"/>
      <c r="F54" s="12"/>
      <c r="G54" s="60"/>
      <c r="H54" s="60"/>
      <c r="I54" s="101"/>
      <c r="J54" s="74"/>
      <c r="K54" s="43"/>
      <c r="L54" s="43"/>
      <c r="M54" s="43"/>
      <c r="N54" s="43"/>
      <c r="O54" s="43"/>
      <c r="P54" s="43"/>
      <c r="Q54" s="43"/>
      <c r="R54" s="43"/>
      <c r="S54" s="43"/>
      <c r="T54" s="43"/>
      <c r="U54" s="43"/>
      <c r="V54" s="43"/>
      <c r="W54" s="44"/>
      <c r="X54" s="44"/>
    </row>
    <row r="55" spans="1:24" x14ac:dyDescent="0.25">
      <c r="A55" s="102" t="s">
        <v>4889</v>
      </c>
      <c r="B55" s="62" t="s">
        <v>5053</v>
      </c>
      <c r="C55" s="62" t="s">
        <v>57</v>
      </c>
      <c r="D55" s="103"/>
      <c r="E55" s="11"/>
      <c r="F55" s="12"/>
      <c r="G55" s="60"/>
      <c r="H55" s="60"/>
      <c r="I55" s="101"/>
      <c r="J55" s="74"/>
      <c r="K55" s="43"/>
      <c r="L55" s="43"/>
      <c r="M55" s="43"/>
      <c r="N55" s="43"/>
      <c r="O55" s="43"/>
      <c r="P55" s="43"/>
      <c r="Q55" s="43"/>
      <c r="R55" s="43"/>
      <c r="S55" s="43"/>
      <c r="T55" s="43"/>
      <c r="U55" s="43"/>
      <c r="V55" s="43"/>
      <c r="W55" s="44"/>
      <c r="X55" s="44"/>
    </row>
    <row r="56" spans="1:24" x14ac:dyDescent="0.25">
      <c r="A56" s="102" t="s">
        <v>4890</v>
      </c>
      <c r="B56" s="62" t="s">
        <v>5054</v>
      </c>
      <c r="C56" s="62" t="s">
        <v>57</v>
      </c>
      <c r="D56" s="103"/>
      <c r="E56" s="11"/>
      <c r="F56" s="12"/>
      <c r="G56" s="60"/>
      <c r="H56" s="60"/>
      <c r="I56" s="101"/>
      <c r="J56" s="74"/>
      <c r="K56" s="43"/>
      <c r="L56" s="43"/>
      <c r="M56" s="43"/>
      <c r="N56" s="43"/>
      <c r="O56" s="43"/>
      <c r="P56" s="43"/>
      <c r="Q56" s="43"/>
      <c r="R56" s="43"/>
      <c r="S56" s="43"/>
      <c r="T56" s="43"/>
      <c r="U56" s="43"/>
      <c r="V56" s="43"/>
      <c r="W56" s="44"/>
      <c r="X56" s="44"/>
    </row>
    <row r="57" spans="1:24" x14ac:dyDescent="0.25">
      <c r="A57" s="102" t="s">
        <v>4891</v>
      </c>
      <c r="B57" s="62" t="s">
        <v>5055</v>
      </c>
      <c r="C57" s="62" t="s">
        <v>57</v>
      </c>
      <c r="D57" s="103"/>
      <c r="E57" s="11"/>
      <c r="F57" s="12"/>
      <c r="G57" s="60"/>
      <c r="H57" s="60"/>
      <c r="I57" s="101"/>
      <c r="J57" s="74"/>
      <c r="K57" s="43"/>
      <c r="L57" s="43"/>
      <c r="M57" s="43"/>
      <c r="N57" s="43"/>
      <c r="O57" s="43"/>
      <c r="P57" s="43"/>
      <c r="Q57" s="43"/>
      <c r="R57" s="43"/>
      <c r="S57" s="43"/>
      <c r="T57" s="43"/>
      <c r="U57" s="43"/>
      <c r="V57" s="43"/>
      <c r="W57" s="44"/>
      <c r="X57" s="44"/>
    </row>
    <row r="58" spans="1:24" x14ac:dyDescent="0.25">
      <c r="A58" s="102" t="s">
        <v>4892</v>
      </c>
      <c r="B58" s="62" t="s">
        <v>5056</v>
      </c>
      <c r="C58" s="62" t="s">
        <v>57</v>
      </c>
      <c r="D58" s="103"/>
      <c r="E58" s="11"/>
      <c r="F58" s="12"/>
      <c r="G58" s="60"/>
      <c r="H58" s="60"/>
      <c r="I58" s="101"/>
      <c r="J58" s="74"/>
      <c r="K58" s="43"/>
      <c r="L58" s="43"/>
      <c r="M58" s="43"/>
      <c r="N58" s="43"/>
      <c r="O58" s="43"/>
      <c r="P58" s="43"/>
      <c r="Q58" s="43"/>
      <c r="R58" s="43"/>
      <c r="S58" s="43"/>
      <c r="T58" s="43"/>
      <c r="U58" s="43"/>
      <c r="V58" s="43"/>
      <c r="W58" s="44"/>
      <c r="X58" s="44"/>
    </row>
    <row r="59" spans="1:24" x14ac:dyDescent="0.25">
      <c r="A59" s="102" t="s">
        <v>4893</v>
      </c>
      <c r="B59" s="62" t="s">
        <v>5057</v>
      </c>
      <c r="C59" s="62" t="s">
        <v>57</v>
      </c>
      <c r="D59" s="103"/>
      <c r="E59" s="11"/>
      <c r="F59" s="12"/>
      <c r="G59" s="60"/>
      <c r="H59" s="60"/>
      <c r="I59" s="101"/>
      <c r="J59" s="74"/>
      <c r="K59" s="43"/>
      <c r="L59" s="43"/>
      <c r="M59" s="43"/>
      <c r="N59" s="43"/>
      <c r="O59" s="43"/>
      <c r="P59" s="43"/>
      <c r="Q59" s="43"/>
      <c r="R59" s="43"/>
      <c r="S59" s="43"/>
      <c r="T59" s="43"/>
      <c r="U59" s="43"/>
      <c r="V59" s="43"/>
      <c r="W59" s="44"/>
      <c r="X59" s="44"/>
    </row>
    <row r="60" spans="1:24" x14ac:dyDescent="0.25">
      <c r="A60" s="102" t="s">
        <v>4894</v>
      </c>
      <c r="B60" s="62" t="s">
        <v>5058</v>
      </c>
      <c r="C60" s="62" t="s">
        <v>57</v>
      </c>
      <c r="D60" s="103"/>
      <c r="E60" s="11"/>
      <c r="F60" s="12"/>
      <c r="G60" s="60"/>
      <c r="H60" s="60"/>
      <c r="I60" s="101"/>
      <c r="J60" s="74"/>
      <c r="K60" s="43"/>
      <c r="L60" s="43"/>
      <c r="M60" s="43"/>
      <c r="N60" s="43"/>
      <c r="O60" s="43"/>
      <c r="P60" s="43"/>
      <c r="Q60" s="43"/>
      <c r="R60" s="43"/>
      <c r="S60" s="43"/>
      <c r="T60" s="43"/>
      <c r="U60" s="43"/>
      <c r="V60" s="43"/>
      <c r="W60" s="44"/>
      <c r="X60" s="44"/>
    </row>
    <row r="61" spans="1:24" x14ac:dyDescent="0.25">
      <c r="A61" s="102" t="s">
        <v>4895</v>
      </c>
      <c r="B61" s="62" t="s">
        <v>5059</v>
      </c>
      <c r="C61" s="62" t="s">
        <v>57</v>
      </c>
      <c r="D61" s="103"/>
      <c r="E61" s="11"/>
      <c r="F61" s="12"/>
      <c r="G61" s="60"/>
      <c r="H61" s="60"/>
      <c r="I61" s="101"/>
      <c r="J61" s="74"/>
      <c r="K61" s="43"/>
      <c r="L61" s="43"/>
      <c r="M61" s="43"/>
      <c r="N61" s="43"/>
      <c r="O61" s="43"/>
      <c r="P61" s="43"/>
      <c r="Q61" s="43"/>
      <c r="R61" s="43"/>
      <c r="S61" s="43"/>
      <c r="T61" s="43"/>
      <c r="U61" s="43"/>
      <c r="V61" s="43"/>
      <c r="W61" s="44"/>
      <c r="X61" s="44"/>
    </row>
    <row r="62" spans="1:24" x14ac:dyDescent="0.25">
      <c r="A62" s="102" t="s">
        <v>4896</v>
      </c>
      <c r="B62" s="62" t="s">
        <v>5060</v>
      </c>
      <c r="C62" s="62" t="s">
        <v>57</v>
      </c>
      <c r="D62" s="103"/>
      <c r="E62" s="11"/>
      <c r="F62" s="12"/>
      <c r="G62" s="60"/>
      <c r="H62" s="60"/>
      <c r="I62" s="101"/>
      <c r="J62" s="74"/>
      <c r="K62" s="43"/>
      <c r="L62" s="43"/>
      <c r="M62" s="43"/>
      <c r="N62" s="43"/>
      <c r="O62" s="43"/>
      <c r="P62" s="43"/>
      <c r="Q62" s="43"/>
      <c r="R62" s="43"/>
      <c r="S62" s="43"/>
      <c r="T62" s="43"/>
      <c r="U62" s="43"/>
      <c r="V62" s="43"/>
      <c r="W62" s="44"/>
      <c r="X62" s="44"/>
    </row>
    <row r="63" spans="1:24" x14ac:dyDescent="0.25">
      <c r="A63" s="102" t="s">
        <v>4897</v>
      </c>
      <c r="B63" s="62" t="s">
        <v>5049</v>
      </c>
      <c r="C63" s="62" t="s">
        <v>55</v>
      </c>
      <c r="D63" s="103"/>
      <c r="E63" s="11"/>
      <c r="F63" s="12"/>
      <c r="G63" s="60"/>
      <c r="H63" s="60"/>
      <c r="I63" s="101"/>
      <c r="J63" s="74"/>
      <c r="K63" s="43"/>
      <c r="L63" s="43"/>
      <c r="M63" s="43"/>
      <c r="N63" s="43"/>
      <c r="O63" s="43"/>
      <c r="P63" s="43"/>
      <c r="Q63" s="43"/>
      <c r="R63" s="43"/>
      <c r="S63" s="43"/>
      <c r="T63" s="43"/>
      <c r="U63" s="43"/>
      <c r="V63" s="43"/>
      <c r="W63" s="44"/>
      <c r="X63" s="44"/>
    </row>
    <row r="64" spans="1:24" x14ac:dyDescent="0.25">
      <c r="A64" s="102" t="s">
        <v>4898</v>
      </c>
      <c r="B64" s="62" t="s">
        <v>5050</v>
      </c>
      <c r="C64" s="62" t="s">
        <v>55</v>
      </c>
      <c r="D64" s="103"/>
      <c r="E64" s="11"/>
      <c r="F64" s="12"/>
      <c r="G64" s="60"/>
      <c r="H64" s="60"/>
      <c r="I64" s="101"/>
      <c r="J64" s="74"/>
      <c r="K64" s="43"/>
      <c r="L64" s="43"/>
      <c r="M64" s="43"/>
      <c r="N64" s="43"/>
      <c r="O64" s="43"/>
      <c r="P64" s="43"/>
      <c r="Q64" s="43"/>
      <c r="R64" s="43"/>
      <c r="S64" s="43"/>
      <c r="T64" s="43"/>
      <c r="U64" s="43"/>
      <c r="V64" s="43"/>
      <c r="W64" s="44"/>
      <c r="X64" s="44"/>
    </row>
    <row r="65" spans="1:24" x14ac:dyDescent="0.25">
      <c r="A65" s="102" t="s">
        <v>4899</v>
      </c>
      <c r="B65" s="62" t="s">
        <v>5051</v>
      </c>
      <c r="C65" s="62" t="s">
        <v>55</v>
      </c>
      <c r="D65" s="103"/>
      <c r="E65" s="11"/>
      <c r="F65" s="12"/>
      <c r="G65" s="60"/>
      <c r="H65" s="60"/>
      <c r="I65" s="101"/>
      <c r="J65" s="74"/>
      <c r="K65" s="43"/>
      <c r="L65" s="43"/>
      <c r="M65" s="43"/>
      <c r="N65" s="43"/>
      <c r="O65" s="43"/>
      <c r="P65" s="43"/>
      <c r="Q65" s="43"/>
      <c r="R65" s="43"/>
      <c r="S65" s="43"/>
      <c r="T65" s="43"/>
      <c r="U65" s="43"/>
      <c r="V65" s="43"/>
      <c r="W65" s="44"/>
      <c r="X65" s="44"/>
    </row>
    <row r="66" spans="1:24" x14ac:dyDescent="0.25">
      <c r="A66" s="102" t="s">
        <v>4900</v>
      </c>
      <c r="B66" s="62" t="s">
        <v>5052</v>
      </c>
      <c r="C66" s="62" t="s">
        <v>55</v>
      </c>
      <c r="D66" s="103"/>
      <c r="E66" s="11"/>
      <c r="F66" s="12"/>
      <c r="G66" s="60"/>
      <c r="H66" s="60"/>
      <c r="I66" s="101"/>
      <c r="J66" s="74"/>
      <c r="K66" s="43"/>
      <c r="L66" s="43"/>
      <c r="M66" s="43"/>
      <c r="N66" s="43"/>
      <c r="O66" s="43"/>
      <c r="P66" s="43"/>
      <c r="Q66" s="43"/>
      <c r="R66" s="43"/>
      <c r="S66" s="43"/>
      <c r="T66" s="43"/>
      <c r="U66" s="43"/>
      <c r="V66" s="43"/>
      <c r="W66" s="44"/>
      <c r="X66" s="44"/>
    </row>
    <row r="67" spans="1:24" x14ac:dyDescent="0.25">
      <c r="A67" s="102" t="s">
        <v>4901</v>
      </c>
      <c r="B67" s="62" t="s">
        <v>5053</v>
      </c>
      <c r="C67" s="62" t="s">
        <v>55</v>
      </c>
      <c r="D67" s="103"/>
      <c r="E67" s="11"/>
      <c r="F67" s="12"/>
      <c r="G67" s="60"/>
      <c r="H67" s="60"/>
      <c r="I67" s="101"/>
      <c r="J67" s="74"/>
      <c r="K67" s="43"/>
      <c r="L67" s="43"/>
      <c r="M67" s="43"/>
      <c r="N67" s="43"/>
      <c r="O67" s="43"/>
      <c r="P67" s="43"/>
      <c r="Q67" s="43"/>
      <c r="R67" s="43"/>
      <c r="S67" s="43"/>
      <c r="T67" s="43"/>
      <c r="U67" s="43"/>
      <c r="V67" s="43"/>
      <c r="W67" s="44"/>
      <c r="X67" s="44"/>
    </row>
    <row r="68" spans="1:24" x14ac:dyDescent="0.25">
      <c r="A68" s="102" t="s">
        <v>4902</v>
      </c>
      <c r="B68" s="62" t="s">
        <v>5054</v>
      </c>
      <c r="C68" s="62" t="s">
        <v>55</v>
      </c>
      <c r="D68" s="103"/>
      <c r="E68" s="11"/>
      <c r="F68" s="12"/>
      <c r="G68" s="60"/>
      <c r="H68" s="60"/>
      <c r="I68" s="101"/>
      <c r="J68" s="74"/>
      <c r="K68" s="43"/>
      <c r="L68" s="43"/>
      <c r="M68" s="43"/>
      <c r="N68" s="43"/>
      <c r="O68" s="43"/>
      <c r="P68" s="43"/>
      <c r="Q68" s="43"/>
      <c r="R68" s="43"/>
      <c r="S68" s="43"/>
      <c r="T68" s="43"/>
      <c r="U68" s="43"/>
      <c r="V68" s="43"/>
      <c r="W68" s="44"/>
      <c r="X68" s="44"/>
    </row>
    <row r="69" spans="1:24" x14ac:dyDescent="0.25">
      <c r="A69" s="102" t="s">
        <v>4903</v>
      </c>
      <c r="B69" s="62" t="s">
        <v>5055</v>
      </c>
      <c r="C69" s="62" t="s">
        <v>55</v>
      </c>
      <c r="D69" s="103"/>
      <c r="E69" s="11"/>
      <c r="F69" s="12"/>
      <c r="G69" s="60"/>
      <c r="H69" s="60"/>
      <c r="I69" s="101"/>
      <c r="J69" s="74"/>
      <c r="K69" s="43"/>
      <c r="L69" s="43"/>
      <c r="M69" s="43"/>
      <c r="N69" s="43"/>
      <c r="O69" s="43"/>
      <c r="P69" s="43"/>
      <c r="Q69" s="43"/>
      <c r="R69" s="43"/>
      <c r="S69" s="43"/>
      <c r="T69" s="43"/>
      <c r="U69" s="43"/>
      <c r="V69" s="43"/>
      <c r="W69" s="44"/>
      <c r="X69" s="44"/>
    </row>
    <row r="70" spans="1:24" x14ac:dyDescent="0.25">
      <c r="A70" s="102" t="s">
        <v>4904</v>
      </c>
      <c r="B70" s="62" t="s">
        <v>5056</v>
      </c>
      <c r="C70" s="62" t="s">
        <v>55</v>
      </c>
      <c r="D70" s="103"/>
      <c r="E70" s="11"/>
      <c r="F70" s="12"/>
      <c r="G70" s="60"/>
      <c r="H70" s="60"/>
      <c r="I70" s="101"/>
      <c r="J70" s="74"/>
      <c r="K70" s="43"/>
      <c r="L70" s="43"/>
      <c r="M70" s="43"/>
      <c r="N70" s="43"/>
      <c r="O70" s="43"/>
      <c r="P70" s="43"/>
      <c r="Q70" s="43"/>
      <c r="R70" s="43"/>
      <c r="S70" s="43"/>
      <c r="T70" s="43"/>
      <c r="U70" s="43"/>
      <c r="V70" s="43"/>
      <c r="W70" s="44"/>
      <c r="X70" s="44"/>
    </row>
    <row r="71" spans="1:24" x14ac:dyDescent="0.25">
      <c r="A71" s="102" t="s">
        <v>4905</v>
      </c>
      <c r="B71" s="62" t="s">
        <v>5057</v>
      </c>
      <c r="C71" s="62" t="s">
        <v>55</v>
      </c>
      <c r="D71" s="103"/>
      <c r="E71" s="11"/>
      <c r="F71" s="12"/>
      <c r="G71" s="60"/>
      <c r="H71" s="60"/>
      <c r="I71" s="101"/>
      <c r="J71" s="74"/>
      <c r="K71" s="43"/>
      <c r="L71" s="43"/>
      <c r="M71" s="43"/>
      <c r="N71" s="43"/>
      <c r="O71" s="43"/>
      <c r="P71" s="43"/>
      <c r="Q71" s="43"/>
      <c r="R71" s="43"/>
      <c r="S71" s="43"/>
      <c r="T71" s="43"/>
      <c r="U71" s="43"/>
      <c r="V71" s="43"/>
      <c r="W71" s="44"/>
      <c r="X71" s="44"/>
    </row>
    <row r="72" spans="1:24" x14ac:dyDescent="0.25">
      <c r="A72" s="102" t="s">
        <v>4906</v>
      </c>
      <c r="B72" s="62" t="s">
        <v>5058</v>
      </c>
      <c r="C72" s="62" t="s">
        <v>55</v>
      </c>
      <c r="D72" s="103"/>
      <c r="E72" s="11"/>
      <c r="F72" s="12"/>
      <c r="G72" s="60"/>
      <c r="H72" s="60"/>
      <c r="I72" s="101"/>
      <c r="J72" s="74"/>
      <c r="K72" s="43"/>
      <c r="L72" s="43"/>
      <c r="M72" s="43"/>
      <c r="N72" s="43"/>
      <c r="O72" s="43"/>
      <c r="P72" s="43"/>
      <c r="Q72" s="43"/>
      <c r="R72" s="43"/>
      <c r="S72" s="43"/>
      <c r="T72" s="43"/>
      <c r="U72" s="43"/>
      <c r="V72" s="43"/>
      <c r="W72" s="44"/>
      <c r="X72" s="44"/>
    </row>
    <row r="73" spans="1:24" x14ac:dyDescent="0.25">
      <c r="A73" s="102" t="s">
        <v>4907</v>
      </c>
      <c r="B73" s="62" t="s">
        <v>5059</v>
      </c>
      <c r="C73" s="62" t="s">
        <v>55</v>
      </c>
      <c r="D73" s="103"/>
      <c r="E73" s="11"/>
      <c r="F73" s="12"/>
      <c r="G73" s="60"/>
      <c r="H73" s="60"/>
      <c r="I73" s="101"/>
      <c r="J73" s="74"/>
      <c r="K73" s="43"/>
      <c r="L73" s="43"/>
      <c r="M73" s="43"/>
      <c r="N73" s="43"/>
      <c r="O73" s="43"/>
      <c r="P73" s="43"/>
      <c r="Q73" s="43"/>
      <c r="R73" s="43"/>
      <c r="S73" s="43"/>
      <c r="T73" s="43"/>
      <c r="U73" s="43"/>
      <c r="V73" s="43"/>
      <c r="W73" s="44"/>
      <c r="X73" s="44"/>
    </row>
    <row r="74" spans="1:24" x14ac:dyDescent="0.25">
      <c r="A74" s="102" t="s">
        <v>4908</v>
      </c>
      <c r="B74" s="62" t="s">
        <v>5060</v>
      </c>
      <c r="C74" s="62" t="s">
        <v>55</v>
      </c>
      <c r="D74" s="103"/>
      <c r="E74" s="11"/>
      <c r="F74" s="12"/>
      <c r="G74" s="60"/>
      <c r="H74" s="60"/>
      <c r="I74" s="101"/>
      <c r="J74" s="74"/>
      <c r="K74" s="43"/>
      <c r="L74" s="43"/>
      <c r="M74" s="43"/>
      <c r="N74" s="43"/>
      <c r="O74" s="43"/>
      <c r="P74" s="43"/>
      <c r="Q74" s="43"/>
      <c r="R74" s="43"/>
      <c r="S74" s="43"/>
      <c r="T74" s="43"/>
      <c r="U74" s="43"/>
      <c r="V74" s="43"/>
      <c r="W74" s="44"/>
      <c r="X74" s="44"/>
    </row>
    <row r="75" spans="1:24" x14ac:dyDescent="0.25">
      <c r="A75" s="102" t="s">
        <v>4909</v>
      </c>
      <c r="B75" s="62" t="s">
        <v>5049</v>
      </c>
      <c r="C75" s="62" t="s">
        <v>58</v>
      </c>
      <c r="D75" s="103"/>
      <c r="E75" s="11"/>
      <c r="F75" s="12"/>
      <c r="G75" s="60"/>
      <c r="H75" s="60"/>
      <c r="I75" s="101"/>
      <c r="J75" s="74"/>
      <c r="K75" s="43"/>
      <c r="L75" s="43"/>
      <c r="M75" s="43"/>
      <c r="N75" s="43"/>
      <c r="O75" s="43"/>
      <c r="P75" s="43"/>
      <c r="Q75" s="43"/>
      <c r="R75" s="43"/>
      <c r="S75" s="43"/>
      <c r="T75" s="43"/>
      <c r="U75" s="43"/>
      <c r="V75" s="43"/>
      <c r="W75" s="44"/>
      <c r="X75" s="44"/>
    </row>
    <row r="76" spans="1:24" x14ac:dyDescent="0.25">
      <c r="A76" s="102" t="s">
        <v>4910</v>
      </c>
      <c r="B76" s="62" t="s">
        <v>5050</v>
      </c>
      <c r="C76" s="62" t="s">
        <v>58</v>
      </c>
      <c r="D76" s="103"/>
      <c r="E76" s="11"/>
      <c r="F76" s="12"/>
      <c r="G76" s="60"/>
      <c r="H76" s="60"/>
      <c r="I76" s="101"/>
      <c r="J76" s="74"/>
      <c r="K76" s="43"/>
      <c r="L76" s="43"/>
      <c r="M76" s="43"/>
      <c r="N76" s="43"/>
      <c r="O76" s="43"/>
      <c r="P76" s="43"/>
      <c r="Q76" s="43"/>
      <c r="R76" s="43"/>
      <c r="S76" s="43"/>
      <c r="T76" s="43"/>
      <c r="U76" s="43"/>
      <c r="V76" s="43"/>
      <c r="W76" s="44"/>
      <c r="X76" s="44"/>
    </row>
    <row r="77" spans="1:24" x14ac:dyDescent="0.25">
      <c r="A77" s="102" t="s">
        <v>4911</v>
      </c>
      <c r="B77" s="62" t="s">
        <v>5051</v>
      </c>
      <c r="C77" s="62" t="s">
        <v>58</v>
      </c>
      <c r="D77" s="103"/>
      <c r="E77" s="11"/>
      <c r="F77" s="12"/>
      <c r="G77" s="60"/>
      <c r="H77" s="60"/>
      <c r="I77" s="101"/>
      <c r="J77" s="74"/>
      <c r="K77" s="43"/>
      <c r="L77" s="43"/>
      <c r="M77" s="43"/>
      <c r="N77" s="43"/>
      <c r="O77" s="43"/>
      <c r="P77" s="43"/>
      <c r="Q77" s="43"/>
      <c r="R77" s="43"/>
      <c r="S77" s="43"/>
      <c r="T77" s="43"/>
      <c r="U77" s="43"/>
      <c r="V77" s="43"/>
      <c r="W77" s="44"/>
      <c r="X77" s="44"/>
    </row>
    <row r="78" spans="1:24" x14ac:dyDescent="0.25">
      <c r="A78" s="102" t="s">
        <v>4912</v>
      </c>
      <c r="B78" s="62" t="s">
        <v>5052</v>
      </c>
      <c r="C78" s="62" t="s">
        <v>58</v>
      </c>
      <c r="D78" s="103"/>
      <c r="E78" s="11"/>
      <c r="F78" s="12"/>
      <c r="G78" s="60"/>
      <c r="H78" s="60"/>
      <c r="I78" s="101"/>
      <c r="J78" s="74"/>
      <c r="K78" s="43"/>
      <c r="L78" s="43"/>
      <c r="M78" s="43"/>
      <c r="N78" s="43"/>
      <c r="O78" s="43"/>
      <c r="P78" s="43"/>
      <c r="Q78" s="43"/>
      <c r="R78" s="43"/>
      <c r="S78" s="43"/>
      <c r="T78" s="43"/>
      <c r="U78" s="43"/>
      <c r="V78" s="43"/>
      <c r="W78" s="44"/>
      <c r="X78" s="44"/>
    </row>
    <row r="79" spans="1:24" x14ac:dyDescent="0.25">
      <c r="A79" s="102" t="s">
        <v>4913</v>
      </c>
      <c r="B79" s="62" t="s">
        <v>5053</v>
      </c>
      <c r="C79" s="62" t="s">
        <v>58</v>
      </c>
      <c r="D79" s="103"/>
      <c r="E79" s="11"/>
      <c r="F79" s="12"/>
      <c r="G79" s="60"/>
      <c r="H79" s="60"/>
      <c r="I79" s="101"/>
      <c r="J79" s="74"/>
      <c r="K79" s="43"/>
      <c r="L79" s="43"/>
      <c r="M79" s="43"/>
      <c r="N79" s="43"/>
      <c r="O79" s="43"/>
      <c r="P79" s="43"/>
      <c r="Q79" s="43"/>
      <c r="R79" s="43"/>
      <c r="S79" s="43"/>
      <c r="T79" s="43"/>
      <c r="U79" s="43"/>
      <c r="V79" s="43"/>
      <c r="W79" s="44"/>
      <c r="X79" s="44"/>
    </row>
    <row r="80" spans="1:24" x14ac:dyDescent="0.25">
      <c r="A80" s="102" t="s">
        <v>4914</v>
      </c>
      <c r="B80" s="62" t="s">
        <v>5054</v>
      </c>
      <c r="C80" s="62" t="s">
        <v>58</v>
      </c>
      <c r="D80" s="103"/>
      <c r="E80" s="11"/>
      <c r="F80" s="12"/>
      <c r="G80" s="60"/>
      <c r="H80" s="60"/>
      <c r="I80" s="101"/>
      <c r="J80" s="74"/>
      <c r="K80" s="43"/>
      <c r="L80" s="43"/>
      <c r="M80" s="43"/>
      <c r="N80" s="43"/>
      <c r="O80" s="43"/>
      <c r="P80" s="43"/>
      <c r="Q80" s="43"/>
      <c r="R80" s="43"/>
      <c r="S80" s="43"/>
      <c r="T80" s="43"/>
      <c r="U80" s="43"/>
      <c r="V80" s="43"/>
      <c r="W80" s="44"/>
      <c r="X80" s="44"/>
    </row>
    <row r="81" spans="1:24" x14ac:dyDescent="0.25">
      <c r="A81" s="102" t="s">
        <v>4915</v>
      </c>
      <c r="B81" s="62" t="s">
        <v>5055</v>
      </c>
      <c r="C81" s="62" t="s">
        <v>58</v>
      </c>
      <c r="D81" s="103"/>
      <c r="E81" s="11"/>
      <c r="F81" s="12"/>
      <c r="G81" s="60"/>
      <c r="H81" s="60"/>
      <c r="I81" s="101"/>
      <c r="J81" s="74"/>
      <c r="K81" s="43"/>
      <c r="L81" s="43"/>
      <c r="M81" s="43"/>
      <c r="N81" s="43"/>
      <c r="O81" s="43"/>
      <c r="P81" s="43"/>
      <c r="Q81" s="43"/>
      <c r="R81" s="43"/>
      <c r="S81" s="43"/>
      <c r="T81" s="43"/>
      <c r="U81" s="43"/>
      <c r="V81" s="43"/>
      <c r="W81" s="44"/>
      <c r="X81" s="44"/>
    </row>
    <row r="82" spans="1:24" x14ac:dyDescent="0.25">
      <c r="A82" s="102" t="s">
        <v>4916</v>
      </c>
      <c r="B82" s="62" t="s">
        <v>5056</v>
      </c>
      <c r="C82" s="62" t="s">
        <v>58</v>
      </c>
      <c r="D82" s="103"/>
      <c r="E82" s="11"/>
      <c r="F82" s="12"/>
      <c r="G82" s="60"/>
      <c r="H82" s="60"/>
      <c r="I82" s="101"/>
      <c r="J82" s="74"/>
      <c r="K82" s="43"/>
      <c r="L82" s="43"/>
      <c r="M82" s="43"/>
      <c r="N82" s="43"/>
      <c r="O82" s="43"/>
      <c r="P82" s="43"/>
      <c r="Q82" s="43"/>
      <c r="R82" s="43"/>
      <c r="S82" s="43"/>
      <c r="T82" s="43"/>
      <c r="U82" s="43"/>
      <c r="V82" s="43"/>
      <c r="W82" s="44"/>
      <c r="X82" s="44"/>
    </row>
    <row r="83" spans="1:24" x14ac:dyDescent="0.25">
      <c r="A83" s="102" t="s">
        <v>4917</v>
      </c>
      <c r="B83" s="62" t="s">
        <v>5057</v>
      </c>
      <c r="C83" s="62" t="s">
        <v>58</v>
      </c>
      <c r="D83" s="103"/>
      <c r="E83" s="11"/>
      <c r="F83" s="12"/>
      <c r="G83" s="60"/>
      <c r="H83" s="60"/>
      <c r="I83" s="101"/>
      <c r="J83" s="74"/>
      <c r="K83" s="43"/>
      <c r="L83" s="43"/>
      <c r="M83" s="43"/>
      <c r="N83" s="43"/>
      <c r="O83" s="43"/>
      <c r="P83" s="43"/>
      <c r="Q83" s="43"/>
      <c r="R83" s="43"/>
      <c r="S83" s="43"/>
      <c r="T83" s="43"/>
      <c r="U83" s="43"/>
      <c r="V83" s="43"/>
      <c r="W83" s="44"/>
      <c r="X83" s="44"/>
    </row>
    <row r="84" spans="1:24" x14ac:dyDescent="0.25">
      <c r="A84" s="102" t="s">
        <v>4918</v>
      </c>
      <c r="B84" s="62" t="s">
        <v>5058</v>
      </c>
      <c r="C84" s="62" t="s">
        <v>58</v>
      </c>
      <c r="D84" s="103"/>
      <c r="E84" s="11"/>
      <c r="F84" s="12"/>
      <c r="G84" s="60"/>
      <c r="H84" s="60"/>
      <c r="I84" s="101"/>
      <c r="J84" s="74"/>
      <c r="K84" s="43"/>
      <c r="L84" s="43"/>
      <c r="M84" s="43"/>
      <c r="N84" s="43"/>
      <c r="O84" s="43"/>
      <c r="P84" s="43"/>
      <c r="Q84" s="43"/>
      <c r="R84" s="43"/>
      <c r="S84" s="43"/>
      <c r="T84" s="43"/>
      <c r="U84" s="43"/>
      <c r="V84" s="43"/>
      <c r="W84" s="44"/>
      <c r="X84" s="44"/>
    </row>
    <row r="85" spans="1:24" x14ac:dyDescent="0.25">
      <c r="A85" s="102" t="s">
        <v>4919</v>
      </c>
      <c r="B85" s="62" t="s">
        <v>5059</v>
      </c>
      <c r="C85" s="62" t="s">
        <v>58</v>
      </c>
      <c r="D85" s="103"/>
      <c r="E85" s="11"/>
      <c r="F85" s="12"/>
      <c r="G85" s="60"/>
      <c r="H85" s="60"/>
      <c r="I85" s="101"/>
      <c r="J85" s="74"/>
      <c r="K85" s="43"/>
      <c r="L85" s="43"/>
      <c r="M85" s="43"/>
      <c r="N85" s="43"/>
      <c r="O85" s="43"/>
      <c r="P85" s="43"/>
      <c r="Q85" s="43"/>
      <c r="R85" s="43"/>
      <c r="S85" s="43"/>
      <c r="T85" s="43"/>
      <c r="U85" s="43"/>
      <c r="V85" s="43"/>
      <c r="W85" s="44"/>
      <c r="X85" s="44"/>
    </row>
    <row r="86" spans="1:24" x14ac:dyDescent="0.25">
      <c r="A86" s="102" t="s">
        <v>4920</v>
      </c>
      <c r="B86" s="62" t="s">
        <v>5060</v>
      </c>
      <c r="C86" s="62" t="s">
        <v>58</v>
      </c>
      <c r="D86" s="103"/>
      <c r="E86" s="11"/>
      <c r="F86" s="12"/>
      <c r="G86" s="60"/>
      <c r="H86" s="60"/>
      <c r="I86" s="101"/>
      <c r="J86" s="74"/>
      <c r="K86" s="43"/>
      <c r="L86" s="43"/>
      <c r="M86" s="43"/>
      <c r="N86" s="43"/>
      <c r="O86" s="43"/>
      <c r="P86" s="43"/>
      <c r="Q86" s="43"/>
      <c r="R86" s="43"/>
      <c r="S86" s="43"/>
      <c r="T86" s="43"/>
      <c r="U86" s="43"/>
      <c r="V86" s="43"/>
      <c r="W86" s="44"/>
      <c r="X86" s="44"/>
    </row>
    <row r="87" spans="1:24" x14ac:dyDescent="0.25">
      <c r="A87" s="102" t="s">
        <v>4921</v>
      </c>
      <c r="B87" s="62" t="s">
        <v>5049</v>
      </c>
      <c r="C87" s="62" t="s">
        <v>60</v>
      </c>
      <c r="D87" s="103"/>
      <c r="E87" s="11"/>
      <c r="F87" s="12"/>
      <c r="G87" s="60"/>
      <c r="H87" s="60"/>
      <c r="I87" s="101"/>
      <c r="J87" s="74"/>
      <c r="K87" s="43"/>
      <c r="L87" s="43"/>
      <c r="M87" s="43"/>
      <c r="N87" s="43"/>
      <c r="O87" s="43"/>
      <c r="P87" s="43"/>
      <c r="Q87" s="43"/>
      <c r="R87" s="43"/>
      <c r="S87" s="43"/>
      <c r="T87" s="43"/>
      <c r="U87" s="43"/>
      <c r="V87" s="43"/>
      <c r="W87" s="44"/>
      <c r="X87" s="44"/>
    </row>
    <row r="88" spans="1:24" x14ac:dyDescent="0.25">
      <c r="A88" s="102" t="s">
        <v>4922</v>
      </c>
      <c r="B88" s="62" t="s">
        <v>5050</v>
      </c>
      <c r="C88" s="62" t="s">
        <v>60</v>
      </c>
      <c r="D88" s="103"/>
      <c r="E88" s="11"/>
      <c r="F88" s="12"/>
      <c r="G88" s="60"/>
      <c r="H88" s="60"/>
      <c r="I88" s="101"/>
      <c r="J88" s="74"/>
      <c r="K88" s="43"/>
      <c r="L88" s="43"/>
      <c r="M88" s="43"/>
      <c r="N88" s="43"/>
      <c r="O88" s="43"/>
      <c r="P88" s="43"/>
      <c r="Q88" s="43"/>
      <c r="R88" s="43"/>
      <c r="S88" s="43"/>
      <c r="T88" s="43"/>
      <c r="U88" s="43"/>
      <c r="V88" s="43"/>
      <c r="W88" s="44"/>
      <c r="X88" s="44"/>
    </row>
    <row r="89" spans="1:24" x14ac:dyDescent="0.25">
      <c r="A89" s="102" t="s">
        <v>4923</v>
      </c>
      <c r="B89" s="62" t="s">
        <v>5051</v>
      </c>
      <c r="C89" s="62" t="s">
        <v>60</v>
      </c>
      <c r="D89" s="103"/>
      <c r="E89" s="11"/>
      <c r="F89" s="12"/>
      <c r="G89" s="60"/>
      <c r="H89" s="60"/>
      <c r="I89" s="101"/>
      <c r="J89" s="74"/>
      <c r="K89" s="43"/>
      <c r="L89" s="43"/>
      <c r="M89" s="43"/>
      <c r="N89" s="43"/>
      <c r="O89" s="43"/>
      <c r="P89" s="43"/>
      <c r="Q89" s="43"/>
      <c r="R89" s="43"/>
      <c r="S89" s="43"/>
      <c r="T89" s="43"/>
      <c r="U89" s="43"/>
      <c r="V89" s="43"/>
      <c r="W89" s="44"/>
      <c r="X89" s="44"/>
    </row>
    <row r="90" spans="1:24" x14ac:dyDescent="0.25">
      <c r="A90" s="102" t="s">
        <v>4924</v>
      </c>
      <c r="B90" s="62" t="s">
        <v>5052</v>
      </c>
      <c r="C90" s="62" t="s">
        <v>60</v>
      </c>
      <c r="D90" s="103"/>
      <c r="E90" s="11"/>
      <c r="F90" s="12"/>
      <c r="G90" s="60"/>
      <c r="H90" s="60"/>
      <c r="I90" s="101"/>
      <c r="J90" s="74"/>
      <c r="K90" s="43"/>
      <c r="L90" s="43"/>
      <c r="M90" s="43"/>
      <c r="N90" s="43"/>
      <c r="O90" s="43"/>
      <c r="P90" s="43"/>
      <c r="Q90" s="43"/>
      <c r="R90" s="43"/>
      <c r="S90" s="43"/>
      <c r="T90" s="43"/>
      <c r="U90" s="43"/>
      <c r="V90" s="43"/>
      <c r="W90" s="44"/>
      <c r="X90" s="44"/>
    </row>
    <row r="91" spans="1:24" x14ac:dyDescent="0.25">
      <c r="A91" s="102" t="s">
        <v>4925</v>
      </c>
      <c r="B91" s="62" t="s">
        <v>5053</v>
      </c>
      <c r="C91" s="62" t="s">
        <v>60</v>
      </c>
      <c r="D91" s="103"/>
      <c r="E91" s="11"/>
      <c r="F91" s="12"/>
      <c r="G91" s="60"/>
      <c r="H91" s="60"/>
      <c r="I91" s="101"/>
      <c r="J91" s="74"/>
      <c r="K91" s="43"/>
      <c r="L91" s="43"/>
      <c r="M91" s="43"/>
      <c r="N91" s="43"/>
      <c r="O91" s="43"/>
      <c r="P91" s="43"/>
      <c r="Q91" s="43"/>
      <c r="R91" s="43"/>
      <c r="S91" s="43"/>
      <c r="T91" s="43"/>
      <c r="U91" s="43"/>
      <c r="V91" s="43"/>
      <c r="W91" s="44"/>
      <c r="X91" s="44"/>
    </row>
    <row r="92" spans="1:24" x14ac:dyDescent="0.25">
      <c r="A92" s="102" t="s">
        <v>4926</v>
      </c>
      <c r="B92" s="62" t="s">
        <v>5054</v>
      </c>
      <c r="C92" s="62" t="s">
        <v>60</v>
      </c>
      <c r="D92" s="103"/>
      <c r="E92" s="11"/>
      <c r="F92" s="12"/>
      <c r="G92" s="60"/>
      <c r="H92" s="60"/>
      <c r="I92" s="101"/>
      <c r="J92" s="74"/>
      <c r="K92" s="43"/>
      <c r="L92" s="43"/>
      <c r="M92" s="43"/>
      <c r="N92" s="43"/>
      <c r="O92" s="43"/>
      <c r="P92" s="43"/>
      <c r="Q92" s="43"/>
      <c r="R92" s="43"/>
      <c r="S92" s="43"/>
      <c r="T92" s="43"/>
      <c r="U92" s="43"/>
      <c r="V92" s="43"/>
      <c r="W92" s="44"/>
      <c r="X92" s="44"/>
    </row>
    <row r="93" spans="1:24" x14ac:dyDescent="0.25">
      <c r="A93" s="102" t="s">
        <v>4927</v>
      </c>
      <c r="B93" s="62" t="s">
        <v>5055</v>
      </c>
      <c r="C93" s="62" t="s">
        <v>60</v>
      </c>
      <c r="D93" s="103"/>
      <c r="E93" s="11"/>
      <c r="F93" s="12"/>
      <c r="G93" s="60"/>
      <c r="H93" s="60"/>
      <c r="I93" s="101"/>
      <c r="J93" s="74"/>
      <c r="K93" s="43"/>
      <c r="L93" s="43"/>
      <c r="M93" s="43"/>
      <c r="N93" s="43"/>
      <c r="O93" s="43"/>
      <c r="P93" s="43"/>
      <c r="Q93" s="43"/>
      <c r="R93" s="43"/>
      <c r="S93" s="43"/>
      <c r="T93" s="43"/>
      <c r="U93" s="43"/>
      <c r="V93" s="43"/>
      <c r="W93" s="44"/>
      <c r="X93" s="44"/>
    </row>
    <row r="94" spans="1:24" x14ac:dyDescent="0.25">
      <c r="A94" s="102" t="s">
        <v>4928</v>
      </c>
      <c r="B94" s="62" t="s">
        <v>5056</v>
      </c>
      <c r="C94" s="62" t="s">
        <v>60</v>
      </c>
      <c r="D94" s="103"/>
      <c r="E94" s="11"/>
      <c r="F94" s="12"/>
      <c r="G94" s="60"/>
      <c r="H94" s="60"/>
      <c r="I94" s="101"/>
      <c r="J94" s="74"/>
      <c r="K94" s="43"/>
      <c r="L94" s="43"/>
      <c r="M94" s="43"/>
      <c r="N94" s="43"/>
      <c r="O94" s="43"/>
      <c r="P94" s="43"/>
      <c r="Q94" s="43"/>
      <c r="R94" s="43"/>
      <c r="S94" s="43"/>
      <c r="T94" s="43"/>
      <c r="U94" s="43"/>
      <c r="V94" s="43"/>
      <c r="W94" s="44"/>
      <c r="X94" s="44"/>
    </row>
    <row r="95" spans="1:24" x14ac:dyDescent="0.25">
      <c r="A95" s="102" t="s">
        <v>4929</v>
      </c>
      <c r="B95" s="62" t="s">
        <v>5057</v>
      </c>
      <c r="C95" s="62" t="s">
        <v>60</v>
      </c>
      <c r="D95" s="103"/>
      <c r="E95" s="11"/>
      <c r="F95" s="12"/>
      <c r="G95" s="60"/>
      <c r="H95" s="60"/>
      <c r="I95" s="101"/>
      <c r="J95" s="74"/>
      <c r="K95" s="43"/>
      <c r="L95" s="43"/>
      <c r="M95" s="43"/>
      <c r="N95" s="43"/>
      <c r="O95" s="43"/>
      <c r="P95" s="43"/>
      <c r="Q95" s="43"/>
      <c r="R95" s="43"/>
      <c r="S95" s="43"/>
      <c r="T95" s="43"/>
      <c r="U95" s="43"/>
      <c r="V95" s="43"/>
      <c r="W95" s="44"/>
      <c r="X95" s="44"/>
    </row>
    <row r="96" spans="1:24" x14ac:dyDescent="0.25">
      <c r="A96" s="102" t="s">
        <v>4930</v>
      </c>
      <c r="B96" s="62" t="s">
        <v>5058</v>
      </c>
      <c r="C96" s="62" t="s">
        <v>60</v>
      </c>
      <c r="D96" s="103"/>
      <c r="E96" s="11"/>
      <c r="F96" s="12"/>
      <c r="G96" s="60"/>
      <c r="H96" s="60"/>
      <c r="I96" s="101"/>
      <c r="J96" s="74"/>
      <c r="K96" s="43"/>
      <c r="L96" s="43"/>
      <c r="M96" s="43"/>
      <c r="N96" s="43"/>
      <c r="O96" s="43"/>
      <c r="P96" s="43"/>
      <c r="Q96" s="43"/>
      <c r="R96" s="43"/>
      <c r="S96" s="43"/>
      <c r="T96" s="43"/>
      <c r="U96" s="43"/>
      <c r="V96" s="43"/>
      <c r="W96" s="44"/>
      <c r="X96" s="44"/>
    </row>
    <row r="97" spans="1:24" x14ac:dyDescent="0.25">
      <c r="A97" s="102" t="s">
        <v>4931</v>
      </c>
      <c r="B97" s="62" t="s">
        <v>5059</v>
      </c>
      <c r="C97" s="62" t="s">
        <v>60</v>
      </c>
      <c r="D97" s="103"/>
      <c r="E97" s="11"/>
      <c r="F97" s="12"/>
      <c r="G97" s="60"/>
      <c r="H97" s="60"/>
      <c r="I97" s="101"/>
      <c r="J97" s="74"/>
      <c r="K97" s="43"/>
      <c r="L97" s="43"/>
      <c r="M97" s="43"/>
      <c r="N97" s="43"/>
      <c r="O97" s="43"/>
      <c r="P97" s="43"/>
      <c r="Q97" s="43"/>
      <c r="R97" s="43"/>
      <c r="S97" s="43"/>
      <c r="T97" s="43"/>
      <c r="U97" s="43"/>
      <c r="V97" s="43"/>
      <c r="W97" s="44"/>
      <c r="X97" s="44"/>
    </row>
    <row r="98" spans="1:24" x14ac:dyDescent="0.25">
      <c r="A98" s="102" t="s">
        <v>4932</v>
      </c>
      <c r="B98" s="62" t="s">
        <v>5060</v>
      </c>
      <c r="C98" s="62" t="s">
        <v>60</v>
      </c>
      <c r="D98" s="103"/>
      <c r="E98" s="11"/>
      <c r="F98" s="12"/>
      <c r="G98" s="60"/>
      <c r="H98" s="60"/>
      <c r="I98" s="101"/>
      <c r="J98" s="74"/>
      <c r="K98" s="43"/>
      <c r="L98" s="43"/>
      <c r="M98" s="43"/>
      <c r="N98" s="43"/>
      <c r="O98" s="43"/>
      <c r="P98" s="43"/>
      <c r="Q98" s="43"/>
      <c r="R98" s="43"/>
      <c r="S98" s="43"/>
      <c r="T98" s="43"/>
      <c r="U98" s="43"/>
      <c r="V98" s="43"/>
      <c r="W98" s="44"/>
      <c r="X98" s="44"/>
    </row>
    <row r="99" spans="1:24" x14ac:dyDescent="0.25">
      <c r="A99" s="102" t="s">
        <v>4933</v>
      </c>
      <c r="B99" s="62" t="s">
        <v>5049</v>
      </c>
      <c r="C99" s="62" t="s">
        <v>62</v>
      </c>
      <c r="D99" s="103"/>
      <c r="E99" s="11"/>
      <c r="F99" s="12"/>
      <c r="G99" s="60"/>
      <c r="H99" s="60"/>
      <c r="I99" s="101"/>
      <c r="J99" s="74"/>
      <c r="K99" s="43"/>
      <c r="L99" s="43"/>
      <c r="M99" s="43"/>
      <c r="N99" s="43"/>
      <c r="O99" s="43"/>
      <c r="P99" s="43"/>
      <c r="Q99" s="43"/>
      <c r="R99" s="43"/>
      <c r="S99" s="43"/>
      <c r="T99" s="43"/>
      <c r="U99" s="43"/>
      <c r="V99" s="43"/>
      <c r="W99" s="44"/>
      <c r="X99" s="44"/>
    </row>
    <row r="100" spans="1:24" x14ac:dyDescent="0.25">
      <c r="A100" s="102" t="s">
        <v>4934</v>
      </c>
      <c r="B100" s="62" t="s">
        <v>5050</v>
      </c>
      <c r="C100" s="62" t="s">
        <v>62</v>
      </c>
      <c r="D100" s="103"/>
      <c r="E100" s="11"/>
      <c r="F100" s="12"/>
      <c r="G100" s="60"/>
      <c r="H100" s="60"/>
      <c r="I100" s="101"/>
      <c r="J100" s="74"/>
      <c r="K100" s="43"/>
      <c r="L100" s="43"/>
      <c r="M100" s="43"/>
      <c r="N100" s="43"/>
      <c r="O100" s="43"/>
      <c r="P100" s="43"/>
      <c r="Q100" s="43"/>
      <c r="R100" s="43"/>
      <c r="S100" s="43"/>
      <c r="T100" s="43"/>
      <c r="U100" s="43"/>
      <c r="V100" s="43"/>
      <c r="W100" s="44"/>
      <c r="X100" s="44"/>
    </row>
    <row r="101" spans="1:24" x14ac:dyDescent="0.25">
      <c r="A101" s="102" t="s">
        <v>4935</v>
      </c>
      <c r="B101" s="62" t="s">
        <v>5051</v>
      </c>
      <c r="C101" s="62" t="s">
        <v>62</v>
      </c>
      <c r="D101" s="103"/>
      <c r="E101" s="11"/>
      <c r="F101" s="12"/>
      <c r="G101" s="60"/>
      <c r="H101" s="60"/>
      <c r="I101" s="101"/>
      <c r="J101" s="74"/>
      <c r="K101" s="43"/>
      <c r="L101" s="43"/>
      <c r="M101" s="43"/>
      <c r="N101" s="43"/>
      <c r="O101" s="43"/>
      <c r="P101" s="43"/>
      <c r="Q101" s="43"/>
      <c r="R101" s="43"/>
      <c r="S101" s="43"/>
      <c r="T101" s="43"/>
      <c r="U101" s="43"/>
      <c r="V101" s="43"/>
      <c r="W101" s="44"/>
      <c r="X101" s="44"/>
    </row>
    <row r="102" spans="1:24" x14ac:dyDescent="0.25">
      <c r="A102" s="102" t="s">
        <v>4936</v>
      </c>
      <c r="B102" s="62" t="s">
        <v>5052</v>
      </c>
      <c r="C102" s="62" t="s">
        <v>62</v>
      </c>
      <c r="D102" s="103"/>
      <c r="E102" s="11"/>
      <c r="F102" s="12"/>
      <c r="G102" s="60"/>
      <c r="H102" s="60"/>
      <c r="I102" s="101"/>
      <c r="J102" s="74"/>
      <c r="K102" s="43"/>
      <c r="L102" s="43"/>
      <c r="M102" s="43"/>
      <c r="N102" s="43"/>
      <c r="O102" s="43"/>
      <c r="P102" s="43"/>
      <c r="Q102" s="43"/>
      <c r="R102" s="43"/>
      <c r="S102" s="43"/>
      <c r="T102" s="43"/>
      <c r="U102" s="43"/>
      <c r="V102" s="43"/>
      <c r="W102" s="44"/>
      <c r="X102" s="44"/>
    </row>
    <row r="103" spans="1:24" x14ac:dyDescent="0.25">
      <c r="A103" s="102" t="s">
        <v>4937</v>
      </c>
      <c r="B103" s="62" t="s">
        <v>5053</v>
      </c>
      <c r="C103" s="62" t="s">
        <v>62</v>
      </c>
      <c r="D103" s="103"/>
      <c r="E103" s="11"/>
      <c r="F103" s="12"/>
      <c r="G103" s="60"/>
      <c r="H103" s="60"/>
      <c r="I103" s="101"/>
      <c r="J103" s="74"/>
      <c r="K103" s="43"/>
      <c r="L103" s="43"/>
      <c r="M103" s="43"/>
      <c r="N103" s="43"/>
      <c r="O103" s="43"/>
      <c r="P103" s="43"/>
      <c r="Q103" s="43"/>
      <c r="R103" s="43"/>
      <c r="S103" s="43"/>
      <c r="T103" s="43"/>
      <c r="U103" s="43"/>
      <c r="V103" s="43"/>
      <c r="W103" s="44"/>
      <c r="X103" s="44"/>
    </row>
    <row r="104" spans="1:24" x14ac:dyDescent="0.25">
      <c r="A104" s="102" t="s">
        <v>4938</v>
      </c>
      <c r="B104" s="62" t="s">
        <v>5054</v>
      </c>
      <c r="C104" s="62" t="s">
        <v>62</v>
      </c>
      <c r="D104" s="103"/>
      <c r="E104" s="11"/>
      <c r="F104" s="12"/>
      <c r="G104" s="60"/>
      <c r="H104" s="60"/>
      <c r="I104" s="101"/>
      <c r="J104" s="74"/>
      <c r="K104" s="43"/>
      <c r="L104" s="43"/>
      <c r="M104" s="43"/>
      <c r="N104" s="43"/>
      <c r="O104" s="43"/>
      <c r="P104" s="43"/>
      <c r="Q104" s="43"/>
      <c r="R104" s="43"/>
      <c r="S104" s="43"/>
      <c r="T104" s="43"/>
      <c r="U104" s="43"/>
      <c r="V104" s="43"/>
      <c r="W104" s="44"/>
      <c r="X104" s="44"/>
    </row>
    <row r="105" spans="1:24" x14ac:dyDescent="0.25">
      <c r="A105" s="102" t="s">
        <v>4939</v>
      </c>
      <c r="B105" s="62" t="s">
        <v>5055</v>
      </c>
      <c r="C105" s="62" t="s">
        <v>62</v>
      </c>
      <c r="D105" s="103"/>
      <c r="E105" s="11"/>
      <c r="F105" s="12"/>
      <c r="G105" s="60"/>
      <c r="H105" s="60"/>
      <c r="I105" s="101"/>
      <c r="J105" s="74"/>
      <c r="K105" s="43"/>
      <c r="L105" s="43"/>
      <c r="M105" s="43"/>
      <c r="N105" s="43"/>
      <c r="O105" s="43"/>
      <c r="P105" s="43"/>
      <c r="Q105" s="43"/>
      <c r="R105" s="43"/>
      <c r="S105" s="43"/>
      <c r="T105" s="43"/>
      <c r="U105" s="43"/>
      <c r="V105" s="43"/>
      <c r="W105" s="44"/>
      <c r="X105" s="44"/>
    </row>
    <row r="106" spans="1:24" x14ac:dyDescent="0.25">
      <c r="A106" s="102" t="s">
        <v>4940</v>
      </c>
      <c r="B106" s="62" t="s">
        <v>5056</v>
      </c>
      <c r="C106" s="62" t="s">
        <v>62</v>
      </c>
      <c r="D106" s="103"/>
      <c r="E106" s="11"/>
      <c r="F106" s="12"/>
      <c r="G106" s="60"/>
      <c r="H106" s="60"/>
      <c r="I106" s="101"/>
      <c r="J106" s="74"/>
      <c r="K106" s="43"/>
      <c r="L106" s="43"/>
      <c r="M106" s="43"/>
      <c r="N106" s="43"/>
      <c r="O106" s="43"/>
      <c r="P106" s="43"/>
      <c r="Q106" s="43"/>
      <c r="R106" s="43"/>
      <c r="S106" s="43"/>
      <c r="T106" s="43"/>
      <c r="U106" s="43"/>
      <c r="V106" s="43"/>
      <c r="W106" s="44"/>
      <c r="X106" s="44"/>
    </row>
    <row r="107" spans="1:24" x14ac:dyDescent="0.25">
      <c r="A107" s="102" t="s">
        <v>4941</v>
      </c>
      <c r="B107" s="62" t="s">
        <v>5057</v>
      </c>
      <c r="C107" s="62" t="s">
        <v>62</v>
      </c>
      <c r="D107" s="103"/>
      <c r="E107" s="11"/>
      <c r="F107" s="12"/>
      <c r="G107" s="60"/>
      <c r="H107" s="60"/>
      <c r="I107" s="101"/>
      <c r="J107" s="74"/>
      <c r="K107" s="43"/>
      <c r="L107" s="43"/>
      <c r="M107" s="43"/>
      <c r="N107" s="43"/>
      <c r="O107" s="43"/>
      <c r="P107" s="43"/>
      <c r="Q107" s="43"/>
      <c r="R107" s="43"/>
      <c r="S107" s="43"/>
      <c r="T107" s="43"/>
      <c r="U107" s="43"/>
      <c r="V107" s="43"/>
      <c r="W107" s="44"/>
      <c r="X107" s="44"/>
    </row>
    <row r="108" spans="1:24" x14ac:dyDescent="0.25">
      <c r="A108" s="102" t="s">
        <v>4942</v>
      </c>
      <c r="B108" s="62" t="s">
        <v>5058</v>
      </c>
      <c r="C108" s="62" t="s">
        <v>62</v>
      </c>
      <c r="D108" s="103"/>
      <c r="E108" s="11"/>
      <c r="F108" s="12"/>
      <c r="G108" s="60"/>
      <c r="H108" s="60"/>
      <c r="I108" s="101"/>
      <c r="J108" s="74"/>
      <c r="K108" s="43"/>
      <c r="L108" s="43"/>
      <c r="M108" s="43"/>
      <c r="N108" s="43"/>
      <c r="O108" s="43"/>
      <c r="P108" s="43"/>
      <c r="Q108" s="43"/>
      <c r="R108" s="43"/>
      <c r="S108" s="43"/>
      <c r="T108" s="43"/>
      <c r="U108" s="43"/>
      <c r="V108" s="43"/>
      <c r="W108" s="44"/>
      <c r="X108" s="44"/>
    </row>
    <row r="109" spans="1:24" x14ac:dyDescent="0.25">
      <c r="A109" s="102" t="s">
        <v>4943</v>
      </c>
      <c r="B109" s="62" t="s">
        <v>5059</v>
      </c>
      <c r="C109" s="62" t="s">
        <v>62</v>
      </c>
      <c r="D109" s="103"/>
      <c r="E109" s="11"/>
      <c r="F109" s="12"/>
      <c r="G109" s="60"/>
      <c r="H109" s="60"/>
      <c r="I109" s="101"/>
      <c r="J109" s="74"/>
      <c r="K109" s="43"/>
      <c r="L109" s="43"/>
      <c r="M109" s="43"/>
      <c r="N109" s="43"/>
      <c r="O109" s="43"/>
      <c r="P109" s="43"/>
      <c r="Q109" s="43"/>
      <c r="R109" s="43"/>
      <c r="S109" s="43"/>
      <c r="T109" s="43"/>
      <c r="U109" s="43"/>
      <c r="V109" s="43"/>
      <c r="W109" s="44"/>
      <c r="X109" s="44"/>
    </row>
    <row r="110" spans="1:24" x14ac:dyDescent="0.25">
      <c r="A110" s="102" t="s">
        <v>4944</v>
      </c>
      <c r="B110" s="62" t="s">
        <v>5060</v>
      </c>
      <c r="C110" s="62" t="s">
        <v>62</v>
      </c>
      <c r="D110" s="103"/>
      <c r="E110" s="11"/>
      <c r="F110" s="12"/>
      <c r="G110" s="60"/>
      <c r="H110" s="60"/>
      <c r="I110" s="101"/>
      <c r="J110" s="74"/>
      <c r="K110" s="43"/>
      <c r="L110" s="43"/>
      <c r="M110" s="43"/>
      <c r="N110" s="43"/>
      <c r="O110" s="43"/>
      <c r="P110" s="43"/>
      <c r="Q110" s="43"/>
      <c r="R110" s="43"/>
      <c r="S110" s="43"/>
      <c r="T110" s="43"/>
      <c r="U110" s="43"/>
      <c r="V110" s="43"/>
      <c r="W110" s="44"/>
      <c r="X110" s="44"/>
    </row>
    <row r="111" spans="1:24" x14ac:dyDescent="0.25">
      <c r="A111" s="102" t="s">
        <v>4945</v>
      </c>
      <c r="B111" s="62" t="s">
        <v>5061</v>
      </c>
      <c r="C111" s="62" t="s">
        <v>56</v>
      </c>
      <c r="D111" s="103"/>
      <c r="E111" s="11"/>
      <c r="F111" s="12"/>
      <c r="G111" s="60"/>
      <c r="H111" s="60"/>
      <c r="I111" s="101"/>
      <c r="J111" s="74"/>
      <c r="K111" s="43"/>
      <c r="L111" s="43"/>
      <c r="M111" s="43"/>
      <c r="N111" s="43"/>
      <c r="O111" s="43"/>
      <c r="P111" s="43"/>
      <c r="Q111" s="43"/>
      <c r="R111" s="43"/>
      <c r="S111" s="43"/>
      <c r="T111" s="43"/>
      <c r="U111" s="43"/>
      <c r="V111" s="43"/>
      <c r="W111" s="44"/>
      <c r="X111" s="44"/>
    </row>
    <row r="112" spans="1:24" x14ac:dyDescent="0.25">
      <c r="A112" s="102" t="s">
        <v>4946</v>
      </c>
      <c r="B112" s="62" t="s">
        <v>5062</v>
      </c>
      <c r="C112" s="62" t="s">
        <v>56</v>
      </c>
      <c r="D112" s="103"/>
      <c r="E112" s="11"/>
      <c r="F112" s="12"/>
      <c r="G112" s="60"/>
      <c r="H112" s="60"/>
      <c r="I112" s="101"/>
      <c r="J112" s="74"/>
      <c r="K112" s="43"/>
      <c r="L112" s="43"/>
      <c r="M112" s="43"/>
      <c r="N112" s="43"/>
      <c r="O112" s="43"/>
      <c r="P112" s="43"/>
      <c r="Q112" s="43"/>
      <c r="R112" s="43"/>
      <c r="S112" s="43"/>
      <c r="T112" s="43"/>
      <c r="U112" s="43"/>
      <c r="V112" s="43"/>
      <c r="W112" s="44"/>
      <c r="X112" s="44"/>
    </row>
    <row r="113" spans="1:24" x14ac:dyDescent="0.25">
      <c r="A113" s="102" t="s">
        <v>4947</v>
      </c>
      <c r="B113" s="62" t="s">
        <v>5063</v>
      </c>
      <c r="C113" s="62" t="s">
        <v>56</v>
      </c>
      <c r="D113" s="103"/>
      <c r="E113" s="11"/>
      <c r="F113" s="12"/>
      <c r="G113" s="60"/>
      <c r="H113" s="60"/>
      <c r="I113" s="101"/>
      <c r="J113" s="74"/>
      <c r="K113" s="43"/>
      <c r="L113" s="43"/>
      <c r="M113" s="43"/>
      <c r="N113" s="43"/>
      <c r="O113" s="43"/>
      <c r="P113" s="43"/>
      <c r="Q113" s="43"/>
      <c r="R113" s="43"/>
      <c r="S113" s="43"/>
      <c r="T113" s="43"/>
      <c r="U113" s="43"/>
      <c r="V113" s="43"/>
      <c r="W113" s="44"/>
      <c r="X113" s="44"/>
    </row>
    <row r="114" spans="1:24" x14ac:dyDescent="0.25">
      <c r="A114" s="102" t="s">
        <v>4948</v>
      </c>
      <c r="B114" s="62" t="s">
        <v>5064</v>
      </c>
      <c r="C114" s="62" t="s">
        <v>56</v>
      </c>
      <c r="D114" s="103"/>
      <c r="E114" s="11"/>
      <c r="F114" s="12"/>
      <c r="G114" s="60"/>
      <c r="H114" s="60"/>
      <c r="I114" s="101"/>
      <c r="J114" s="74"/>
      <c r="K114" s="43"/>
      <c r="L114" s="43"/>
      <c r="M114" s="43"/>
      <c r="N114" s="43"/>
      <c r="O114" s="43"/>
      <c r="P114" s="43"/>
      <c r="Q114" s="43"/>
      <c r="R114" s="43"/>
      <c r="S114" s="43"/>
      <c r="T114" s="43"/>
      <c r="U114" s="43"/>
      <c r="V114" s="43"/>
      <c r="W114" s="44"/>
      <c r="X114" s="44"/>
    </row>
    <row r="115" spans="1:24" x14ac:dyDescent="0.25">
      <c r="A115" s="102" t="s">
        <v>4949</v>
      </c>
      <c r="B115" s="62" t="s">
        <v>5065</v>
      </c>
      <c r="C115" s="62" t="s">
        <v>56</v>
      </c>
      <c r="D115" s="103"/>
      <c r="E115" s="11"/>
      <c r="F115" s="12"/>
      <c r="G115" s="60"/>
      <c r="H115" s="60"/>
      <c r="I115" s="101"/>
      <c r="J115" s="74"/>
      <c r="K115" s="43"/>
      <c r="L115" s="43"/>
      <c r="M115" s="43"/>
      <c r="N115" s="43"/>
      <c r="O115" s="43"/>
      <c r="P115" s="43"/>
      <c r="Q115" s="43"/>
      <c r="R115" s="43"/>
      <c r="S115" s="43"/>
      <c r="T115" s="43"/>
      <c r="U115" s="43"/>
      <c r="V115" s="43"/>
      <c r="W115" s="44"/>
      <c r="X115" s="44"/>
    </row>
    <row r="116" spans="1:24" x14ac:dyDescent="0.25">
      <c r="A116" s="102" t="s">
        <v>4950</v>
      </c>
      <c r="B116" s="62" t="s">
        <v>5066</v>
      </c>
      <c r="C116" s="62" t="s">
        <v>56</v>
      </c>
      <c r="D116" s="103"/>
      <c r="E116" s="11"/>
      <c r="F116" s="12"/>
      <c r="G116" s="60"/>
      <c r="H116" s="60"/>
      <c r="I116" s="101"/>
      <c r="J116" s="74"/>
      <c r="K116" s="43"/>
      <c r="L116" s="43"/>
      <c r="M116" s="43"/>
      <c r="N116" s="43"/>
      <c r="O116" s="43"/>
      <c r="P116" s="43"/>
      <c r="Q116" s="43"/>
      <c r="R116" s="43"/>
      <c r="S116" s="43"/>
      <c r="T116" s="43"/>
      <c r="U116" s="43"/>
      <c r="V116" s="43"/>
      <c r="W116" s="44"/>
      <c r="X116" s="44"/>
    </row>
    <row r="117" spans="1:24" x14ac:dyDescent="0.25">
      <c r="A117" s="102" t="s">
        <v>4951</v>
      </c>
      <c r="B117" s="62" t="s">
        <v>5067</v>
      </c>
      <c r="C117" s="62" t="s">
        <v>56</v>
      </c>
      <c r="D117" s="103"/>
      <c r="E117" s="11"/>
      <c r="F117" s="12"/>
      <c r="G117" s="60"/>
      <c r="H117" s="60"/>
      <c r="I117" s="101"/>
      <c r="J117" s="74"/>
      <c r="K117" s="43"/>
      <c r="L117" s="43"/>
      <c r="M117" s="43"/>
      <c r="N117" s="43"/>
      <c r="O117" s="43"/>
      <c r="P117" s="43"/>
      <c r="Q117" s="43"/>
      <c r="R117" s="43"/>
      <c r="S117" s="43"/>
      <c r="T117" s="43"/>
      <c r="U117" s="43"/>
      <c r="V117" s="43"/>
      <c r="W117" s="44"/>
      <c r="X117" s="44"/>
    </row>
    <row r="118" spans="1:24" x14ac:dyDescent="0.25">
      <c r="A118" s="102" t="s">
        <v>4952</v>
      </c>
      <c r="B118" s="62" t="s">
        <v>5068</v>
      </c>
      <c r="C118" s="62" t="s">
        <v>56</v>
      </c>
      <c r="D118" s="103"/>
      <c r="E118" s="11"/>
      <c r="F118" s="12"/>
      <c r="G118" s="60"/>
      <c r="H118" s="60"/>
      <c r="I118" s="101"/>
      <c r="J118" s="74"/>
      <c r="K118" s="43"/>
      <c r="L118" s="43"/>
      <c r="M118" s="43"/>
      <c r="N118" s="43"/>
      <c r="O118" s="43"/>
      <c r="P118" s="43"/>
      <c r="Q118" s="43"/>
      <c r="R118" s="43"/>
      <c r="S118" s="43"/>
      <c r="T118" s="43"/>
      <c r="U118" s="43"/>
      <c r="V118" s="43"/>
      <c r="W118" s="44"/>
      <c r="X118" s="44"/>
    </row>
    <row r="119" spans="1:24" x14ac:dyDescent="0.25">
      <c r="A119" s="102" t="s">
        <v>4953</v>
      </c>
      <c r="B119" s="62" t="s">
        <v>5069</v>
      </c>
      <c r="C119" s="62" t="s">
        <v>56</v>
      </c>
      <c r="D119" s="103"/>
      <c r="E119" s="11"/>
      <c r="F119" s="12"/>
      <c r="G119" s="60"/>
      <c r="H119" s="60"/>
      <c r="I119" s="101"/>
      <c r="J119" s="74"/>
      <c r="K119" s="43"/>
      <c r="L119" s="43"/>
      <c r="M119" s="43"/>
      <c r="N119" s="43"/>
      <c r="O119" s="43"/>
      <c r="P119" s="43"/>
      <c r="Q119" s="43"/>
      <c r="R119" s="43"/>
      <c r="S119" s="43"/>
      <c r="T119" s="43"/>
      <c r="U119" s="43"/>
      <c r="V119" s="43"/>
      <c r="W119" s="44"/>
      <c r="X119" s="44"/>
    </row>
    <row r="120" spans="1:24" x14ac:dyDescent="0.25">
      <c r="A120" s="102" t="s">
        <v>4954</v>
      </c>
      <c r="B120" s="62" t="s">
        <v>5070</v>
      </c>
      <c r="C120" s="62" t="s">
        <v>56</v>
      </c>
      <c r="D120" s="103"/>
      <c r="E120" s="11"/>
      <c r="F120" s="12"/>
      <c r="G120" s="60"/>
      <c r="H120" s="60"/>
      <c r="I120" s="101"/>
      <c r="J120" s="74"/>
      <c r="K120" s="43"/>
      <c r="L120" s="43"/>
      <c r="M120" s="43"/>
      <c r="N120" s="43"/>
      <c r="O120" s="43"/>
      <c r="P120" s="43"/>
      <c r="Q120" s="43"/>
      <c r="R120" s="43"/>
      <c r="S120" s="43"/>
      <c r="T120" s="43"/>
      <c r="U120" s="43"/>
      <c r="V120" s="43"/>
      <c r="W120" s="44"/>
      <c r="X120" s="44"/>
    </row>
    <row r="121" spans="1:24" x14ac:dyDescent="0.25">
      <c r="A121" s="102" t="s">
        <v>4955</v>
      </c>
      <c r="B121" s="62" t="s">
        <v>5071</v>
      </c>
      <c r="C121" s="62" t="s">
        <v>56</v>
      </c>
      <c r="D121" s="103"/>
      <c r="E121" s="11"/>
      <c r="F121" s="12"/>
      <c r="G121" s="60"/>
      <c r="H121" s="60"/>
      <c r="I121" s="101"/>
      <c r="J121" s="74"/>
      <c r="K121" s="43"/>
      <c r="L121" s="43"/>
      <c r="M121" s="43"/>
      <c r="N121" s="43"/>
      <c r="O121" s="43"/>
      <c r="P121" s="43"/>
      <c r="Q121" s="43"/>
      <c r="R121" s="43"/>
      <c r="S121" s="43"/>
      <c r="T121" s="43"/>
      <c r="U121" s="43"/>
      <c r="V121" s="43"/>
      <c r="W121" s="44"/>
      <c r="X121" s="44"/>
    </row>
    <row r="122" spans="1:24" x14ac:dyDescent="0.25">
      <c r="A122" s="102" t="s">
        <v>4956</v>
      </c>
      <c r="B122" s="62" t="s">
        <v>5072</v>
      </c>
      <c r="C122" s="62" t="s">
        <v>56</v>
      </c>
      <c r="D122" s="103"/>
      <c r="E122" s="11"/>
      <c r="F122" s="12"/>
      <c r="G122" s="60"/>
      <c r="H122" s="60"/>
      <c r="I122" s="101"/>
      <c r="J122" s="74"/>
      <c r="K122" s="43"/>
      <c r="L122" s="43"/>
      <c r="M122" s="43"/>
      <c r="N122" s="43"/>
      <c r="O122" s="43"/>
      <c r="P122" s="43"/>
      <c r="Q122" s="43"/>
      <c r="R122" s="43"/>
      <c r="S122" s="43"/>
      <c r="T122" s="43"/>
      <c r="U122" s="43"/>
      <c r="V122" s="43"/>
      <c r="W122" s="44"/>
      <c r="X122" s="44"/>
    </row>
    <row r="123" spans="1:24" x14ac:dyDescent="0.25">
      <c r="A123" s="102" t="s">
        <v>4957</v>
      </c>
      <c r="B123" s="62" t="s">
        <v>5061</v>
      </c>
      <c r="C123" s="62" t="s">
        <v>59</v>
      </c>
      <c r="D123" s="103"/>
      <c r="E123" s="11"/>
      <c r="F123" s="12"/>
      <c r="G123" s="60"/>
      <c r="H123" s="60"/>
      <c r="I123" s="101"/>
      <c r="J123" s="74"/>
      <c r="K123" s="43"/>
      <c r="L123" s="43"/>
      <c r="M123" s="43"/>
      <c r="N123" s="43"/>
      <c r="O123" s="43"/>
      <c r="P123" s="43"/>
      <c r="Q123" s="43"/>
      <c r="R123" s="43"/>
      <c r="S123" s="43"/>
      <c r="T123" s="43"/>
      <c r="U123" s="43"/>
      <c r="V123" s="43"/>
      <c r="W123" s="44"/>
      <c r="X123" s="44"/>
    </row>
    <row r="124" spans="1:24" x14ac:dyDescent="0.25">
      <c r="A124" s="102" t="s">
        <v>4958</v>
      </c>
      <c r="B124" s="62" t="s">
        <v>5062</v>
      </c>
      <c r="C124" s="62" t="s">
        <v>59</v>
      </c>
      <c r="D124" s="103"/>
      <c r="E124" s="11"/>
      <c r="F124" s="12"/>
      <c r="G124" s="60"/>
      <c r="H124" s="60"/>
      <c r="I124" s="101"/>
      <c r="J124" s="74"/>
      <c r="K124" s="43"/>
      <c r="L124" s="43"/>
      <c r="M124" s="43"/>
      <c r="N124" s="43"/>
      <c r="O124" s="43"/>
      <c r="P124" s="43"/>
      <c r="Q124" s="43"/>
      <c r="R124" s="43"/>
      <c r="S124" s="43"/>
      <c r="T124" s="43"/>
      <c r="U124" s="43"/>
      <c r="V124" s="43"/>
      <c r="W124" s="44"/>
      <c r="X124" s="44"/>
    </row>
    <row r="125" spans="1:24" x14ac:dyDescent="0.25">
      <c r="A125" s="102" t="s">
        <v>4959</v>
      </c>
      <c r="B125" s="62" t="s">
        <v>5063</v>
      </c>
      <c r="C125" s="62" t="s">
        <v>59</v>
      </c>
      <c r="D125" s="103"/>
      <c r="E125" s="11"/>
      <c r="F125" s="12"/>
      <c r="G125" s="60"/>
      <c r="H125" s="60"/>
      <c r="I125" s="101"/>
      <c r="J125" s="74"/>
      <c r="K125" s="43"/>
      <c r="L125" s="43"/>
      <c r="M125" s="43"/>
      <c r="N125" s="43"/>
      <c r="O125" s="43"/>
      <c r="P125" s="43"/>
      <c r="Q125" s="43"/>
      <c r="R125" s="43"/>
      <c r="S125" s="43"/>
      <c r="T125" s="43"/>
      <c r="U125" s="43"/>
      <c r="V125" s="43"/>
      <c r="W125" s="44"/>
      <c r="X125" s="44"/>
    </row>
    <row r="126" spans="1:24" x14ac:dyDescent="0.25">
      <c r="A126" s="102" t="s">
        <v>4960</v>
      </c>
      <c r="B126" s="62" t="s">
        <v>5064</v>
      </c>
      <c r="C126" s="62" t="s">
        <v>59</v>
      </c>
      <c r="D126" s="103"/>
      <c r="E126" s="11"/>
      <c r="F126" s="12"/>
      <c r="G126" s="60"/>
      <c r="H126" s="60"/>
      <c r="I126" s="101"/>
      <c r="J126" s="74"/>
      <c r="K126" s="43"/>
      <c r="L126" s="43"/>
      <c r="M126" s="43"/>
      <c r="N126" s="43"/>
      <c r="O126" s="43"/>
      <c r="P126" s="43"/>
      <c r="Q126" s="43"/>
      <c r="R126" s="43"/>
      <c r="S126" s="43"/>
      <c r="T126" s="43"/>
      <c r="U126" s="43"/>
      <c r="V126" s="43"/>
      <c r="W126" s="44"/>
      <c r="X126" s="44"/>
    </row>
    <row r="127" spans="1:24" x14ac:dyDescent="0.25">
      <c r="A127" s="102" t="s">
        <v>4961</v>
      </c>
      <c r="B127" s="62" t="s">
        <v>5065</v>
      </c>
      <c r="C127" s="62" t="s">
        <v>59</v>
      </c>
      <c r="D127" s="103"/>
      <c r="E127" s="11"/>
      <c r="F127" s="12"/>
      <c r="G127" s="60"/>
      <c r="H127" s="60"/>
      <c r="I127" s="101"/>
      <c r="J127" s="74"/>
      <c r="K127" s="43"/>
      <c r="L127" s="43"/>
      <c r="M127" s="43"/>
      <c r="N127" s="43"/>
      <c r="O127" s="43"/>
      <c r="P127" s="43"/>
      <c r="Q127" s="43"/>
      <c r="R127" s="43"/>
      <c r="S127" s="43"/>
      <c r="T127" s="43"/>
      <c r="U127" s="43"/>
      <c r="V127" s="43"/>
      <c r="W127" s="44"/>
      <c r="X127" s="44"/>
    </row>
    <row r="128" spans="1:24" x14ac:dyDescent="0.25">
      <c r="A128" s="102" t="s">
        <v>4962</v>
      </c>
      <c r="B128" s="62" t="s">
        <v>5066</v>
      </c>
      <c r="C128" s="62" t="s">
        <v>59</v>
      </c>
      <c r="D128" s="103"/>
      <c r="E128" s="11"/>
      <c r="F128" s="12"/>
      <c r="G128" s="60"/>
      <c r="H128" s="60"/>
      <c r="I128" s="101"/>
      <c r="J128" s="74"/>
      <c r="K128" s="43"/>
      <c r="L128" s="43"/>
      <c r="M128" s="43"/>
      <c r="N128" s="43"/>
      <c r="O128" s="43"/>
      <c r="P128" s="43"/>
      <c r="Q128" s="43"/>
      <c r="R128" s="43"/>
      <c r="S128" s="43"/>
      <c r="T128" s="43"/>
      <c r="U128" s="43"/>
      <c r="V128" s="43"/>
      <c r="W128" s="44"/>
      <c r="X128" s="44"/>
    </row>
    <row r="129" spans="1:24" x14ac:dyDescent="0.25">
      <c r="A129" s="102" t="s">
        <v>4963</v>
      </c>
      <c r="B129" s="62" t="s">
        <v>5067</v>
      </c>
      <c r="C129" s="62" t="s">
        <v>59</v>
      </c>
      <c r="D129" s="103"/>
      <c r="E129" s="11"/>
      <c r="F129" s="12"/>
      <c r="G129" s="60"/>
      <c r="H129" s="60"/>
      <c r="I129" s="101"/>
      <c r="J129" s="74"/>
      <c r="K129" s="43"/>
      <c r="L129" s="43"/>
      <c r="M129" s="43"/>
      <c r="N129" s="43"/>
      <c r="O129" s="43"/>
      <c r="P129" s="43"/>
      <c r="Q129" s="43"/>
      <c r="R129" s="43"/>
      <c r="S129" s="43"/>
      <c r="T129" s="43"/>
      <c r="U129" s="43"/>
      <c r="V129" s="43"/>
      <c r="W129" s="44"/>
      <c r="X129" s="44"/>
    </row>
    <row r="130" spans="1:24" x14ac:dyDescent="0.25">
      <c r="A130" s="102" t="s">
        <v>4964</v>
      </c>
      <c r="B130" s="62" t="s">
        <v>5068</v>
      </c>
      <c r="C130" s="62" t="s">
        <v>59</v>
      </c>
      <c r="D130" s="103"/>
      <c r="E130" s="11"/>
      <c r="F130" s="12"/>
      <c r="G130" s="60"/>
      <c r="H130" s="60"/>
      <c r="I130" s="101"/>
      <c r="J130" s="74"/>
      <c r="K130" s="43"/>
      <c r="L130" s="43"/>
      <c r="M130" s="43"/>
      <c r="N130" s="43"/>
      <c r="O130" s="43"/>
      <c r="P130" s="43"/>
      <c r="Q130" s="43"/>
      <c r="R130" s="43"/>
      <c r="S130" s="43"/>
      <c r="T130" s="43"/>
      <c r="U130" s="43"/>
      <c r="V130" s="43"/>
      <c r="W130" s="44"/>
      <c r="X130" s="44"/>
    </row>
    <row r="131" spans="1:24" x14ac:dyDescent="0.25">
      <c r="A131" s="102" t="s">
        <v>4965</v>
      </c>
      <c r="B131" s="62" t="s">
        <v>5069</v>
      </c>
      <c r="C131" s="62" t="s">
        <v>59</v>
      </c>
      <c r="D131" s="103"/>
      <c r="E131" s="11"/>
      <c r="F131" s="12"/>
      <c r="G131" s="60"/>
      <c r="H131" s="60"/>
      <c r="I131" s="101"/>
      <c r="J131" s="74"/>
      <c r="K131" s="43"/>
      <c r="L131" s="43"/>
      <c r="M131" s="43"/>
      <c r="N131" s="43"/>
      <c r="O131" s="43"/>
      <c r="P131" s="43"/>
      <c r="Q131" s="43"/>
      <c r="R131" s="43"/>
      <c r="S131" s="43"/>
      <c r="T131" s="43"/>
      <c r="U131" s="43"/>
      <c r="V131" s="43"/>
      <c r="W131" s="44"/>
      <c r="X131" s="44"/>
    </row>
    <row r="132" spans="1:24" x14ac:dyDescent="0.25">
      <c r="A132" s="102" t="s">
        <v>4966</v>
      </c>
      <c r="B132" s="62" t="s">
        <v>5070</v>
      </c>
      <c r="C132" s="62" t="s">
        <v>59</v>
      </c>
      <c r="D132" s="103"/>
      <c r="E132" s="11"/>
      <c r="F132" s="12"/>
      <c r="G132" s="60"/>
      <c r="H132" s="60"/>
      <c r="I132" s="101"/>
      <c r="J132" s="74"/>
      <c r="K132" s="43"/>
      <c r="L132" s="43"/>
      <c r="M132" s="43"/>
      <c r="N132" s="43"/>
      <c r="O132" s="43"/>
      <c r="P132" s="43"/>
      <c r="Q132" s="43"/>
      <c r="R132" s="43"/>
      <c r="S132" s="43"/>
      <c r="T132" s="43"/>
      <c r="U132" s="43"/>
      <c r="V132" s="43"/>
      <c r="W132" s="44"/>
      <c r="X132" s="44"/>
    </row>
    <row r="133" spans="1:24" x14ac:dyDescent="0.25">
      <c r="A133" s="102" t="s">
        <v>4967</v>
      </c>
      <c r="B133" s="62" t="s">
        <v>5071</v>
      </c>
      <c r="C133" s="62" t="s">
        <v>59</v>
      </c>
      <c r="D133" s="103"/>
      <c r="E133" s="11"/>
      <c r="F133" s="12"/>
      <c r="G133" s="60"/>
      <c r="H133" s="60"/>
      <c r="I133" s="101"/>
      <c r="J133" s="74"/>
      <c r="K133" s="43"/>
      <c r="L133" s="43"/>
      <c r="M133" s="43"/>
      <c r="N133" s="43"/>
      <c r="O133" s="43"/>
      <c r="P133" s="43"/>
      <c r="Q133" s="43"/>
      <c r="R133" s="43"/>
      <c r="S133" s="43"/>
      <c r="T133" s="43"/>
      <c r="U133" s="43"/>
      <c r="V133" s="43"/>
      <c r="W133" s="44"/>
      <c r="X133" s="44"/>
    </row>
    <row r="134" spans="1:24" x14ac:dyDescent="0.25">
      <c r="A134" s="102" t="s">
        <v>4968</v>
      </c>
      <c r="B134" s="62" t="s">
        <v>5072</v>
      </c>
      <c r="C134" s="62" t="s">
        <v>59</v>
      </c>
      <c r="D134" s="103"/>
      <c r="E134" s="11"/>
      <c r="F134" s="12"/>
      <c r="G134" s="60"/>
      <c r="H134" s="60"/>
      <c r="I134" s="101"/>
      <c r="J134" s="74"/>
      <c r="K134" s="43"/>
      <c r="L134" s="43"/>
      <c r="M134" s="43"/>
      <c r="N134" s="43"/>
      <c r="O134" s="43"/>
      <c r="P134" s="43"/>
      <c r="Q134" s="43"/>
      <c r="R134" s="43"/>
      <c r="S134" s="43"/>
      <c r="T134" s="43"/>
      <c r="U134" s="43"/>
      <c r="V134" s="43"/>
      <c r="W134" s="44"/>
      <c r="X134" s="44"/>
    </row>
    <row r="135" spans="1:24" x14ac:dyDescent="0.25">
      <c r="A135" s="102" t="s">
        <v>4969</v>
      </c>
      <c r="B135" s="62" t="s">
        <v>5061</v>
      </c>
      <c r="C135" s="62" t="s">
        <v>61</v>
      </c>
      <c r="D135" s="103"/>
      <c r="E135" s="11"/>
      <c r="F135" s="12"/>
      <c r="G135" s="60"/>
      <c r="H135" s="60"/>
      <c r="I135" s="101"/>
      <c r="J135" s="74"/>
      <c r="K135" s="43"/>
      <c r="L135" s="43"/>
      <c r="M135" s="43"/>
      <c r="N135" s="43"/>
      <c r="O135" s="43"/>
      <c r="P135" s="43"/>
      <c r="Q135" s="43"/>
      <c r="R135" s="43"/>
      <c r="S135" s="43"/>
      <c r="T135" s="43"/>
      <c r="U135" s="43"/>
      <c r="V135" s="43"/>
      <c r="W135" s="44"/>
      <c r="X135" s="44"/>
    </row>
    <row r="136" spans="1:24" x14ac:dyDescent="0.25">
      <c r="A136" s="102" t="s">
        <v>4970</v>
      </c>
      <c r="B136" s="62" t="s">
        <v>5062</v>
      </c>
      <c r="C136" s="62" t="s">
        <v>61</v>
      </c>
      <c r="D136" s="103"/>
      <c r="E136" s="11"/>
      <c r="F136" s="12"/>
      <c r="G136" s="60"/>
      <c r="H136" s="60"/>
      <c r="I136" s="101"/>
      <c r="J136" s="74"/>
      <c r="K136" s="43"/>
      <c r="L136" s="43"/>
      <c r="M136" s="43"/>
      <c r="N136" s="43"/>
      <c r="O136" s="43"/>
      <c r="P136" s="43"/>
      <c r="Q136" s="43"/>
      <c r="R136" s="43"/>
      <c r="S136" s="43"/>
      <c r="T136" s="43"/>
      <c r="U136" s="43"/>
      <c r="V136" s="43"/>
      <c r="W136" s="44"/>
      <c r="X136" s="44"/>
    </row>
    <row r="137" spans="1:24" x14ac:dyDescent="0.25">
      <c r="A137" s="102" t="s">
        <v>4971</v>
      </c>
      <c r="B137" s="62" t="s">
        <v>5063</v>
      </c>
      <c r="C137" s="62" t="s">
        <v>61</v>
      </c>
      <c r="D137" s="103"/>
      <c r="E137" s="11"/>
      <c r="F137" s="12"/>
      <c r="G137" s="60"/>
      <c r="H137" s="60"/>
      <c r="I137" s="101"/>
      <c r="J137" s="74"/>
      <c r="K137" s="43"/>
      <c r="L137" s="43"/>
      <c r="M137" s="43"/>
      <c r="N137" s="43"/>
      <c r="O137" s="43"/>
      <c r="P137" s="43"/>
      <c r="Q137" s="43"/>
      <c r="R137" s="43"/>
      <c r="S137" s="43"/>
      <c r="T137" s="43"/>
      <c r="U137" s="43"/>
      <c r="V137" s="43"/>
      <c r="W137" s="44"/>
      <c r="X137" s="44"/>
    </row>
    <row r="138" spans="1:24" x14ac:dyDescent="0.25">
      <c r="A138" s="102" t="s">
        <v>4972</v>
      </c>
      <c r="B138" s="62" t="s">
        <v>5064</v>
      </c>
      <c r="C138" s="62" t="s">
        <v>61</v>
      </c>
      <c r="D138" s="103"/>
      <c r="E138" s="11"/>
      <c r="F138" s="12"/>
      <c r="G138" s="60"/>
      <c r="H138" s="60"/>
      <c r="I138" s="101"/>
      <c r="J138" s="74"/>
      <c r="K138" s="43"/>
      <c r="L138" s="43"/>
      <c r="M138" s="43"/>
      <c r="N138" s="43"/>
      <c r="O138" s="43"/>
      <c r="P138" s="43"/>
      <c r="Q138" s="43"/>
      <c r="R138" s="43"/>
      <c r="S138" s="43"/>
      <c r="T138" s="43"/>
      <c r="U138" s="43"/>
      <c r="V138" s="43"/>
      <c r="W138" s="44"/>
      <c r="X138" s="44"/>
    </row>
    <row r="139" spans="1:24" x14ac:dyDescent="0.25">
      <c r="A139" s="102" t="s">
        <v>4973</v>
      </c>
      <c r="B139" s="62" t="s">
        <v>5065</v>
      </c>
      <c r="C139" s="62" t="s">
        <v>61</v>
      </c>
      <c r="D139" s="103"/>
      <c r="E139" s="11"/>
      <c r="F139" s="12"/>
      <c r="G139" s="60"/>
      <c r="H139" s="60"/>
      <c r="I139" s="101"/>
      <c r="J139" s="74"/>
      <c r="K139" s="43"/>
      <c r="L139" s="43"/>
      <c r="M139" s="43"/>
      <c r="N139" s="43"/>
      <c r="O139" s="43"/>
      <c r="P139" s="43"/>
      <c r="Q139" s="43"/>
      <c r="R139" s="43"/>
      <c r="S139" s="43"/>
      <c r="T139" s="43"/>
      <c r="U139" s="43"/>
      <c r="V139" s="43"/>
      <c r="W139" s="44"/>
      <c r="X139" s="44"/>
    </row>
    <row r="140" spans="1:24" x14ac:dyDescent="0.25">
      <c r="A140" s="102" t="s">
        <v>4974</v>
      </c>
      <c r="B140" s="62" t="s">
        <v>5066</v>
      </c>
      <c r="C140" s="62" t="s">
        <v>61</v>
      </c>
      <c r="D140" s="103"/>
      <c r="E140" s="11"/>
      <c r="F140" s="12"/>
      <c r="G140" s="60"/>
      <c r="H140" s="60"/>
      <c r="I140" s="101"/>
      <c r="J140" s="74"/>
      <c r="K140" s="43"/>
      <c r="L140" s="43"/>
      <c r="M140" s="43"/>
      <c r="N140" s="43"/>
      <c r="O140" s="43"/>
      <c r="P140" s="43"/>
      <c r="Q140" s="43"/>
      <c r="R140" s="43"/>
      <c r="S140" s="43"/>
      <c r="T140" s="43"/>
      <c r="U140" s="43"/>
      <c r="V140" s="43"/>
      <c r="W140" s="44"/>
      <c r="X140" s="44"/>
    </row>
    <row r="141" spans="1:24" x14ac:dyDescent="0.25">
      <c r="A141" s="102" t="s">
        <v>4975</v>
      </c>
      <c r="B141" s="62" t="s">
        <v>5067</v>
      </c>
      <c r="C141" s="62" t="s">
        <v>61</v>
      </c>
      <c r="D141" s="103"/>
      <c r="E141" s="11"/>
      <c r="F141" s="12"/>
      <c r="G141" s="60"/>
      <c r="H141" s="60"/>
      <c r="I141" s="101"/>
      <c r="J141" s="74"/>
      <c r="K141" s="43"/>
      <c r="L141" s="43"/>
      <c r="M141" s="43"/>
      <c r="N141" s="43"/>
      <c r="O141" s="43"/>
      <c r="P141" s="43"/>
      <c r="Q141" s="43"/>
      <c r="R141" s="43"/>
      <c r="S141" s="43"/>
      <c r="T141" s="43"/>
      <c r="U141" s="43"/>
      <c r="V141" s="43"/>
      <c r="W141" s="44"/>
      <c r="X141" s="44"/>
    </row>
    <row r="142" spans="1:24" x14ac:dyDescent="0.25">
      <c r="A142" s="102" t="s">
        <v>4976</v>
      </c>
      <c r="B142" s="62" t="s">
        <v>5068</v>
      </c>
      <c r="C142" s="62" t="s">
        <v>61</v>
      </c>
      <c r="D142" s="103"/>
      <c r="E142" s="11"/>
      <c r="F142" s="12"/>
      <c r="G142" s="60"/>
      <c r="H142" s="60"/>
      <c r="I142" s="101"/>
      <c r="J142" s="74"/>
      <c r="K142" s="43"/>
      <c r="L142" s="43"/>
      <c r="M142" s="43"/>
      <c r="N142" s="43"/>
      <c r="O142" s="43"/>
      <c r="P142" s="43"/>
      <c r="Q142" s="43"/>
      <c r="R142" s="43"/>
      <c r="S142" s="43"/>
      <c r="T142" s="43"/>
      <c r="U142" s="43"/>
      <c r="V142" s="43"/>
      <c r="W142" s="44"/>
      <c r="X142" s="44"/>
    </row>
    <row r="143" spans="1:24" x14ac:dyDescent="0.25">
      <c r="A143" s="102" t="s">
        <v>4977</v>
      </c>
      <c r="B143" s="62" t="s">
        <v>5069</v>
      </c>
      <c r="C143" s="62" t="s">
        <v>61</v>
      </c>
      <c r="D143" s="103"/>
      <c r="E143" s="11"/>
      <c r="F143" s="12"/>
      <c r="G143" s="60"/>
      <c r="H143" s="60"/>
      <c r="I143" s="101"/>
      <c r="J143" s="74"/>
      <c r="K143" s="43"/>
      <c r="L143" s="43"/>
      <c r="M143" s="43"/>
      <c r="N143" s="43"/>
      <c r="O143" s="43"/>
      <c r="P143" s="43"/>
      <c r="Q143" s="43"/>
      <c r="R143" s="43"/>
      <c r="S143" s="43"/>
      <c r="T143" s="43"/>
      <c r="U143" s="43"/>
      <c r="V143" s="43"/>
      <c r="W143" s="44"/>
      <c r="X143" s="44"/>
    </row>
    <row r="144" spans="1:24" x14ac:dyDescent="0.25">
      <c r="A144" s="102" t="s">
        <v>4978</v>
      </c>
      <c r="B144" s="62" t="s">
        <v>5070</v>
      </c>
      <c r="C144" s="62" t="s">
        <v>61</v>
      </c>
      <c r="D144" s="103"/>
      <c r="E144" s="11"/>
      <c r="F144" s="12"/>
      <c r="G144" s="60"/>
      <c r="H144" s="60"/>
      <c r="I144" s="101"/>
      <c r="J144" s="74"/>
      <c r="K144" s="43"/>
      <c r="L144" s="43"/>
      <c r="M144" s="43"/>
      <c r="N144" s="43"/>
      <c r="O144" s="43"/>
      <c r="P144" s="43"/>
      <c r="Q144" s="43"/>
      <c r="R144" s="43"/>
      <c r="S144" s="43"/>
      <c r="T144" s="43"/>
      <c r="U144" s="43"/>
      <c r="V144" s="43"/>
      <c r="W144" s="44"/>
      <c r="X144" s="44"/>
    </row>
    <row r="145" spans="1:24" x14ac:dyDescent="0.25">
      <c r="A145" s="102" t="s">
        <v>4979</v>
      </c>
      <c r="B145" s="62" t="s">
        <v>5071</v>
      </c>
      <c r="C145" s="62" t="s">
        <v>61</v>
      </c>
      <c r="D145" s="103"/>
      <c r="E145" s="11"/>
      <c r="F145" s="12"/>
      <c r="G145" s="60"/>
      <c r="H145" s="60"/>
      <c r="I145" s="101"/>
      <c r="J145" s="74"/>
      <c r="K145" s="43"/>
      <c r="L145" s="43"/>
      <c r="M145" s="43"/>
      <c r="N145" s="43"/>
      <c r="O145" s="43"/>
      <c r="P145" s="43"/>
      <c r="Q145" s="43"/>
      <c r="R145" s="43"/>
      <c r="S145" s="43"/>
      <c r="T145" s="43"/>
      <c r="U145" s="43"/>
      <c r="V145" s="43"/>
      <c r="W145" s="44"/>
      <c r="X145" s="44"/>
    </row>
    <row r="146" spans="1:24" x14ac:dyDescent="0.25">
      <c r="A146" s="102" t="s">
        <v>4980</v>
      </c>
      <c r="B146" s="62" t="s">
        <v>5072</v>
      </c>
      <c r="C146" s="62" t="s">
        <v>61</v>
      </c>
      <c r="D146" s="103"/>
      <c r="E146" s="11"/>
      <c r="F146" s="12"/>
      <c r="G146" s="60"/>
      <c r="H146" s="60"/>
      <c r="I146" s="101"/>
      <c r="J146" s="74"/>
      <c r="K146" s="43"/>
      <c r="L146" s="43"/>
      <c r="M146" s="43"/>
      <c r="N146" s="43"/>
      <c r="O146" s="43"/>
      <c r="P146" s="43"/>
      <c r="Q146" s="43"/>
      <c r="R146" s="43"/>
      <c r="S146" s="43"/>
      <c r="T146" s="43"/>
      <c r="U146" s="43"/>
      <c r="V146" s="43"/>
      <c r="W146" s="44"/>
      <c r="X146" s="44"/>
    </row>
    <row r="147" spans="1:24" x14ac:dyDescent="0.25">
      <c r="A147" s="102" t="s">
        <v>4981</v>
      </c>
      <c r="B147" s="62" t="s">
        <v>5061</v>
      </c>
      <c r="C147" s="62" t="s">
        <v>63</v>
      </c>
      <c r="D147" s="103"/>
      <c r="E147" s="11"/>
      <c r="F147" s="12"/>
      <c r="G147" s="60"/>
      <c r="H147" s="60"/>
      <c r="I147" s="101"/>
      <c r="J147" s="74"/>
      <c r="K147" s="43"/>
      <c r="L147" s="43"/>
      <c r="M147" s="43"/>
      <c r="N147" s="43"/>
      <c r="O147" s="43"/>
      <c r="P147" s="43"/>
      <c r="Q147" s="43"/>
      <c r="R147" s="43"/>
      <c r="S147" s="43"/>
      <c r="T147" s="43"/>
      <c r="U147" s="43"/>
      <c r="V147" s="43"/>
      <c r="W147" s="44"/>
      <c r="X147" s="44"/>
    </row>
    <row r="148" spans="1:24" x14ac:dyDescent="0.25">
      <c r="A148" s="102" t="s">
        <v>4982</v>
      </c>
      <c r="B148" s="62" t="s">
        <v>5062</v>
      </c>
      <c r="C148" s="62" t="s">
        <v>63</v>
      </c>
      <c r="D148" s="103"/>
      <c r="E148" s="11"/>
      <c r="F148" s="12"/>
      <c r="G148" s="60"/>
      <c r="H148" s="60"/>
      <c r="I148" s="101"/>
      <c r="J148" s="74"/>
      <c r="K148" s="43"/>
      <c r="L148" s="43"/>
      <c r="M148" s="43"/>
      <c r="N148" s="43"/>
      <c r="O148" s="43"/>
      <c r="P148" s="43"/>
      <c r="Q148" s="43"/>
      <c r="R148" s="43"/>
      <c r="S148" s="43"/>
      <c r="T148" s="43"/>
      <c r="U148" s="43"/>
      <c r="V148" s="43"/>
      <c r="W148" s="44"/>
      <c r="X148" s="44"/>
    </row>
    <row r="149" spans="1:24" x14ac:dyDescent="0.25">
      <c r="A149" s="102" t="s">
        <v>4983</v>
      </c>
      <c r="B149" s="62" t="s">
        <v>5063</v>
      </c>
      <c r="C149" s="62" t="s">
        <v>63</v>
      </c>
      <c r="D149" s="103"/>
      <c r="E149" s="11"/>
      <c r="F149" s="12"/>
      <c r="G149" s="60"/>
      <c r="H149" s="60"/>
      <c r="I149" s="101"/>
      <c r="J149" s="74"/>
      <c r="K149" s="43"/>
      <c r="L149" s="43"/>
      <c r="M149" s="43"/>
      <c r="N149" s="43"/>
      <c r="O149" s="43"/>
      <c r="P149" s="43"/>
      <c r="Q149" s="43"/>
      <c r="R149" s="43"/>
      <c r="S149" s="43"/>
      <c r="T149" s="43"/>
      <c r="U149" s="43"/>
      <c r="V149" s="43"/>
      <c r="W149" s="44"/>
      <c r="X149" s="44"/>
    </row>
    <row r="150" spans="1:24" x14ac:dyDescent="0.25">
      <c r="A150" s="102" t="s">
        <v>4984</v>
      </c>
      <c r="B150" s="62" t="s">
        <v>5064</v>
      </c>
      <c r="C150" s="62" t="s">
        <v>63</v>
      </c>
      <c r="D150" s="103"/>
      <c r="E150" s="11"/>
      <c r="F150" s="12"/>
      <c r="G150" s="60"/>
      <c r="H150" s="60"/>
      <c r="I150" s="101"/>
      <c r="J150" s="74"/>
      <c r="K150" s="43"/>
      <c r="L150" s="43"/>
      <c r="M150" s="43"/>
      <c r="N150" s="43"/>
      <c r="O150" s="43"/>
      <c r="P150" s="43"/>
      <c r="Q150" s="43"/>
      <c r="R150" s="43"/>
      <c r="S150" s="43"/>
      <c r="T150" s="43"/>
      <c r="U150" s="43"/>
      <c r="V150" s="43"/>
      <c r="W150" s="44"/>
      <c r="X150" s="44"/>
    </row>
    <row r="151" spans="1:24" x14ac:dyDescent="0.25">
      <c r="A151" s="102" t="s">
        <v>4985</v>
      </c>
      <c r="B151" s="62" t="s">
        <v>5065</v>
      </c>
      <c r="C151" s="62" t="s">
        <v>63</v>
      </c>
      <c r="D151" s="103"/>
      <c r="E151" s="11"/>
      <c r="F151" s="12"/>
      <c r="G151" s="60"/>
      <c r="H151" s="60"/>
      <c r="I151" s="101"/>
      <c r="J151" s="74"/>
      <c r="K151" s="43"/>
      <c r="L151" s="43"/>
      <c r="M151" s="43"/>
      <c r="N151" s="43"/>
      <c r="O151" s="43"/>
      <c r="P151" s="43"/>
      <c r="Q151" s="43"/>
      <c r="R151" s="43"/>
      <c r="S151" s="43"/>
      <c r="T151" s="43"/>
      <c r="U151" s="43"/>
      <c r="V151" s="43"/>
      <c r="W151" s="44"/>
      <c r="X151" s="44"/>
    </row>
    <row r="152" spans="1:24" x14ac:dyDescent="0.25">
      <c r="A152" s="102" t="s">
        <v>4986</v>
      </c>
      <c r="B152" s="62" t="s">
        <v>5066</v>
      </c>
      <c r="C152" s="62" t="s">
        <v>63</v>
      </c>
      <c r="D152" s="103"/>
      <c r="E152" s="11"/>
      <c r="F152" s="12"/>
      <c r="G152" s="60"/>
      <c r="H152" s="60"/>
      <c r="I152" s="101"/>
      <c r="J152" s="74"/>
      <c r="K152" s="43"/>
      <c r="L152" s="43"/>
      <c r="M152" s="43"/>
      <c r="N152" s="43"/>
      <c r="O152" s="43"/>
      <c r="P152" s="43"/>
      <c r="Q152" s="43"/>
      <c r="R152" s="43"/>
      <c r="S152" s="43"/>
      <c r="T152" s="43"/>
      <c r="U152" s="43"/>
      <c r="V152" s="43"/>
      <c r="W152" s="44"/>
      <c r="X152" s="44"/>
    </row>
    <row r="153" spans="1:24" x14ac:dyDescent="0.25">
      <c r="A153" s="102" t="s">
        <v>4987</v>
      </c>
      <c r="B153" s="62" t="s">
        <v>5067</v>
      </c>
      <c r="C153" s="62" t="s">
        <v>63</v>
      </c>
      <c r="D153" s="103"/>
      <c r="E153" s="11"/>
      <c r="F153" s="12"/>
      <c r="G153" s="60"/>
      <c r="H153" s="60"/>
      <c r="I153" s="101"/>
      <c r="J153" s="74"/>
      <c r="K153" s="43"/>
      <c r="L153" s="43"/>
      <c r="M153" s="43"/>
      <c r="N153" s="43"/>
      <c r="O153" s="43"/>
      <c r="P153" s="43"/>
      <c r="Q153" s="43"/>
      <c r="R153" s="43"/>
      <c r="S153" s="43"/>
      <c r="T153" s="43"/>
      <c r="U153" s="43"/>
      <c r="V153" s="43"/>
      <c r="W153" s="44"/>
      <c r="X153" s="44"/>
    </row>
    <row r="154" spans="1:24" x14ac:dyDescent="0.25">
      <c r="A154" s="102" t="s">
        <v>4988</v>
      </c>
      <c r="B154" s="62" t="s">
        <v>5068</v>
      </c>
      <c r="C154" s="62" t="s">
        <v>63</v>
      </c>
      <c r="D154" s="103"/>
      <c r="E154" s="11"/>
      <c r="F154" s="12"/>
      <c r="G154" s="60"/>
      <c r="H154" s="60"/>
      <c r="I154" s="101"/>
      <c r="J154" s="74"/>
      <c r="K154" s="43"/>
      <c r="L154" s="43"/>
      <c r="M154" s="43"/>
      <c r="N154" s="43"/>
      <c r="O154" s="43"/>
      <c r="P154" s="43"/>
      <c r="Q154" s="43"/>
      <c r="R154" s="43"/>
      <c r="S154" s="43"/>
      <c r="T154" s="43"/>
      <c r="U154" s="43"/>
      <c r="V154" s="43"/>
      <c r="W154" s="44"/>
      <c r="X154" s="44"/>
    </row>
    <row r="155" spans="1:24" x14ac:dyDescent="0.25">
      <c r="A155" s="102" t="s">
        <v>4989</v>
      </c>
      <c r="B155" s="62" t="s">
        <v>5069</v>
      </c>
      <c r="C155" s="62" t="s">
        <v>63</v>
      </c>
      <c r="D155" s="103"/>
      <c r="E155" s="11"/>
      <c r="F155" s="12"/>
      <c r="G155" s="60"/>
      <c r="H155" s="60"/>
      <c r="I155" s="101"/>
      <c r="J155" s="74"/>
      <c r="K155" s="43"/>
      <c r="L155" s="43"/>
      <c r="M155" s="43"/>
      <c r="N155" s="43"/>
      <c r="O155" s="43"/>
      <c r="P155" s="43"/>
      <c r="Q155" s="43"/>
      <c r="R155" s="43"/>
      <c r="S155" s="43"/>
      <c r="T155" s="43"/>
      <c r="U155" s="43"/>
      <c r="V155" s="43"/>
      <c r="W155" s="44"/>
      <c r="X155" s="44"/>
    </row>
    <row r="156" spans="1:24" x14ac:dyDescent="0.25">
      <c r="A156" s="102" t="s">
        <v>4990</v>
      </c>
      <c r="B156" s="62" t="s">
        <v>5070</v>
      </c>
      <c r="C156" s="62" t="s">
        <v>63</v>
      </c>
      <c r="D156" s="103"/>
      <c r="E156" s="11"/>
      <c r="F156" s="12"/>
      <c r="G156" s="60"/>
      <c r="H156" s="60"/>
      <c r="I156" s="101"/>
      <c r="J156" s="74"/>
      <c r="K156" s="43"/>
      <c r="L156" s="43"/>
      <c r="M156" s="43"/>
      <c r="N156" s="43"/>
      <c r="O156" s="43"/>
      <c r="P156" s="43"/>
      <c r="Q156" s="43"/>
      <c r="R156" s="43"/>
      <c r="S156" s="43"/>
      <c r="T156" s="43"/>
      <c r="U156" s="43"/>
      <c r="V156" s="43"/>
      <c r="W156" s="44"/>
      <c r="X156" s="44"/>
    </row>
    <row r="157" spans="1:24" x14ac:dyDescent="0.25">
      <c r="A157" s="102" t="s">
        <v>4991</v>
      </c>
      <c r="B157" s="62" t="s">
        <v>5071</v>
      </c>
      <c r="C157" s="62" t="s">
        <v>63</v>
      </c>
      <c r="D157" s="103"/>
      <c r="E157" s="11"/>
      <c r="F157" s="12"/>
      <c r="G157" s="60"/>
      <c r="H157" s="60"/>
      <c r="I157" s="101"/>
      <c r="J157" s="74"/>
      <c r="K157" s="43"/>
      <c r="L157" s="43"/>
      <c r="M157" s="43"/>
      <c r="N157" s="43"/>
      <c r="O157" s="43"/>
      <c r="P157" s="43"/>
      <c r="Q157" s="43"/>
      <c r="R157" s="43"/>
      <c r="S157" s="43"/>
      <c r="T157" s="43"/>
      <c r="U157" s="43"/>
      <c r="V157" s="43"/>
      <c r="W157" s="44"/>
      <c r="X157" s="44"/>
    </row>
    <row r="158" spans="1:24" x14ac:dyDescent="0.25">
      <c r="A158" s="102" t="s">
        <v>4992</v>
      </c>
      <c r="B158" s="62" t="s">
        <v>5072</v>
      </c>
      <c r="C158" s="62" t="s">
        <v>63</v>
      </c>
      <c r="D158" s="103"/>
      <c r="E158" s="11"/>
      <c r="F158" s="12"/>
      <c r="G158" s="60"/>
      <c r="H158" s="60"/>
      <c r="I158" s="101"/>
      <c r="J158" s="74"/>
      <c r="K158" s="43"/>
      <c r="L158" s="43"/>
      <c r="M158" s="43"/>
      <c r="N158" s="43"/>
      <c r="O158" s="43"/>
      <c r="P158" s="43"/>
      <c r="Q158" s="43"/>
      <c r="R158" s="43"/>
      <c r="S158" s="43"/>
      <c r="T158" s="43"/>
      <c r="U158" s="43"/>
      <c r="V158" s="43"/>
      <c r="W158" s="44"/>
      <c r="X158" s="44"/>
    </row>
    <row r="159" spans="1:24" x14ac:dyDescent="0.25">
      <c r="A159" s="102" t="s">
        <v>4993</v>
      </c>
      <c r="B159" s="62" t="s">
        <v>5061</v>
      </c>
      <c r="C159" s="62" t="s">
        <v>57</v>
      </c>
      <c r="D159" s="103"/>
      <c r="E159" s="11"/>
      <c r="F159" s="12"/>
      <c r="G159" s="60"/>
      <c r="H159" s="60"/>
      <c r="I159" s="101"/>
      <c r="J159" s="74"/>
      <c r="K159" s="43"/>
      <c r="L159" s="43"/>
      <c r="M159" s="43"/>
      <c r="N159" s="43"/>
      <c r="O159" s="43"/>
      <c r="P159" s="43"/>
      <c r="Q159" s="43"/>
      <c r="R159" s="43"/>
      <c r="S159" s="43"/>
      <c r="T159" s="43"/>
      <c r="U159" s="43"/>
      <c r="V159" s="43"/>
      <c r="W159" s="44"/>
      <c r="X159" s="44"/>
    </row>
    <row r="160" spans="1:24" x14ac:dyDescent="0.25">
      <c r="A160" s="102" t="s">
        <v>4994</v>
      </c>
      <c r="B160" s="62" t="s">
        <v>5062</v>
      </c>
      <c r="C160" s="62" t="s">
        <v>57</v>
      </c>
      <c r="D160" s="103"/>
      <c r="E160" s="11"/>
      <c r="F160" s="12"/>
      <c r="G160" s="60"/>
      <c r="H160" s="60"/>
      <c r="I160" s="101"/>
      <c r="J160" s="74"/>
      <c r="K160" s="43"/>
      <c r="L160" s="43"/>
      <c r="M160" s="43"/>
      <c r="N160" s="43"/>
      <c r="O160" s="43"/>
      <c r="P160" s="43"/>
      <c r="Q160" s="43"/>
      <c r="R160" s="43"/>
      <c r="S160" s="43"/>
      <c r="T160" s="43"/>
      <c r="U160" s="43"/>
      <c r="V160" s="43"/>
      <c r="W160" s="44"/>
      <c r="X160" s="44"/>
    </row>
    <row r="161" spans="1:24" x14ac:dyDescent="0.25">
      <c r="A161" s="102" t="s">
        <v>4995</v>
      </c>
      <c r="B161" s="62" t="s">
        <v>5063</v>
      </c>
      <c r="C161" s="62" t="s">
        <v>57</v>
      </c>
      <c r="D161" s="103"/>
      <c r="E161" s="11"/>
      <c r="F161" s="12"/>
      <c r="G161" s="60"/>
      <c r="H161" s="60"/>
      <c r="I161" s="101"/>
      <c r="J161" s="74"/>
      <c r="K161" s="43"/>
      <c r="L161" s="43"/>
      <c r="M161" s="43"/>
      <c r="N161" s="43"/>
      <c r="O161" s="43"/>
      <c r="P161" s="43"/>
      <c r="Q161" s="43"/>
      <c r="R161" s="43"/>
      <c r="S161" s="43"/>
      <c r="T161" s="43"/>
      <c r="U161" s="43"/>
      <c r="V161" s="43"/>
      <c r="W161" s="44"/>
      <c r="X161" s="44"/>
    </row>
    <row r="162" spans="1:24" x14ac:dyDescent="0.25">
      <c r="A162" s="102" t="s">
        <v>4996</v>
      </c>
      <c r="B162" s="62" t="s">
        <v>5064</v>
      </c>
      <c r="C162" s="62" t="s">
        <v>57</v>
      </c>
      <c r="D162" s="103"/>
      <c r="E162" s="11"/>
      <c r="F162" s="12"/>
      <c r="G162" s="60"/>
      <c r="H162" s="60"/>
      <c r="I162" s="101"/>
      <c r="J162" s="74"/>
      <c r="K162" s="43"/>
      <c r="L162" s="43"/>
      <c r="M162" s="43"/>
      <c r="N162" s="43"/>
      <c r="O162" s="43"/>
      <c r="P162" s="43"/>
      <c r="Q162" s="43"/>
      <c r="R162" s="43"/>
      <c r="S162" s="43"/>
      <c r="T162" s="43"/>
      <c r="U162" s="43"/>
      <c r="V162" s="43"/>
      <c r="W162" s="44"/>
      <c r="X162" s="44"/>
    </row>
    <row r="163" spans="1:24" x14ac:dyDescent="0.25">
      <c r="A163" s="102" t="s">
        <v>4997</v>
      </c>
      <c r="B163" s="62" t="s">
        <v>5065</v>
      </c>
      <c r="C163" s="62" t="s">
        <v>57</v>
      </c>
      <c r="D163" s="103"/>
      <c r="E163" s="11"/>
      <c r="F163" s="12"/>
      <c r="G163" s="60"/>
      <c r="H163" s="60"/>
      <c r="I163" s="101"/>
      <c r="J163" s="74"/>
      <c r="K163" s="43"/>
      <c r="L163" s="43"/>
      <c r="M163" s="43"/>
      <c r="N163" s="43"/>
      <c r="O163" s="43"/>
      <c r="P163" s="43"/>
      <c r="Q163" s="43"/>
      <c r="R163" s="43"/>
      <c r="S163" s="43"/>
      <c r="T163" s="43"/>
      <c r="U163" s="43"/>
      <c r="V163" s="43"/>
      <c r="W163" s="44"/>
      <c r="X163" s="44"/>
    </row>
    <row r="164" spans="1:24" x14ac:dyDescent="0.25">
      <c r="A164" s="102" t="s">
        <v>4998</v>
      </c>
      <c r="B164" s="62" t="s">
        <v>5066</v>
      </c>
      <c r="C164" s="62" t="s">
        <v>57</v>
      </c>
      <c r="D164" s="103"/>
      <c r="E164" s="11"/>
      <c r="F164" s="12"/>
      <c r="G164" s="60"/>
      <c r="H164" s="60"/>
      <c r="I164" s="101"/>
      <c r="J164" s="74"/>
      <c r="K164" s="43"/>
      <c r="L164" s="43"/>
      <c r="M164" s="43"/>
      <c r="N164" s="43"/>
      <c r="O164" s="43"/>
      <c r="P164" s="43"/>
      <c r="Q164" s="43"/>
      <c r="R164" s="43"/>
      <c r="S164" s="43"/>
      <c r="T164" s="43"/>
      <c r="U164" s="43"/>
      <c r="V164" s="43"/>
      <c r="W164" s="44"/>
      <c r="X164" s="44"/>
    </row>
    <row r="165" spans="1:24" x14ac:dyDescent="0.25">
      <c r="A165" s="102" t="s">
        <v>4999</v>
      </c>
      <c r="B165" s="62" t="s">
        <v>5067</v>
      </c>
      <c r="C165" s="62" t="s">
        <v>57</v>
      </c>
      <c r="D165" s="103"/>
      <c r="E165" s="11"/>
      <c r="F165" s="12"/>
      <c r="G165" s="60"/>
      <c r="H165" s="60"/>
      <c r="I165" s="101"/>
      <c r="J165" s="74"/>
      <c r="K165" s="43"/>
      <c r="L165" s="43"/>
      <c r="M165" s="43"/>
      <c r="N165" s="43"/>
      <c r="O165" s="43"/>
      <c r="P165" s="43"/>
      <c r="Q165" s="43"/>
      <c r="R165" s="43"/>
      <c r="S165" s="43"/>
      <c r="T165" s="43"/>
      <c r="U165" s="43"/>
      <c r="V165" s="43"/>
      <c r="W165" s="44"/>
      <c r="X165" s="44"/>
    </row>
    <row r="166" spans="1:24" x14ac:dyDescent="0.25">
      <c r="A166" s="102" t="s">
        <v>5000</v>
      </c>
      <c r="B166" s="62" t="s">
        <v>5068</v>
      </c>
      <c r="C166" s="62" t="s">
        <v>57</v>
      </c>
      <c r="D166" s="103"/>
      <c r="E166" s="11"/>
      <c r="F166" s="12"/>
      <c r="G166" s="60"/>
      <c r="H166" s="60"/>
      <c r="I166" s="101"/>
      <c r="J166" s="74"/>
      <c r="K166" s="43"/>
      <c r="L166" s="43"/>
      <c r="M166" s="43"/>
      <c r="N166" s="43"/>
      <c r="O166" s="43"/>
      <c r="P166" s="43"/>
      <c r="Q166" s="43"/>
      <c r="R166" s="43"/>
      <c r="S166" s="43"/>
      <c r="T166" s="43"/>
      <c r="U166" s="43"/>
      <c r="V166" s="43"/>
      <c r="W166" s="44"/>
      <c r="X166" s="44"/>
    </row>
    <row r="167" spans="1:24" x14ac:dyDescent="0.25">
      <c r="A167" s="102" t="s">
        <v>5001</v>
      </c>
      <c r="B167" s="62" t="s">
        <v>5069</v>
      </c>
      <c r="C167" s="62" t="s">
        <v>57</v>
      </c>
      <c r="D167" s="103"/>
      <c r="E167" s="11"/>
      <c r="F167" s="12"/>
      <c r="G167" s="60"/>
      <c r="H167" s="60"/>
      <c r="I167" s="101"/>
      <c r="J167" s="74"/>
      <c r="K167" s="43"/>
      <c r="L167" s="43"/>
      <c r="M167" s="43"/>
      <c r="N167" s="43"/>
      <c r="O167" s="43"/>
      <c r="P167" s="43"/>
      <c r="Q167" s="43"/>
      <c r="R167" s="43"/>
      <c r="S167" s="43"/>
      <c r="T167" s="43"/>
      <c r="U167" s="43"/>
      <c r="V167" s="43"/>
      <c r="W167" s="44"/>
      <c r="X167" s="44"/>
    </row>
    <row r="168" spans="1:24" x14ac:dyDescent="0.25">
      <c r="A168" s="102" t="s">
        <v>5002</v>
      </c>
      <c r="B168" s="62" t="s">
        <v>5070</v>
      </c>
      <c r="C168" s="62" t="s">
        <v>57</v>
      </c>
      <c r="D168" s="103"/>
      <c r="E168" s="11"/>
      <c r="F168" s="12"/>
      <c r="G168" s="60"/>
      <c r="H168" s="60"/>
      <c r="I168" s="101"/>
      <c r="J168" s="74"/>
      <c r="K168" s="43"/>
      <c r="L168" s="43"/>
      <c r="M168" s="43"/>
      <c r="N168" s="43"/>
      <c r="O168" s="43"/>
      <c r="P168" s="43"/>
      <c r="Q168" s="43"/>
      <c r="R168" s="43"/>
      <c r="S168" s="43"/>
      <c r="T168" s="43"/>
      <c r="U168" s="43"/>
      <c r="V168" s="43"/>
      <c r="W168" s="44"/>
      <c r="X168" s="44"/>
    </row>
    <row r="169" spans="1:24" x14ac:dyDescent="0.25">
      <c r="A169" s="102" t="s">
        <v>5003</v>
      </c>
      <c r="B169" s="62" t="s">
        <v>5071</v>
      </c>
      <c r="C169" s="62" t="s">
        <v>57</v>
      </c>
      <c r="D169" s="103"/>
      <c r="E169" s="11"/>
      <c r="F169" s="12"/>
      <c r="G169" s="60"/>
      <c r="H169" s="60"/>
      <c r="I169" s="101"/>
      <c r="J169" s="74"/>
      <c r="K169" s="43"/>
      <c r="L169" s="43"/>
      <c r="M169" s="43"/>
      <c r="N169" s="43"/>
      <c r="O169" s="43"/>
      <c r="P169" s="43"/>
      <c r="Q169" s="43"/>
      <c r="R169" s="43"/>
      <c r="S169" s="43"/>
      <c r="T169" s="43"/>
      <c r="U169" s="43"/>
      <c r="V169" s="43"/>
      <c r="W169" s="44"/>
      <c r="X169" s="44"/>
    </row>
    <row r="170" spans="1:24" x14ac:dyDescent="0.25">
      <c r="A170" s="102" t="s">
        <v>5004</v>
      </c>
      <c r="B170" s="62" t="s">
        <v>5072</v>
      </c>
      <c r="C170" s="62" t="s">
        <v>57</v>
      </c>
      <c r="D170" s="103"/>
      <c r="E170" s="11"/>
      <c r="F170" s="12"/>
      <c r="G170" s="60"/>
      <c r="H170" s="60"/>
      <c r="I170" s="101"/>
      <c r="J170" s="74"/>
      <c r="K170" s="43"/>
      <c r="L170" s="43"/>
      <c r="M170" s="43"/>
      <c r="N170" s="43"/>
      <c r="O170" s="43"/>
      <c r="P170" s="43"/>
      <c r="Q170" s="43"/>
      <c r="R170" s="43"/>
      <c r="S170" s="43"/>
      <c r="T170" s="43"/>
      <c r="U170" s="43"/>
      <c r="V170" s="43"/>
      <c r="W170" s="44"/>
      <c r="X170" s="44"/>
    </row>
    <row r="171" spans="1:24" x14ac:dyDescent="0.25">
      <c r="A171" s="102" t="s">
        <v>5005</v>
      </c>
      <c r="B171" s="62" t="s">
        <v>5061</v>
      </c>
      <c r="C171" s="62" t="s">
        <v>55</v>
      </c>
      <c r="D171" s="103"/>
      <c r="E171" s="11"/>
      <c r="F171" s="12"/>
      <c r="G171" s="60"/>
      <c r="H171" s="60"/>
      <c r="I171" s="101"/>
      <c r="J171" s="74"/>
      <c r="K171" s="43"/>
      <c r="L171" s="43"/>
      <c r="M171" s="43"/>
      <c r="N171" s="43"/>
      <c r="O171" s="43"/>
      <c r="P171" s="43"/>
      <c r="Q171" s="43"/>
      <c r="R171" s="43"/>
      <c r="S171" s="43"/>
      <c r="T171" s="43"/>
      <c r="U171" s="43"/>
      <c r="V171" s="43"/>
      <c r="W171" s="44"/>
      <c r="X171" s="44"/>
    </row>
    <row r="172" spans="1:24" x14ac:dyDescent="0.25">
      <c r="A172" s="102" t="s">
        <v>5006</v>
      </c>
      <c r="B172" s="62" t="s">
        <v>5062</v>
      </c>
      <c r="C172" s="62" t="s">
        <v>55</v>
      </c>
      <c r="D172" s="103"/>
      <c r="E172" s="11"/>
      <c r="F172" s="12"/>
      <c r="G172" s="60"/>
      <c r="H172" s="60"/>
      <c r="I172" s="101"/>
      <c r="J172" s="74"/>
      <c r="K172" s="43"/>
      <c r="L172" s="43"/>
      <c r="M172" s="43"/>
      <c r="N172" s="43"/>
      <c r="O172" s="43"/>
      <c r="P172" s="43"/>
      <c r="Q172" s="43"/>
      <c r="R172" s="43"/>
      <c r="S172" s="43"/>
      <c r="T172" s="43"/>
      <c r="U172" s="43"/>
      <c r="V172" s="43"/>
      <c r="W172" s="44"/>
      <c r="X172" s="44"/>
    </row>
    <row r="173" spans="1:24" x14ac:dyDescent="0.25">
      <c r="A173" s="102" t="s">
        <v>5007</v>
      </c>
      <c r="B173" s="62" t="s">
        <v>5063</v>
      </c>
      <c r="C173" s="62" t="s">
        <v>55</v>
      </c>
      <c r="D173" s="103"/>
      <c r="E173" s="11"/>
      <c r="F173" s="12"/>
      <c r="G173" s="60"/>
      <c r="H173" s="60"/>
      <c r="I173" s="101"/>
      <c r="J173" s="74"/>
      <c r="K173" s="43"/>
      <c r="L173" s="43"/>
      <c r="M173" s="43"/>
      <c r="N173" s="43"/>
      <c r="O173" s="43"/>
      <c r="P173" s="43"/>
      <c r="Q173" s="43"/>
      <c r="R173" s="43"/>
      <c r="S173" s="43"/>
      <c r="T173" s="43"/>
      <c r="U173" s="43"/>
      <c r="V173" s="43"/>
      <c r="W173" s="44"/>
      <c r="X173" s="44"/>
    </row>
    <row r="174" spans="1:24" x14ac:dyDescent="0.25">
      <c r="A174" s="102" t="s">
        <v>5008</v>
      </c>
      <c r="B174" s="62" t="s">
        <v>5064</v>
      </c>
      <c r="C174" s="62" t="s">
        <v>55</v>
      </c>
      <c r="D174" s="103"/>
      <c r="E174" s="11"/>
      <c r="F174" s="12"/>
      <c r="G174" s="60"/>
      <c r="H174" s="60"/>
      <c r="I174" s="101"/>
      <c r="J174" s="74"/>
      <c r="K174" s="43"/>
      <c r="L174" s="43"/>
      <c r="M174" s="43"/>
      <c r="N174" s="43"/>
      <c r="O174" s="43"/>
      <c r="P174" s="43"/>
      <c r="Q174" s="43"/>
      <c r="R174" s="43"/>
      <c r="S174" s="43"/>
      <c r="T174" s="43"/>
      <c r="U174" s="43"/>
      <c r="V174" s="43"/>
      <c r="W174" s="44"/>
      <c r="X174" s="44"/>
    </row>
    <row r="175" spans="1:24" x14ac:dyDescent="0.25">
      <c r="A175" s="102" t="s">
        <v>5009</v>
      </c>
      <c r="B175" s="62" t="s">
        <v>5065</v>
      </c>
      <c r="C175" s="62" t="s">
        <v>55</v>
      </c>
      <c r="D175" s="103"/>
      <c r="E175" s="11"/>
      <c r="F175" s="12"/>
      <c r="G175" s="60"/>
      <c r="H175" s="60"/>
      <c r="I175" s="101"/>
      <c r="J175" s="74"/>
      <c r="K175" s="43"/>
      <c r="L175" s="43"/>
      <c r="M175" s="43"/>
      <c r="N175" s="43"/>
      <c r="O175" s="43"/>
      <c r="P175" s="43"/>
      <c r="Q175" s="43"/>
      <c r="R175" s="43"/>
      <c r="S175" s="43"/>
      <c r="T175" s="43"/>
      <c r="U175" s="43"/>
      <c r="V175" s="43"/>
      <c r="W175" s="44"/>
      <c r="X175" s="44"/>
    </row>
    <row r="176" spans="1:24" x14ac:dyDescent="0.25">
      <c r="A176" s="102" t="s">
        <v>5010</v>
      </c>
      <c r="B176" s="62" t="s">
        <v>5066</v>
      </c>
      <c r="C176" s="62" t="s">
        <v>55</v>
      </c>
      <c r="D176" s="103"/>
      <c r="E176" s="11"/>
      <c r="F176" s="12"/>
      <c r="G176" s="60"/>
      <c r="H176" s="60"/>
      <c r="I176" s="101"/>
      <c r="J176" s="74"/>
      <c r="K176" s="43"/>
      <c r="L176" s="43"/>
      <c r="M176" s="43"/>
      <c r="N176" s="43"/>
      <c r="O176" s="43"/>
      <c r="P176" s="43"/>
      <c r="Q176" s="43"/>
      <c r="R176" s="43"/>
      <c r="S176" s="43"/>
      <c r="T176" s="43"/>
      <c r="U176" s="43"/>
      <c r="V176" s="43"/>
      <c r="W176" s="44"/>
      <c r="X176" s="44"/>
    </row>
    <row r="177" spans="1:24" x14ac:dyDescent="0.25">
      <c r="A177" s="102" t="s">
        <v>5011</v>
      </c>
      <c r="B177" s="62" t="s">
        <v>5067</v>
      </c>
      <c r="C177" s="62" t="s">
        <v>55</v>
      </c>
      <c r="D177" s="103"/>
      <c r="E177" s="11"/>
      <c r="F177" s="12"/>
      <c r="G177" s="60"/>
      <c r="H177" s="60"/>
      <c r="I177" s="101"/>
      <c r="J177" s="74"/>
      <c r="K177" s="43"/>
      <c r="L177" s="43"/>
      <c r="M177" s="43"/>
      <c r="N177" s="43"/>
      <c r="O177" s="43"/>
      <c r="P177" s="43"/>
      <c r="Q177" s="43"/>
      <c r="R177" s="43"/>
      <c r="S177" s="43"/>
      <c r="T177" s="43"/>
      <c r="U177" s="43"/>
      <c r="V177" s="43"/>
      <c r="W177" s="44"/>
      <c r="X177" s="44"/>
    </row>
    <row r="178" spans="1:24" x14ac:dyDescent="0.25">
      <c r="A178" s="102" t="s">
        <v>5012</v>
      </c>
      <c r="B178" s="62" t="s">
        <v>5068</v>
      </c>
      <c r="C178" s="62" t="s">
        <v>55</v>
      </c>
      <c r="D178" s="103"/>
      <c r="E178" s="11"/>
      <c r="F178" s="12"/>
      <c r="G178" s="60"/>
      <c r="H178" s="60"/>
      <c r="I178" s="101"/>
      <c r="J178" s="74"/>
      <c r="K178" s="43"/>
      <c r="L178" s="43"/>
      <c r="M178" s="43"/>
      <c r="N178" s="43"/>
      <c r="O178" s="43"/>
      <c r="P178" s="43"/>
      <c r="Q178" s="43"/>
      <c r="R178" s="43"/>
      <c r="S178" s="43"/>
      <c r="T178" s="43"/>
      <c r="U178" s="43"/>
      <c r="V178" s="43"/>
      <c r="W178" s="44"/>
      <c r="X178" s="44"/>
    </row>
    <row r="179" spans="1:24" x14ac:dyDescent="0.25">
      <c r="A179" s="102" t="s">
        <v>5013</v>
      </c>
      <c r="B179" s="62" t="s">
        <v>5069</v>
      </c>
      <c r="C179" s="62" t="s">
        <v>55</v>
      </c>
      <c r="D179" s="103"/>
      <c r="E179" s="11"/>
      <c r="F179" s="12"/>
      <c r="G179" s="60"/>
      <c r="H179" s="60"/>
      <c r="I179" s="101"/>
      <c r="J179" s="74"/>
      <c r="K179" s="43"/>
      <c r="L179" s="43"/>
      <c r="M179" s="43"/>
      <c r="N179" s="43"/>
      <c r="O179" s="43"/>
      <c r="P179" s="43"/>
      <c r="Q179" s="43"/>
      <c r="R179" s="43"/>
      <c r="S179" s="43"/>
      <c r="T179" s="43"/>
      <c r="U179" s="43"/>
      <c r="V179" s="43"/>
      <c r="W179" s="44"/>
      <c r="X179" s="44"/>
    </row>
    <row r="180" spans="1:24" x14ac:dyDescent="0.25">
      <c r="A180" s="102" t="s">
        <v>5014</v>
      </c>
      <c r="B180" s="62" t="s">
        <v>5070</v>
      </c>
      <c r="C180" s="62" t="s">
        <v>55</v>
      </c>
      <c r="D180" s="103"/>
      <c r="E180" s="11"/>
      <c r="F180" s="12"/>
      <c r="G180" s="60"/>
      <c r="H180" s="60"/>
      <c r="I180" s="101"/>
      <c r="J180" s="74"/>
      <c r="K180" s="43"/>
      <c r="L180" s="43"/>
      <c r="M180" s="43"/>
      <c r="N180" s="43"/>
      <c r="O180" s="43"/>
      <c r="P180" s="43"/>
      <c r="Q180" s="43"/>
      <c r="R180" s="43"/>
      <c r="S180" s="43"/>
      <c r="T180" s="43"/>
      <c r="U180" s="43"/>
      <c r="V180" s="43"/>
      <c r="W180" s="44"/>
      <c r="X180" s="44"/>
    </row>
    <row r="181" spans="1:24" x14ac:dyDescent="0.25">
      <c r="A181" s="102" t="s">
        <v>5015</v>
      </c>
      <c r="B181" s="62" t="s">
        <v>5071</v>
      </c>
      <c r="C181" s="62" t="s">
        <v>55</v>
      </c>
      <c r="D181" s="103"/>
      <c r="E181" s="11"/>
      <c r="F181" s="12"/>
      <c r="G181" s="60"/>
      <c r="H181" s="60"/>
      <c r="I181" s="101"/>
      <c r="J181" s="74"/>
      <c r="K181" s="43"/>
      <c r="L181" s="43"/>
      <c r="M181" s="43"/>
      <c r="N181" s="43"/>
      <c r="O181" s="43"/>
      <c r="P181" s="43"/>
      <c r="Q181" s="43"/>
      <c r="R181" s="43"/>
      <c r="S181" s="43"/>
      <c r="T181" s="43"/>
      <c r="U181" s="43"/>
      <c r="V181" s="43"/>
      <c r="W181" s="44"/>
      <c r="X181" s="44"/>
    </row>
    <row r="182" spans="1:24" x14ac:dyDescent="0.25">
      <c r="A182" s="102" t="s">
        <v>5016</v>
      </c>
      <c r="B182" s="62" t="s">
        <v>5072</v>
      </c>
      <c r="C182" s="62" t="s">
        <v>55</v>
      </c>
      <c r="D182" s="103"/>
      <c r="E182" s="11"/>
      <c r="F182" s="12"/>
      <c r="G182" s="60"/>
      <c r="H182" s="60"/>
      <c r="I182" s="101"/>
      <c r="J182" s="74"/>
      <c r="K182" s="43"/>
      <c r="L182" s="43"/>
      <c r="M182" s="43"/>
      <c r="N182" s="43"/>
      <c r="O182" s="43"/>
      <c r="P182" s="43"/>
      <c r="Q182" s="43"/>
      <c r="R182" s="43"/>
      <c r="S182" s="43"/>
      <c r="T182" s="43"/>
      <c r="U182" s="43"/>
      <c r="V182" s="43"/>
      <c r="W182" s="44"/>
      <c r="X182" s="44"/>
    </row>
    <row r="183" spans="1:24" x14ac:dyDescent="0.25">
      <c r="A183" s="102" t="s">
        <v>5017</v>
      </c>
      <c r="B183" s="62" t="s">
        <v>5061</v>
      </c>
      <c r="C183" s="62" t="s">
        <v>58</v>
      </c>
      <c r="D183" s="103"/>
      <c r="E183" s="11"/>
      <c r="F183" s="12"/>
      <c r="G183" s="60"/>
      <c r="H183" s="60"/>
      <c r="I183" s="101"/>
      <c r="J183" s="74"/>
      <c r="K183" s="43"/>
      <c r="L183" s="43"/>
      <c r="M183" s="43"/>
      <c r="N183" s="43"/>
      <c r="O183" s="43"/>
      <c r="P183" s="43"/>
      <c r="Q183" s="43"/>
      <c r="R183" s="43"/>
      <c r="S183" s="43"/>
      <c r="T183" s="43"/>
      <c r="U183" s="43"/>
      <c r="V183" s="43"/>
      <c r="W183" s="44"/>
      <c r="X183" s="44"/>
    </row>
    <row r="184" spans="1:24" x14ac:dyDescent="0.25">
      <c r="A184" s="102" t="s">
        <v>5018</v>
      </c>
      <c r="B184" s="62" t="s">
        <v>5062</v>
      </c>
      <c r="C184" s="62" t="s">
        <v>58</v>
      </c>
      <c r="D184" s="103"/>
      <c r="E184" s="11"/>
      <c r="F184" s="12"/>
      <c r="G184" s="60"/>
      <c r="H184" s="60"/>
      <c r="I184" s="101"/>
      <c r="J184" s="74"/>
      <c r="K184" s="43"/>
      <c r="L184" s="43"/>
      <c r="M184" s="43"/>
      <c r="N184" s="43"/>
      <c r="O184" s="43"/>
      <c r="P184" s="43"/>
      <c r="Q184" s="43"/>
      <c r="R184" s="43"/>
      <c r="S184" s="43"/>
      <c r="T184" s="43"/>
      <c r="U184" s="43"/>
      <c r="V184" s="43"/>
      <c r="W184" s="44"/>
      <c r="X184" s="44"/>
    </row>
    <row r="185" spans="1:24" x14ac:dyDescent="0.25">
      <c r="A185" s="102" t="s">
        <v>5019</v>
      </c>
      <c r="B185" s="62" t="s">
        <v>5063</v>
      </c>
      <c r="C185" s="62" t="s">
        <v>58</v>
      </c>
      <c r="D185" s="103"/>
      <c r="E185" s="11"/>
      <c r="F185" s="12"/>
      <c r="G185" s="60"/>
      <c r="H185" s="60"/>
      <c r="I185" s="101"/>
      <c r="J185" s="74"/>
      <c r="K185" s="43"/>
      <c r="L185" s="43"/>
      <c r="M185" s="43"/>
      <c r="N185" s="43"/>
      <c r="O185" s="43"/>
      <c r="P185" s="43"/>
      <c r="Q185" s="43"/>
      <c r="R185" s="43"/>
      <c r="S185" s="43"/>
      <c r="T185" s="43"/>
      <c r="U185" s="43"/>
      <c r="V185" s="43"/>
      <c r="W185" s="44"/>
      <c r="X185" s="44"/>
    </row>
    <row r="186" spans="1:24" x14ac:dyDescent="0.25">
      <c r="A186" s="102" t="s">
        <v>5020</v>
      </c>
      <c r="B186" s="62" t="s">
        <v>5064</v>
      </c>
      <c r="C186" s="62" t="s">
        <v>58</v>
      </c>
      <c r="D186" s="103"/>
      <c r="E186" s="11"/>
      <c r="F186" s="12"/>
      <c r="G186" s="60"/>
      <c r="H186" s="60"/>
      <c r="I186" s="101"/>
      <c r="J186" s="74"/>
      <c r="K186" s="43"/>
      <c r="L186" s="43"/>
      <c r="M186" s="43"/>
      <c r="N186" s="43"/>
      <c r="O186" s="43"/>
      <c r="P186" s="43"/>
      <c r="Q186" s="43"/>
      <c r="R186" s="43"/>
      <c r="S186" s="43"/>
      <c r="T186" s="43"/>
      <c r="U186" s="43"/>
      <c r="V186" s="43"/>
      <c r="W186" s="44"/>
      <c r="X186" s="44"/>
    </row>
    <row r="187" spans="1:24" x14ac:dyDescent="0.25">
      <c r="A187" s="102" t="s">
        <v>5021</v>
      </c>
      <c r="B187" s="62" t="s">
        <v>5065</v>
      </c>
      <c r="C187" s="62" t="s">
        <v>58</v>
      </c>
      <c r="D187" s="103"/>
      <c r="E187" s="11"/>
      <c r="F187" s="12"/>
      <c r="G187" s="60"/>
      <c r="H187" s="60"/>
      <c r="I187" s="101"/>
      <c r="J187" s="74"/>
      <c r="K187" s="43"/>
      <c r="L187" s="43"/>
      <c r="M187" s="43"/>
      <c r="N187" s="43"/>
      <c r="O187" s="43"/>
      <c r="P187" s="43"/>
      <c r="Q187" s="43"/>
      <c r="R187" s="43"/>
      <c r="S187" s="43"/>
      <c r="T187" s="43"/>
      <c r="U187" s="43"/>
      <c r="V187" s="43"/>
      <c r="W187" s="44"/>
      <c r="X187" s="44"/>
    </row>
    <row r="188" spans="1:24" x14ac:dyDescent="0.25">
      <c r="A188" s="102" t="s">
        <v>5022</v>
      </c>
      <c r="B188" s="62" t="s">
        <v>5066</v>
      </c>
      <c r="C188" s="62" t="s">
        <v>58</v>
      </c>
      <c r="D188" s="103"/>
      <c r="E188" s="11"/>
      <c r="F188" s="12"/>
      <c r="G188" s="60"/>
      <c r="H188" s="60"/>
      <c r="I188" s="101"/>
      <c r="J188" s="74"/>
      <c r="K188" s="43"/>
      <c r="L188" s="43"/>
      <c r="M188" s="43"/>
      <c r="N188" s="43"/>
      <c r="O188" s="43"/>
      <c r="P188" s="43"/>
      <c r="Q188" s="43"/>
      <c r="R188" s="43"/>
      <c r="S188" s="43"/>
      <c r="T188" s="43"/>
      <c r="U188" s="43"/>
      <c r="V188" s="43"/>
      <c r="W188" s="44"/>
      <c r="X188" s="44"/>
    </row>
    <row r="189" spans="1:24" x14ac:dyDescent="0.25">
      <c r="A189" s="102" t="s">
        <v>5023</v>
      </c>
      <c r="B189" s="62" t="s">
        <v>5067</v>
      </c>
      <c r="C189" s="62" t="s">
        <v>58</v>
      </c>
      <c r="D189" s="103"/>
      <c r="E189" s="11"/>
      <c r="F189" s="12"/>
      <c r="G189" s="60"/>
      <c r="H189" s="60"/>
      <c r="I189" s="101"/>
      <c r="J189" s="74"/>
      <c r="K189" s="43"/>
      <c r="L189" s="43"/>
      <c r="M189" s="43"/>
      <c r="N189" s="43"/>
      <c r="O189" s="43"/>
      <c r="P189" s="43"/>
      <c r="Q189" s="43"/>
      <c r="R189" s="43"/>
      <c r="S189" s="43"/>
      <c r="T189" s="43"/>
      <c r="U189" s="43"/>
      <c r="V189" s="43"/>
      <c r="W189" s="44"/>
      <c r="X189" s="44"/>
    </row>
    <row r="190" spans="1:24" x14ac:dyDescent="0.25">
      <c r="A190" s="102" t="s">
        <v>5024</v>
      </c>
      <c r="B190" s="62" t="s">
        <v>5068</v>
      </c>
      <c r="C190" s="62" t="s">
        <v>58</v>
      </c>
      <c r="D190" s="103"/>
      <c r="E190" s="11"/>
      <c r="F190" s="12"/>
      <c r="G190" s="60"/>
      <c r="H190" s="60"/>
      <c r="I190" s="101"/>
      <c r="J190" s="74"/>
      <c r="K190" s="43"/>
      <c r="L190" s="43"/>
      <c r="M190" s="43"/>
      <c r="N190" s="43"/>
      <c r="O190" s="43"/>
      <c r="P190" s="43"/>
      <c r="Q190" s="43"/>
      <c r="R190" s="43"/>
      <c r="S190" s="43"/>
      <c r="T190" s="43"/>
      <c r="U190" s="43"/>
      <c r="V190" s="43"/>
      <c r="W190" s="44"/>
      <c r="X190" s="44"/>
    </row>
    <row r="191" spans="1:24" x14ac:dyDescent="0.25">
      <c r="A191" s="102" t="s">
        <v>5025</v>
      </c>
      <c r="B191" s="62" t="s">
        <v>5069</v>
      </c>
      <c r="C191" s="62" t="s">
        <v>58</v>
      </c>
      <c r="D191" s="103"/>
      <c r="E191" s="11"/>
      <c r="F191" s="12"/>
      <c r="G191" s="60"/>
      <c r="H191" s="60"/>
      <c r="I191" s="101"/>
      <c r="J191" s="74"/>
      <c r="K191" s="43"/>
      <c r="L191" s="43"/>
      <c r="M191" s="43"/>
      <c r="N191" s="43"/>
      <c r="O191" s="43"/>
      <c r="P191" s="43"/>
      <c r="Q191" s="43"/>
      <c r="R191" s="43"/>
      <c r="S191" s="43"/>
      <c r="T191" s="43"/>
      <c r="U191" s="43"/>
      <c r="V191" s="43"/>
      <c r="W191" s="44"/>
      <c r="X191" s="44"/>
    </row>
    <row r="192" spans="1:24" x14ac:dyDescent="0.25">
      <c r="A192" s="102" t="s">
        <v>5026</v>
      </c>
      <c r="B192" s="62" t="s">
        <v>5070</v>
      </c>
      <c r="C192" s="62" t="s">
        <v>58</v>
      </c>
      <c r="D192" s="103"/>
      <c r="E192" s="11"/>
      <c r="F192" s="12"/>
      <c r="G192" s="60"/>
      <c r="H192" s="60"/>
      <c r="I192" s="101"/>
      <c r="J192" s="74"/>
      <c r="K192" s="43"/>
      <c r="L192" s="43"/>
      <c r="M192" s="43"/>
      <c r="N192" s="43"/>
      <c r="O192" s="43"/>
      <c r="P192" s="43"/>
      <c r="Q192" s="43"/>
      <c r="R192" s="43"/>
      <c r="S192" s="43"/>
      <c r="T192" s="43"/>
      <c r="U192" s="43"/>
      <c r="V192" s="43"/>
      <c r="W192" s="44"/>
      <c r="X192" s="44"/>
    </row>
    <row r="193" spans="1:24" x14ac:dyDescent="0.25">
      <c r="A193" s="102" t="s">
        <v>5027</v>
      </c>
      <c r="B193" s="62" t="s">
        <v>5071</v>
      </c>
      <c r="C193" s="62" t="s">
        <v>58</v>
      </c>
      <c r="D193" s="103"/>
      <c r="E193" s="11"/>
      <c r="F193" s="12"/>
      <c r="G193" s="60"/>
      <c r="H193" s="60"/>
      <c r="I193" s="101"/>
      <c r="J193" s="74"/>
      <c r="K193" s="43"/>
      <c r="L193" s="43"/>
      <c r="M193" s="43"/>
      <c r="N193" s="43"/>
      <c r="O193" s="43"/>
      <c r="P193" s="43"/>
      <c r="Q193" s="43"/>
      <c r="R193" s="43"/>
      <c r="S193" s="43"/>
      <c r="T193" s="43"/>
      <c r="U193" s="43"/>
      <c r="V193" s="43"/>
      <c r="W193" s="44"/>
      <c r="X193" s="44"/>
    </row>
    <row r="194" spans="1:24" x14ac:dyDescent="0.25">
      <c r="A194" s="102" t="s">
        <v>5028</v>
      </c>
      <c r="B194" s="62" t="s">
        <v>5072</v>
      </c>
      <c r="C194" s="62" t="s">
        <v>58</v>
      </c>
      <c r="D194" s="103"/>
      <c r="E194" s="11"/>
      <c r="F194" s="12"/>
      <c r="G194" s="60"/>
      <c r="H194" s="60"/>
      <c r="I194" s="101"/>
      <c r="J194" s="74"/>
      <c r="K194" s="43"/>
      <c r="L194" s="43"/>
      <c r="M194" s="43"/>
      <c r="N194" s="43"/>
      <c r="O194" s="43"/>
      <c r="P194" s="43"/>
      <c r="Q194" s="43"/>
      <c r="R194" s="43"/>
      <c r="S194" s="43"/>
      <c r="T194" s="43"/>
      <c r="U194" s="43"/>
      <c r="V194" s="43"/>
      <c r="W194" s="44"/>
      <c r="X194" s="44"/>
    </row>
    <row r="195" spans="1:24" x14ac:dyDescent="0.25">
      <c r="A195" s="102" t="s">
        <v>5029</v>
      </c>
      <c r="B195" s="62" t="s">
        <v>5061</v>
      </c>
      <c r="C195" s="62" t="s">
        <v>60</v>
      </c>
      <c r="D195" s="103"/>
      <c r="E195" s="11"/>
      <c r="F195" s="12"/>
      <c r="G195" s="60"/>
      <c r="H195" s="60"/>
      <c r="I195" s="101"/>
      <c r="J195" s="74"/>
      <c r="K195" s="43"/>
      <c r="L195" s="43"/>
      <c r="M195" s="43"/>
      <c r="N195" s="43"/>
      <c r="O195" s="43"/>
      <c r="P195" s="43"/>
      <c r="Q195" s="43"/>
      <c r="R195" s="43"/>
      <c r="S195" s="43"/>
      <c r="T195" s="43"/>
      <c r="U195" s="43"/>
      <c r="V195" s="43"/>
      <c r="W195" s="44"/>
      <c r="X195" s="44"/>
    </row>
    <row r="196" spans="1:24" x14ac:dyDescent="0.25">
      <c r="A196" s="102" t="s">
        <v>5030</v>
      </c>
      <c r="B196" s="62" t="s">
        <v>5062</v>
      </c>
      <c r="C196" s="62" t="s">
        <v>60</v>
      </c>
      <c r="D196" s="103"/>
      <c r="E196" s="11"/>
      <c r="F196" s="12"/>
      <c r="G196" s="60"/>
      <c r="H196" s="60"/>
      <c r="I196" s="101"/>
      <c r="J196" s="74"/>
      <c r="K196" s="43"/>
      <c r="L196" s="43"/>
      <c r="M196" s="43"/>
      <c r="N196" s="43"/>
      <c r="O196" s="43"/>
      <c r="P196" s="43"/>
      <c r="Q196" s="43"/>
      <c r="R196" s="43"/>
      <c r="S196" s="43"/>
      <c r="T196" s="43"/>
      <c r="U196" s="43"/>
      <c r="V196" s="43"/>
      <c r="W196" s="44"/>
      <c r="X196" s="44"/>
    </row>
    <row r="197" spans="1:24" x14ac:dyDescent="0.25">
      <c r="A197" s="102" t="s">
        <v>5031</v>
      </c>
      <c r="B197" s="62" t="s">
        <v>5063</v>
      </c>
      <c r="C197" s="62" t="s">
        <v>60</v>
      </c>
      <c r="D197" s="103"/>
      <c r="E197" s="11"/>
      <c r="F197" s="12"/>
      <c r="G197" s="60"/>
      <c r="H197" s="60"/>
      <c r="I197" s="101"/>
      <c r="J197" s="74"/>
      <c r="K197" s="43"/>
      <c r="L197" s="43"/>
      <c r="M197" s="43"/>
      <c r="N197" s="43"/>
      <c r="O197" s="43"/>
      <c r="P197" s="43"/>
      <c r="Q197" s="43"/>
      <c r="R197" s="43"/>
      <c r="S197" s="43"/>
      <c r="T197" s="43"/>
      <c r="U197" s="43"/>
      <c r="V197" s="43"/>
      <c r="W197" s="44"/>
      <c r="X197" s="44"/>
    </row>
    <row r="198" spans="1:24" x14ac:dyDescent="0.25">
      <c r="A198" s="102" t="s">
        <v>5032</v>
      </c>
      <c r="B198" s="62" t="s">
        <v>5064</v>
      </c>
      <c r="C198" s="62" t="s">
        <v>60</v>
      </c>
      <c r="D198" s="103"/>
      <c r="E198" s="11"/>
      <c r="F198" s="12"/>
      <c r="G198" s="60"/>
      <c r="H198" s="60"/>
      <c r="I198" s="101"/>
      <c r="J198" s="74"/>
      <c r="K198" s="43"/>
      <c r="L198" s="43"/>
      <c r="M198" s="43"/>
      <c r="N198" s="43"/>
      <c r="O198" s="43"/>
      <c r="P198" s="43"/>
      <c r="Q198" s="43"/>
      <c r="R198" s="43"/>
      <c r="S198" s="43"/>
      <c r="T198" s="43"/>
      <c r="U198" s="43"/>
      <c r="V198" s="43"/>
      <c r="W198" s="44"/>
      <c r="X198" s="44"/>
    </row>
    <row r="199" spans="1:24" x14ac:dyDescent="0.25">
      <c r="A199" s="102" t="s">
        <v>5033</v>
      </c>
      <c r="B199" s="62" t="s">
        <v>5065</v>
      </c>
      <c r="C199" s="62" t="s">
        <v>60</v>
      </c>
      <c r="D199" s="103"/>
      <c r="E199" s="11"/>
      <c r="F199" s="12"/>
      <c r="G199" s="60"/>
      <c r="H199" s="60"/>
      <c r="I199" s="101"/>
      <c r="J199" s="74"/>
      <c r="K199" s="43"/>
      <c r="L199" s="43"/>
      <c r="M199" s="43"/>
      <c r="N199" s="43"/>
      <c r="O199" s="43"/>
      <c r="P199" s="43"/>
      <c r="Q199" s="43"/>
      <c r="R199" s="43"/>
      <c r="S199" s="43"/>
      <c r="T199" s="43"/>
      <c r="U199" s="43"/>
      <c r="V199" s="43"/>
      <c r="W199" s="44"/>
      <c r="X199" s="44"/>
    </row>
    <row r="200" spans="1:24" x14ac:dyDescent="0.25">
      <c r="A200" s="102" t="s">
        <v>5034</v>
      </c>
      <c r="B200" s="62" t="s">
        <v>5066</v>
      </c>
      <c r="C200" s="62" t="s">
        <v>60</v>
      </c>
      <c r="D200" s="103"/>
      <c r="E200" s="11"/>
      <c r="F200" s="12"/>
      <c r="G200" s="60"/>
      <c r="H200" s="60"/>
      <c r="I200" s="101"/>
      <c r="J200" s="74"/>
      <c r="K200" s="43"/>
      <c r="L200" s="43"/>
      <c r="M200" s="43"/>
      <c r="N200" s="43"/>
      <c r="O200" s="43"/>
      <c r="P200" s="43"/>
      <c r="Q200" s="43"/>
      <c r="R200" s="43"/>
      <c r="S200" s="43"/>
      <c r="T200" s="43"/>
      <c r="U200" s="43"/>
      <c r="V200" s="43"/>
      <c r="W200" s="44"/>
      <c r="X200" s="44"/>
    </row>
    <row r="201" spans="1:24" x14ac:dyDescent="0.25">
      <c r="A201" s="102" t="s">
        <v>5035</v>
      </c>
      <c r="B201" s="62" t="s">
        <v>5067</v>
      </c>
      <c r="C201" s="62" t="s">
        <v>60</v>
      </c>
      <c r="D201" s="103"/>
      <c r="E201" s="11"/>
      <c r="F201" s="12"/>
      <c r="G201" s="60"/>
      <c r="H201" s="60"/>
      <c r="I201" s="101"/>
      <c r="J201" s="74"/>
      <c r="K201" s="43"/>
      <c r="L201" s="43"/>
      <c r="M201" s="43"/>
      <c r="N201" s="43"/>
      <c r="O201" s="43"/>
      <c r="P201" s="43"/>
      <c r="Q201" s="43"/>
      <c r="R201" s="43"/>
      <c r="S201" s="43"/>
      <c r="T201" s="43"/>
      <c r="U201" s="43"/>
      <c r="V201" s="43"/>
      <c r="W201" s="44"/>
      <c r="X201" s="44"/>
    </row>
    <row r="202" spans="1:24" x14ac:dyDescent="0.25">
      <c r="A202" s="102" t="s">
        <v>5036</v>
      </c>
      <c r="B202" s="62" t="s">
        <v>5068</v>
      </c>
      <c r="C202" s="62" t="s">
        <v>60</v>
      </c>
      <c r="D202" s="103"/>
      <c r="E202" s="11"/>
      <c r="F202" s="12"/>
      <c r="G202" s="60"/>
      <c r="H202" s="60"/>
      <c r="I202" s="101"/>
      <c r="J202" s="74"/>
      <c r="K202" s="43"/>
      <c r="L202" s="43"/>
      <c r="M202" s="43"/>
      <c r="N202" s="43"/>
      <c r="O202" s="43"/>
      <c r="P202" s="43"/>
      <c r="Q202" s="43"/>
      <c r="R202" s="43"/>
      <c r="S202" s="43"/>
      <c r="T202" s="43"/>
      <c r="U202" s="43"/>
      <c r="V202" s="43"/>
      <c r="W202" s="44"/>
      <c r="X202" s="44"/>
    </row>
    <row r="203" spans="1:24" x14ac:dyDescent="0.25">
      <c r="A203" s="102" t="s">
        <v>5037</v>
      </c>
      <c r="B203" s="62" t="s">
        <v>5069</v>
      </c>
      <c r="C203" s="62" t="s">
        <v>60</v>
      </c>
      <c r="D203" s="103"/>
      <c r="E203" s="11"/>
      <c r="F203" s="12"/>
      <c r="G203" s="60"/>
      <c r="H203" s="60"/>
      <c r="I203" s="101"/>
      <c r="J203" s="74"/>
      <c r="K203" s="43"/>
      <c r="L203" s="43"/>
      <c r="M203" s="43"/>
      <c r="N203" s="43"/>
      <c r="O203" s="43"/>
      <c r="P203" s="43"/>
      <c r="Q203" s="43"/>
      <c r="R203" s="43"/>
      <c r="S203" s="43"/>
      <c r="T203" s="43"/>
      <c r="U203" s="43"/>
      <c r="V203" s="43"/>
      <c r="W203" s="44"/>
      <c r="X203" s="44"/>
    </row>
    <row r="204" spans="1:24" x14ac:dyDescent="0.25">
      <c r="A204" s="102" t="s">
        <v>5038</v>
      </c>
      <c r="B204" s="62" t="s">
        <v>5070</v>
      </c>
      <c r="C204" s="62" t="s">
        <v>60</v>
      </c>
      <c r="D204" s="103"/>
      <c r="E204" s="11"/>
      <c r="F204" s="12"/>
      <c r="G204" s="60"/>
      <c r="H204" s="60"/>
      <c r="I204" s="101"/>
      <c r="J204" s="74"/>
      <c r="K204" s="43"/>
      <c r="L204" s="43"/>
      <c r="M204" s="43"/>
      <c r="N204" s="43"/>
      <c r="O204" s="43"/>
      <c r="P204" s="43"/>
      <c r="Q204" s="43"/>
      <c r="R204" s="43"/>
      <c r="S204" s="43"/>
      <c r="T204" s="43"/>
      <c r="U204" s="43"/>
      <c r="V204" s="43"/>
      <c r="W204" s="44"/>
      <c r="X204" s="44"/>
    </row>
    <row r="205" spans="1:24" x14ac:dyDescent="0.25">
      <c r="A205" s="102" t="s">
        <v>5039</v>
      </c>
      <c r="B205" s="62" t="s">
        <v>5071</v>
      </c>
      <c r="C205" s="62" t="s">
        <v>60</v>
      </c>
      <c r="D205" s="103"/>
      <c r="E205" s="11"/>
      <c r="F205" s="12"/>
      <c r="G205" s="60"/>
      <c r="H205" s="60"/>
      <c r="I205" s="101"/>
      <c r="J205" s="74"/>
      <c r="K205" s="43"/>
      <c r="L205" s="43"/>
      <c r="M205" s="43"/>
      <c r="N205" s="43"/>
      <c r="O205" s="43"/>
      <c r="P205" s="43"/>
      <c r="Q205" s="43"/>
      <c r="R205" s="43"/>
      <c r="S205" s="43"/>
      <c r="T205" s="43"/>
      <c r="U205" s="43"/>
      <c r="V205" s="43"/>
      <c r="W205" s="44"/>
      <c r="X205" s="44"/>
    </row>
    <row r="206" spans="1:24" x14ac:dyDescent="0.25">
      <c r="A206" s="102" t="s">
        <v>5040</v>
      </c>
      <c r="B206" s="62" t="s">
        <v>5072</v>
      </c>
      <c r="C206" s="62" t="s">
        <v>60</v>
      </c>
      <c r="D206" s="103"/>
      <c r="E206" s="11"/>
      <c r="F206" s="12"/>
      <c r="G206" s="60"/>
      <c r="H206" s="60"/>
      <c r="I206" s="101"/>
      <c r="J206" s="74"/>
      <c r="K206" s="43"/>
      <c r="L206" s="43"/>
      <c r="M206" s="43"/>
      <c r="N206" s="43"/>
      <c r="O206" s="43"/>
      <c r="P206" s="43"/>
      <c r="Q206" s="43"/>
      <c r="R206" s="43"/>
      <c r="S206" s="43"/>
      <c r="T206" s="43"/>
      <c r="U206" s="43"/>
      <c r="V206" s="43"/>
      <c r="W206" s="44"/>
      <c r="X206" s="44"/>
    </row>
    <row r="207" spans="1:24" x14ac:dyDescent="0.25">
      <c r="A207" s="102" t="s">
        <v>5041</v>
      </c>
      <c r="B207" s="62" t="s">
        <v>5061</v>
      </c>
      <c r="C207" s="62" t="s">
        <v>62</v>
      </c>
      <c r="D207" s="103"/>
      <c r="E207" s="11"/>
      <c r="F207" s="12"/>
      <c r="G207" s="60"/>
      <c r="H207" s="60"/>
      <c r="I207" s="101"/>
      <c r="J207" s="74"/>
      <c r="K207" s="43"/>
      <c r="L207" s="43"/>
      <c r="M207" s="43"/>
      <c r="N207" s="43"/>
      <c r="O207" s="43"/>
      <c r="P207" s="43"/>
      <c r="Q207" s="43"/>
      <c r="R207" s="43"/>
      <c r="S207" s="43"/>
      <c r="T207" s="43"/>
      <c r="U207" s="43"/>
      <c r="V207" s="43"/>
      <c r="W207" s="44"/>
      <c r="X207" s="44"/>
    </row>
    <row r="208" spans="1:24" x14ac:dyDescent="0.25">
      <c r="A208" s="102" t="s">
        <v>5042</v>
      </c>
      <c r="B208" s="62" t="s">
        <v>5062</v>
      </c>
      <c r="C208" s="62" t="s">
        <v>62</v>
      </c>
      <c r="D208" s="103"/>
      <c r="E208" s="11"/>
      <c r="F208" s="12"/>
      <c r="G208" s="60"/>
      <c r="H208" s="60"/>
      <c r="I208" s="101"/>
      <c r="J208" s="74"/>
      <c r="K208" s="43"/>
      <c r="L208" s="43"/>
      <c r="M208" s="43"/>
      <c r="N208" s="43"/>
      <c r="O208" s="43"/>
      <c r="P208" s="43"/>
      <c r="Q208" s="43"/>
      <c r="R208" s="43"/>
      <c r="S208" s="43"/>
      <c r="T208" s="43"/>
      <c r="U208" s="43"/>
      <c r="V208" s="43"/>
      <c r="W208" s="44"/>
      <c r="X208" s="44"/>
    </row>
    <row r="209" spans="1:24" x14ac:dyDescent="0.25">
      <c r="A209" s="102" t="s">
        <v>5043</v>
      </c>
      <c r="B209" s="62" t="s">
        <v>5063</v>
      </c>
      <c r="C209" s="62" t="s">
        <v>62</v>
      </c>
      <c r="D209" s="103"/>
      <c r="E209" s="11"/>
      <c r="F209" s="12"/>
      <c r="G209" s="60"/>
      <c r="H209" s="60"/>
      <c r="I209" s="101"/>
      <c r="J209" s="74"/>
      <c r="K209" s="43"/>
      <c r="L209" s="43"/>
      <c r="M209" s="43"/>
      <c r="N209" s="43"/>
      <c r="O209" s="43"/>
      <c r="P209" s="43"/>
      <c r="Q209" s="43"/>
      <c r="R209" s="43"/>
      <c r="S209" s="43"/>
      <c r="T209" s="43"/>
      <c r="U209" s="43"/>
      <c r="V209" s="43"/>
      <c r="W209" s="44"/>
      <c r="X209" s="44"/>
    </row>
    <row r="210" spans="1:24" x14ac:dyDescent="0.25">
      <c r="A210" s="102" t="s">
        <v>5044</v>
      </c>
      <c r="B210" s="62" t="s">
        <v>5064</v>
      </c>
      <c r="C210" s="62" t="s">
        <v>62</v>
      </c>
      <c r="D210" s="103"/>
      <c r="E210" s="11"/>
      <c r="F210" s="12"/>
      <c r="G210" s="60"/>
      <c r="H210" s="60"/>
      <c r="I210" s="101"/>
      <c r="J210" s="74"/>
      <c r="K210" s="43"/>
      <c r="L210" s="43"/>
      <c r="M210" s="43"/>
      <c r="N210" s="43"/>
      <c r="O210" s="43"/>
      <c r="P210" s="43"/>
      <c r="Q210" s="43"/>
      <c r="R210" s="43"/>
      <c r="S210" s="43"/>
      <c r="T210" s="43"/>
      <c r="U210" s="43"/>
      <c r="V210" s="43"/>
      <c r="W210" s="44"/>
      <c r="X210" s="44"/>
    </row>
    <row r="211" spans="1:24" x14ac:dyDescent="0.25">
      <c r="A211" s="102" t="s">
        <v>5045</v>
      </c>
      <c r="B211" s="62" t="s">
        <v>5065</v>
      </c>
      <c r="C211" s="62" t="s">
        <v>62</v>
      </c>
      <c r="D211" s="103"/>
      <c r="E211" s="11"/>
      <c r="F211" s="12"/>
      <c r="G211" s="60"/>
      <c r="H211" s="60"/>
      <c r="I211" s="101"/>
      <c r="J211" s="74"/>
      <c r="K211" s="43"/>
      <c r="L211" s="43"/>
      <c r="M211" s="43"/>
      <c r="N211" s="43"/>
      <c r="O211" s="43"/>
      <c r="P211" s="43"/>
      <c r="Q211" s="43"/>
      <c r="R211" s="43"/>
      <c r="S211" s="43"/>
      <c r="T211" s="43"/>
      <c r="U211" s="43"/>
      <c r="V211" s="43"/>
      <c r="W211" s="44"/>
      <c r="X211" s="44"/>
    </row>
    <row r="212" spans="1:24" x14ac:dyDescent="0.25">
      <c r="A212" s="102" t="s">
        <v>5046</v>
      </c>
      <c r="B212" s="62" t="s">
        <v>5066</v>
      </c>
      <c r="C212" s="62" t="s">
        <v>62</v>
      </c>
      <c r="D212" s="103"/>
      <c r="E212" s="11"/>
      <c r="F212" s="12"/>
      <c r="G212" s="60"/>
      <c r="H212" s="60"/>
      <c r="I212" s="101"/>
      <c r="J212" s="74"/>
      <c r="K212" s="43"/>
      <c r="L212" s="43"/>
      <c r="M212" s="43"/>
      <c r="N212" s="43"/>
      <c r="O212" s="43"/>
      <c r="P212" s="43"/>
      <c r="Q212" s="43"/>
      <c r="R212" s="43"/>
      <c r="S212" s="43"/>
      <c r="T212" s="43"/>
      <c r="U212" s="43"/>
      <c r="V212" s="43"/>
      <c r="W212" s="44"/>
      <c r="X212" s="44"/>
    </row>
    <row r="213" spans="1:24" x14ac:dyDescent="0.25">
      <c r="A213" s="102" t="s">
        <v>5047</v>
      </c>
      <c r="B213" s="62" t="s">
        <v>5067</v>
      </c>
      <c r="C213" s="62" t="s">
        <v>62</v>
      </c>
      <c r="D213" s="103"/>
      <c r="E213" s="11"/>
      <c r="F213" s="12"/>
      <c r="G213" s="60"/>
      <c r="H213" s="60"/>
      <c r="I213" s="101"/>
      <c r="J213" s="74"/>
      <c r="K213" s="43"/>
      <c r="L213" s="43"/>
      <c r="M213" s="43"/>
      <c r="N213" s="43"/>
      <c r="O213" s="43"/>
      <c r="P213" s="43"/>
      <c r="Q213" s="43"/>
      <c r="R213" s="43"/>
      <c r="S213" s="43"/>
      <c r="T213" s="43"/>
      <c r="U213" s="43"/>
      <c r="V213" s="43"/>
      <c r="W213" s="44"/>
      <c r="X213" s="44"/>
    </row>
    <row r="214" spans="1:24" x14ac:dyDescent="0.25">
      <c r="A214" s="102" t="s">
        <v>5048</v>
      </c>
      <c r="B214" s="62" t="s">
        <v>5068</v>
      </c>
      <c r="C214" s="62" t="s">
        <v>62</v>
      </c>
      <c r="D214" s="104"/>
      <c r="E214" s="105"/>
      <c r="F214" s="106"/>
      <c r="G214" s="107"/>
      <c r="H214" s="107"/>
      <c r="I214" s="108"/>
      <c r="J214" s="109"/>
      <c r="K214" s="110"/>
      <c r="L214" s="110"/>
      <c r="M214" s="110"/>
      <c r="N214" s="110"/>
      <c r="O214" s="110"/>
      <c r="P214" s="110"/>
      <c r="Q214" s="110"/>
      <c r="R214" s="110"/>
      <c r="S214" s="110"/>
      <c r="T214" s="110"/>
      <c r="U214" s="110"/>
      <c r="V214" s="110"/>
      <c r="W214" s="111"/>
      <c r="X214" s="111"/>
    </row>
  </sheetData>
  <dataConsolidate/>
  <dataValidations count="8">
    <dataValidation allowBlank="1" showInputMessage="1" promptTitle="Group Vertex Color" prompt="To select a color to use for all vertices in the group, right-click and select Select Color on the right-click menu." sqref="B3:B214" xr:uid="{00000000-0002-0000-0300-000000000000}"/>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C214" xr:uid="{00000000-0002-0000-0300-000001000000}">
      <formula1>ValidGroupShapes</formula1>
    </dataValidation>
    <dataValidation allowBlank="1" showInputMessage="1" showErrorMessage="1" promptTitle="Group Name" prompt="Enter the name of the group." sqref="A3:A214" xr:uid="{00000000-0002-0000-0300-000002000000}"/>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E214" xr:uid="{00000000-0002-0000-0300-000003000000}">
      <formula1>ValidBooleansDefaultFalse</formula1>
    </dataValidation>
    <dataValidation allowBlank="1" sqref="K3:K214" xr:uid="{00000000-0002-0000-0300-000004000000}"/>
    <dataValidation allowBlank="1" showInputMessage="1" showErrorMessage="1" errorTitle="Invalid Group Collapsed" error="You have entered an unrecognized &quot;group collapsed.&quot;  Try selecting from the drop-down list instead." promptTitle="Group Label" prompt="Enter an optional group label." sqref="F3:F214" xr:uid="{00000000-0002-0000-0300-000005000000}"/>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214" xr:uid="{00000000-0002-0000-0300-000006000000}"/>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D214" xr:uid="{00000000-0002-0000-0300-000007000000}">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479"/>
  <sheetViews>
    <sheetView workbookViewId="0">
      <selection activeCell="D1" sqref="D1"/>
    </sheetView>
  </sheetViews>
  <sheetFormatPr baseColWidth="10" defaultColWidth="9.140625" defaultRowHeight="15" x14ac:dyDescent="0.25"/>
  <cols>
    <col min="1" max="1" width="9.42578125" style="1" bestFit="1" customWidth="1"/>
    <col min="2" max="2" width="9.140625" style="1"/>
    <col min="3" max="3" width="11.5703125" bestFit="1" customWidth="1"/>
    <col min="4" max="4" width="9.140625" customWidth="1"/>
  </cols>
  <sheetData>
    <row r="1" spans="1:3" ht="15" customHeight="1" x14ac:dyDescent="0.25">
      <c r="A1" s="10" t="s">
        <v>143</v>
      </c>
      <c r="B1" s="10" t="s">
        <v>5</v>
      </c>
      <c r="C1" s="10" t="s">
        <v>146</v>
      </c>
    </row>
    <row r="2" spans="1:3" x14ac:dyDescent="0.25">
      <c r="A2" s="112" t="s">
        <v>4837</v>
      </c>
      <c r="B2" s="114" t="s">
        <v>344</v>
      </c>
      <c r="C2" s="112">
        <f>VLOOKUP("~"&amp;GroupVertices[[#This Row],[Vertex]], Vertices[], MATCH("ID", Vertices[#Headers], 0), FALSE)</f>
        <v>276</v>
      </c>
    </row>
    <row r="3" spans="1:3" x14ac:dyDescent="0.25">
      <c r="A3" s="113" t="s">
        <v>4837</v>
      </c>
      <c r="B3" s="114" t="s">
        <v>497</v>
      </c>
      <c r="C3" s="112">
        <f>VLOOKUP("~"&amp;GroupVertices[[#This Row],[Vertex]], Vertices[], MATCH("ID", Vertices[#Headers], 0), FALSE)</f>
        <v>3</v>
      </c>
    </row>
    <row r="4" spans="1:3" x14ac:dyDescent="0.25">
      <c r="A4" s="113" t="s">
        <v>4837</v>
      </c>
      <c r="B4" s="114" t="s">
        <v>322</v>
      </c>
      <c r="C4" s="112">
        <f>VLOOKUP("~"&amp;GroupVertices[[#This Row],[Vertex]], Vertices[], MATCH("ID", Vertices[#Headers], 0), FALSE)</f>
        <v>12</v>
      </c>
    </row>
    <row r="5" spans="1:3" x14ac:dyDescent="0.25">
      <c r="A5" s="113" t="s">
        <v>4837</v>
      </c>
      <c r="B5" s="114" t="s">
        <v>607</v>
      </c>
      <c r="C5" s="112">
        <f>VLOOKUP("~"&amp;GroupVertices[[#This Row],[Vertex]], Vertices[], MATCH("ID", Vertices[#Headers], 0), FALSE)</f>
        <v>247</v>
      </c>
    </row>
    <row r="6" spans="1:3" x14ac:dyDescent="0.25">
      <c r="A6" s="113" t="s">
        <v>4837</v>
      </c>
      <c r="B6" s="114" t="s">
        <v>435</v>
      </c>
      <c r="C6" s="112">
        <f>VLOOKUP("~"&amp;GroupVertices[[#This Row],[Vertex]], Vertices[], MATCH("ID", Vertices[#Headers], 0), FALSE)</f>
        <v>273</v>
      </c>
    </row>
    <row r="7" spans="1:3" x14ac:dyDescent="0.25">
      <c r="A7" s="113" t="s">
        <v>4837</v>
      </c>
      <c r="B7" s="114" t="s">
        <v>341</v>
      </c>
      <c r="C7" s="112">
        <f>VLOOKUP("~"&amp;GroupVertices[[#This Row],[Vertex]], Vertices[], MATCH("ID", Vertices[#Headers], 0), FALSE)</f>
        <v>7</v>
      </c>
    </row>
    <row r="8" spans="1:3" x14ac:dyDescent="0.25">
      <c r="A8" s="113" t="s">
        <v>4837</v>
      </c>
      <c r="B8" s="114" t="s">
        <v>617</v>
      </c>
      <c r="C8" s="112">
        <f>VLOOKUP("~"&amp;GroupVertices[[#This Row],[Vertex]], Vertices[], MATCH("ID", Vertices[#Headers], 0), FALSE)</f>
        <v>272</v>
      </c>
    </row>
    <row r="9" spans="1:3" x14ac:dyDescent="0.25">
      <c r="A9" s="113" t="s">
        <v>4837</v>
      </c>
      <c r="B9" s="114" t="s">
        <v>616</v>
      </c>
      <c r="C9" s="112">
        <f>VLOOKUP("~"&amp;GroupVertices[[#This Row],[Vertex]], Vertices[], MATCH("ID", Vertices[#Headers], 0), FALSE)</f>
        <v>271</v>
      </c>
    </row>
    <row r="10" spans="1:3" x14ac:dyDescent="0.25">
      <c r="A10" s="113" t="s">
        <v>4837</v>
      </c>
      <c r="B10" s="114" t="s">
        <v>460</v>
      </c>
      <c r="C10" s="112">
        <f>VLOOKUP("~"&amp;GroupVertices[[#This Row],[Vertex]], Vertices[], MATCH("ID", Vertices[#Headers], 0), FALSE)</f>
        <v>9</v>
      </c>
    </row>
    <row r="11" spans="1:3" x14ac:dyDescent="0.25">
      <c r="A11" s="113" t="s">
        <v>4837</v>
      </c>
      <c r="B11" s="114" t="s">
        <v>459</v>
      </c>
      <c r="C11" s="112">
        <f>VLOOKUP("~"&amp;GroupVertices[[#This Row],[Vertex]], Vertices[], MATCH("ID", Vertices[#Headers], 0), FALSE)</f>
        <v>18</v>
      </c>
    </row>
    <row r="12" spans="1:3" x14ac:dyDescent="0.25">
      <c r="A12" s="113" t="s">
        <v>4837</v>
      </c>
      <c r="B12" s="114" t="s">
        <v>461</v>
      </c>
      <c r="C12" s="112">
        <f>VLOOKUP("~"&amp;GroupVertices[[#This Row],[Vertex]], Vertices[], MATCH("ID", Vertices[#Headers], 0), FALSE)</f>
        <v>428</v>
      </c>
    </row>
    <row r="13" spans="1:3" x14ac:dyDescent="0.25">
      <c r="A13" s="113" t="s">
        <v>4837</v>
      </c>
      <c r="B13" s="114" t="s">
        <v>681</v>
      </c>
      <c r="C13" s="112">
        <f>VLOOKUP("~"&amp;GroupVertices[[#This Row],[Vertex]], Vertices[], MATCH("ID", Vertices[#Headers], 0), FALSE)</f>
        <v>427</v>
      </c>
    </row>
    <row r="14" spans="1:3" x14ac:dyDescent="0.25">
      <c r="A14" s="113" t="s">
        <v>4837</v>
      </c>
      <c r="B14" s="114" t="s">
        <v>260</v>
      </c>
      <c r="C14" s="112">
        <f>VLOOKUP("~"&amp;GroupVertices[[#This Row],[Vertex]], Vertices[], MATCH("ID", Vertices[#Headers], 0), FALSE)</f>
        <v>8</v>
      </c>
    </row>
    <row r="15" spans="1:3" x14ac:dyDescent="0.25">
      <c r="A15" s="113" t="s">
        <v>4837</v>
      </c>
      <c r="B15" s="114" t="s">
        <v>538</v>
      </c>
      <c r="C15" s="112">
        <f>VLOOKUP("~"&amp;GroupVertices[[#This Row],[Vertex]], Vertices[], MATCH("ID", Vertices[#Headers], 0), FALSE)</f>
        <v>134</v>
      </c>
    </row>
    <row r="16" spans="1:3" x14ac:dyDescent="0.25">
      <c r="A16" s="113" t="s">
        <v>4837</v>
      </c>
      <c r="B16" s="114" t="s">
        <v>537</v>
      </c>
      <c r="C16" s="112">
        <f>VLOOKUP("~"&amp;GroupVertices[[#This Row],[Vertex]], Vertices[], MATCH("ID", Vertices[#Headers], 0), FALSE)</f>
        <v>133</v>
      </c>
    </row>
    <row r="17" spans="1:3" x14ac:dyDescent="0.25">
      <c r="A17" s="113" t="s">
        <v>4837</v>
      </c>
      <c r="B17" s="114" t="s">
        <v>430</v>
      </c>
      <c r="C17" s="112">
        <f>VLOOKUP("~"&amp;GroupVertices[[#This Row],[Vertex]], Vertices[], MATCH("ID", Vertices[#Headers], 0), FALSE)</f>
        <v>396</v>
      </c>
    </row>
    <row r="18" spans="1:3" x14ac:dyDescent="0.25">
      <c r="A18" s="113" t="s">
        <v>4837</v>
      </c>
      <c r="B18" s="114" t="s">
        <v>360</v>
      </c>
      <c r="C18" s="112">
        <f>VLOOKUP("~"&amp;GroupVertices[[#This Row],[Vertex]], Vertices[], MATCH("ID", Vertices[#Headers], 0), FALSE)</f>
        <v>22</v>
      </c>
    </row>
    <row r="19" spans="1:3" x14ac:dyDescent="0.25">
      <c r="A19" s="113" t="s">
        <v>4837</v>
      </c>
      <c r="B19" s="114" t="s">
        <v>498</v>
      </c>
      <c r="C19" s="112">
        <f>VLOOKUP("~"&amp;GroupVertices[[#This Row],[Vertex]], Vertices[], MATCH("ID", Vertices[#Headers], 0), FALSE)</f>
        <v>471</v>
      </c>
    </row>
    <row r="20" spans="1:3" x14ac:dyDescent="0.25">
      <c r="A20" s="113" t="s">
        <v>4837</v>
      </c>
      <c r="B20" s="114" t="s">
        <v>450</v>
      </c>
      <c r="C20" s="112">
        <f>VLOOKUP("~"&amp;GroupVertices[[#This Row],[Vertex]], Vertices[], MATCH("ID", Vertices[#Headers], 0), FALSE)</f>
        <v>417</v>
      </c>
    </row>
    <row r="21" spans="1:3" x14ac:dyDescent="0.25">
      <c r="A21" s="113" t="s">
        <v>4838</v>
      </c>
      <c r="B21" s="114" t="s">
        <v>469</v>
      </c>
      <c r="C21" s="112">
        <f>VLOOKUP("~"&amp;GroupVertices[[#This Row],[Vertex]], Vertices[], MATCH("ID", Vertices[#Headers], 0), FALSE)</f>
        <v>17</v>
      </c>
    </row>
    <row r="22" spans="1:3" x14ac:dyDescent="0.25">
      <c r="A22" s="113" t="s">
        <v>4838</v>
      </c>
      <c r="B22" s="114" t="s">
        <v>687</v>
      </c>
      <c r="C22" s="112">
        <f>VLOOKUP("~"&amp;GroupVertices[[#This Row],[Vertex]], Vertices[], MATCH("ID", Vertices[#Headers], 0), FALSE)</f>
        <v>440</v>
      </c>
    </row>
    <row r="23" spans="1:3" x14ac:dyDescent="0.25">
      <c r="A23" s="113" t="s">
        <v>4838</v>
      </c>
      <c r="B23" s="114" t="s">
        <v>606</v>
      </c>
      <c r="C23" s="112">
        <f>VLOOKUP("~"&amp;GroupVertices[[#This Row],[Vertex]], Vertices[], MATCH("ID", Vertices[#Headers], 0), FALSE)</f>
        <v>16</v>
      </c>
    </row>
    <row r="24" spans="1:3" x14ac:dyDescent="0.25">
      <c r="A24" s="113" t="s">
        <v>4838</v>
      </c>
      <c r="B24" s="114" t="s">
        <v>320</v>
      </c>
      <c r="C24" s="112">
        <f>VLOOKUP("~"&amp;GroupVertices[[#This Row],[Vertex]], Vertices[], MATCH("ID", Vertices[#Headers], 0), FALSE)</f>
        <v>5</v>
      </c>
    </row>
    <row r="25" spans="1:3" x14ac:dyDescent="0.25">
      <c r="A25" s="113" t="s">
        <v>4838</v>
      </c>
      <c r="B25" s="114" t="s">
        <v>605</v>
      </c>
      <c r="C25" s="112">
        <f>VLOOKUP("~"&amp;GroupVertices[[#This Row],[Vertex]], Vertices[], MATCH("ID", Vertices[#Headers], 0), FALSE)</f>
        <v>245</v>
      </c>
    </row>
    <row r="26" spans="1:3" x14ac:dyDescent="0.25">
      <c r="A26" s="113" t="s">
        <v>4838</v>
      </c>
      <c r="B26" s="114" t="s">
        <v>604</v>
      </c>
      <c r="C26" s="112">
        <f>VLOOKUP("~"&amp;GroupVertices[[#This Row],[Vertex]], Vertices[], MATCH("ID", Vertices[#Headers], 0), FALSE)</f>
        <v>244</v>
      </c>
    </row>
    <row r="27" spans="1:3" x14ac:dyDescent="0.25">
      <c r="A27" s="113" t="s">
        <v>4838</v>
      </c>
      <c r="B27" s="114" t="s">
        <v>603</v>
      </c>
      <c r="C27" s="112">
        <f>VLOOKUP("~"&amp;GroupVertices[[#This Row],[Vertex]], Vertices[], MATCH("ID", Vertices[#Headers], 0), FALSE)</f>
        <v>243</v>
      </c>
    </row>
    <row r="28" spans="1:3" x14ac:dyDescent="0.25">
      <c r="A28" s="113" t="s">
        <v>4838</v>
      </c>
      <c r="B28" s="114" t="s">
        <v>602</v>
      </c>
      <c r="C28" s="112">
        <f>VLOOKUP("~"&amp;GroupVertices[[#This Row],[Vertex]], Vertices[], MATCH("ID", Vertices[#Headers], 0), FALSE)</f>
        <v>242</v>
      </c>
    </row>
    <row r="29" spans="1:3" x14ac:dyDescent="0.25">
      <c r="A29" s="113" t="s">
        <v>4838</v>
      </c>
      <c r="B29" s="114" t="s">
        <v>601</v>
      </c>
      <c r="C29" s="112">
        <f>VLOOKUP("~"&amp;GroupVertices[[#This Row],[Vertex]], Vertices[], MATCH("ID", Vertices[#Headers], 0), FALSE)</f>
        <v>241</v>
      </c>
    </row>
    <row r="30" spans="1:3" x14ac:dyDescent="0.25">
      <c r="A30" s="113" t="s">
        <v>4838</v>
      </c>
      <c r="B30" s="114" t="s">
        <v>600</v>
      </c>
      <c r="C30" s="112">
        <f>VLOOKUP("~"&amp;GroupVertices[[#This Row],[Vertex]], Vertices[], MATCH("ID", Vertices[#Headers], 0), FALSE)</f>
        <v>240</v>
      </c>
    </row>
    <row r="31" spans="1:3" x14ac:dyDescent="0.25">
      <c r="A31" s="113" t="s">
        <v>4838</v>
      </c>
      <c r="B31" s="114" t="s">
        <v>599</v>
      </c>
      <c r="C31" s="112">
        <f>VLOOKUP("~"&amp;GroupVertices[[#This Row],[Vertex]], Vertices[], MATCH("ID", Vertices[#Headers], 0), FALSE)</f>
        <v>239</v>
      </c>
    </row>
    <row r="32" spans="1:3" x14ac:dyDescent="0.25">
      <c r="A32" s="113" t="s">
        <v>4838</v>
      </c>
      <c r="B32" s="114" t="s">
        <v>598</v>
      </c>
      <c r="C32" s="112">
        <f>VLOOKUP("~"&amp;GroupVertices[[#This Row],[Vertex]], Vertices[], MATCH("ID", Vertices[#Headers], 0), FALSE)</f>
        <v>238</v>
      </c>
    </row>
    <row r="33" spans="1:3" x14ac:dyDescent="0.25">
      <c r="A33" s="113" t="s">
        <v>4838</v>
      </c>
      <c r="B33" s="114" t="s">
        <v>597</v>
      </c>
      <c r="C33" s="112">
        <f>VLOOKUP("~"&amp;GroupVertices[[#This Row],[Vertex]], Vertices[], MATCH("ID", Vertices[#Headers], 0), FALSE)</f>
        <v>237</v>
      </c>
    </row>
    <row r="34" spans="1:3" x14ac:dyDescent="0.25">
      <c r="A34" s="113" t="s">
        <v>4838</v>
      </c>
      <c r="B34" s="114" t="s">
        <v>596</v>
      </c>
      <c r="C34" s="112">
        <f>VLOOKUP("~"&amp;GroupVertices[[#This Row],[Vertex]], Vertices[], MATCH("ID", Vertices[#Headers], 0), FALSE)</f>
        <v>236</v>
      </c>
    </row>
    <row r="35" spans="1:3" x14ac:dyDescent="0.25">
      <c r="A35" s="113" t="s">
        <v>4838</v>
      </c>
      <c r="B35" s="114" t="s">
        <v>595</v>
      </c>
      <c r="C35" s="112">
        <f>VLOOKUP("~"&amp;GroupVertices[[#This Row],[Vertex]], Vertices[], MATCH("ID", Vertices[#Headers], 0), FALSE)</f>
        <v>235</v>
      </c>
    </row>
    <row r="36" spans="1:3" x14ac:dyDescent="0.25">
      <c r="A36" s="113" t="s">
        <v>4838</v>
      </c>
      <c r="B36" s="114" t="s">
        <v>594</v>
      </c>
      <c r="C36" s="112">
        <f>VLOOKUP("~"&amp;GroupVertices[[#This Row],[Vertex]], Vertices[], MATCH("ID", Vertices[#Headers], 0), FALSE)</f>
        <v>234</v>
      </c>
    </row>
    <row r="37" spans="1:3" x14ac:dyDescent="0.25">
      <c r="A37" s="113" t="s">
        <v>4839</v>
      </c>
      <c r="B37" s="114" t="s">
        <v>398</v>
      </c>
      <c r="C37" s="112">
        <f>VLOOKUP("~"&amp;GroupVertices[[#This Row],[Vertex]], Vertices[], MATCH("ID", Vertices[#Headers], 0), FALSE)</f>
        <v>6</v>
      </c>
    </row>
    <row r="38" spans="1:3" x14ac:dyDescent="0.25">
      <c r="A38" s="113" t="s">
        <v>4839</v>
      </c>
      <c r="B38" s="114" t="s">
        <v>663</v>
      </c>
      <c r="C38" s="112">
        <f>VLOOKUP("~"&amp;GroupVertices[[#This Row],[Vertex]], Vertices[], MATCH("ID", Vertices[#Headers], 0), FALSE)</f>
        <v>360</v>
      </c>
    </row>
    <row r="39" spans="1:3" x14ac:dyDescent="0.25">
      <c r="A39" s="113" t="s">
        <v>4839</v>
      </c>
      <c r="B39" s="114" t="s">
        <v>662</v>
      </c>
      <c r="C39" s="112">
        <f>VLOOKUP("~"&amp;GroupVertices[[#This Row],[Vertex]], Vertices[], MATCH("ID", Vertices[#Headers], 0), FALSE)</f>
        <v>359</v>
      </c>
    </row>
    <row r="40" spans="1:3" x14ac:dyDescent="0.25">
      <c r="A40" s="113" t="s">
        <v>4839</v>
      </c>
      <c r="B40" s="114" t="s">
        <v>661</v>
      </c>
      <c r="C40" s="112">
        <f>VLOOKUP("~"&amp;GroupVertices[[#This Row],[Vertex]], Vertices[], MATCH("ID", Vertices[#Headers], 0), FALSE)</f>
        <v>358</v>
      </c>
    </row>
    <row r="41" spans="1:3" x14ac:dyDescent="0.25">
      <c r="A41" s="113" t="s">
        <v>4839</v>
      </c>
      <c r="B41" s="114" t="s">
        <v>660</v>
      </c>
      <c r="C41" s="112">
        <f>VLOOKUP("~"&amp;GroupVertices[[#This Row],[Vertex]], Vertices[], MATCH("ID", Vertices[#Headers], 0), FALSE)</f>
        <v>357</v>
      </c>
    </row>
    <row r="42" spans="1:3" x14ac:dyDescent="0.25">
      <c r="A42" s="113" t="s">
        <v>4839</v>
      </c>
      <c r="B42" s="114" t="s">
        <v>659</v>
      </c>
      <c r="C42" s="112">
        <f>VLOOKUP("~"&amp;GroupVertices[[#This Row],[Vertex]], Vertices[], MATCH("ID", Vertices[#Headers], 0), FALSE)</f>
        <v>356</v>
      </c>
    </row>
    <row r="43" spans="1:3" x14ac:dyDescent="0.25">
      <c r="A43" s="113" t="s">
        <v>4839</v>
      </c>
      <c r="B43" s="114" t="s">
        <v>658</v>
      </c>
      <c r="C43" s="112">
        <f>VLOOKUP("~"&amp;GroupVertices[[#This Row],[Vertex]], Vertices[], MATCH("ID", Vertices[#Headers], 0), FALSE)</f>
        <v>355</v>
      </c>
    </row>
    <row r="44" spans="1:3" x14ac:dyDescent="0.25">
      <c r="A44" s="113" t="s">
        <v>4839</v>
      </c>
      <c r="B44" s="114" t="s">
        <v>657</v>
      </c>
      <c r="C44" s="112">
        <f>VLOOKUP("~"&amp;GroupVertices[[#This Row],[Vertex]], Vertices[], MATCH("ID", Vertices[#Headers], 0), FALSE)</f>
        <v>354</v>
      </c>
    </row>
    <row r="45" spans="1:3" x14ac:dyDescent="0.25">
      <c r="A45" s="113" t="s">
        <v>4839</v>
      </c>
      <c r="B45" s="114" t="s">
        <v>656</v>
      </c>
      <c r="C45" s="112">
        <f>VLOOKUP("~"&amp;GroupVertices[[#This Row],[Vertex]], Vertices[], MATCH("ID", Vertices[#Headers], 0), FALSE)</f>
        <v>353</v>
      </c>
    </row>
    <row r="46" spans="1:3" x14ac:dyDescent="0.25">
      <c r="A46" s="113" t="s">
        <v>4839</v>
      </c>
      <c r="B46" s="114" t="s">
        <v>655</v>
      </c>
      <c r="C46" s="112">
        <f>VLOOKUP("~"&amp;GroupVertices[[#This Row],[Vertex]], Vertices[], MATCH("ID", Vertices[#Headers], 0), FALSE)</f>
        <v>352</v>
      </c>
    </row>
    <row r="47" spans="1:3" x14ac:dyDescent="0.25">
      <c r="A47" s="113" t="s">
        <v>4839</v>
      </c>
      <c r="B47" s="114" t="s">
        <v>654</v>
      </c>
      <c r="C47" s="112">
        <f>VLOOKUP("~"&amp;GroupVertices[[#This Row],[Vertex]], Vertices[], MATCH("ID", Vertices[#Headers], 0), FALSE)</f>
        <v>351</v>
      </c>
    </row>
    <row r="48" spans="1:3" x14ac:dyDescent="0.25">
      <c r="A48" s="113" t="s">
        <v>4839</v>
      </c>
      <c r="B48" s="114" t="s">
        <v>653</v>
      </c>
      <c r="C48" s="112">
        <f>VLOOKUP("~"&amp;GroupVertices[[#This Row],[Vertex]], Vertices[], MATCH("ID", Vertices[#Headers], 0), FALSE)</f>
        <v>350</v>
      </c>
    </row>
    <row r="49" spans="1:3" x14ac:dyDescent="0.25">
      <c r="A49" s="113" t="s">
        <v>4839</v>
      </c>
      <c r="B49" s="114" t="s">
        <v>652</v>
      </c>
      <c r="C49" s="112">
        <f>VLOOKUP("~"&amp;GroupVertices[[#This Row],[Vertex]], Vertices[], MATCH("ID", Vertices[#Headers], 0), FALSE)</f>
        <v>349</v>
      </c>
    </row>
    <row r="50" spans="1:3" x14ac:dyDescent="0.25">
      <c r="A50" s="113" t="s">
        <v>4839</v>
      </c>
      <c r="B50" s="114" t="s">
        <v>665</v>
      </c>
      <c r="C50" s="112">
        <f>VLOOKUP("~"&amp;GroupVertices[[#This Row],[Vertex]], Vertices[], MATCH("ID", Vertices[#Headers], 0), FALSE)</f>
        <v>362</v>
      </c>
    </row>
    <row r="51" spans="1:3" x14ac:dyDescent="0.25">
      <c r="A51" s="113" t="s">
        <v>4839</v>
      </c>
      <c r="B51" s="114" t="s">
        <v>664</v>
      </c>
      <c r="C51" s="112">
        <f>VLOOKUP("~"&amp;GroupVertices[[#This Row],[Vertex]], Vertices[], MATCH("ID", Vertices[#Headers], 0), FALSE)</f>
        <v>361</v>
      </c>
    </row>
    <row r="52" spans="1:3" x14ac:dyDescent="0.25">
      <c r="A52" s="113" t="s">
        <v>4840</v>
      </c>
      <c r="B52" s="114" t="s">
        <v>239</v>
      </c>
      <c r="C52" s="112">
        <f>VLOOKUP("~"&amp;GroupVertices[[#This Row],[Vertex]], Vertices[], MATCH("ID", Vertices[#Headers], 0), FALSE)</f>
        <v>96</v>
      </c>
    </row>
    <row r="53" spans="1:3" x14ac:dyDescent="0.25">
      <c r="A53" s="113" t="s">
        <v>4840</v>
      </c>
      <c r="B53" s="114" t="s">
        <v>506</v>
      </c>
      <c r="C53" s="112">
        <f>VLOOKUP("~"&amp;GroupVertices[[#This Row],[Vertex]], Vertices[], MATCH("ID", Vertices[#Headers], 0), FALSE)</f>
        <v>10</v>
      </c>
    </row>
    <row r="54" spans="1:3" x14ac:dyDescent="0.25">
      <c r="A54" s="113" t="s">
        <v>4840</v>
      </c>
      <c r="B54" s="114" t="s">
        <v>456</v>
      </c>
      <c r="C54" s="112">
        <f>VLOOKUP("~"&amp;GroupVertices[[#This Row],[Vertex]], Vertices[], MATCH("ID", Vertices[#Headers], 0), FALSE)</f>
        <v>424</v>
      </c>
    </row>
    <row r="55" spans="1:3" x14ac:dyDescent="0.25">
      <c r="A55" s="113" t="s">
        <v>4840</v>
      </c>
      <c r="B55" s="114" t="s">
        <v>587</v>
      </c>
      <c r="C55" s="112">
        <f>VLOOKUP("~"&amp;GroupVertices[[#This Row],[Vertex]], Vertices[], MATCH("ID", Vertices[#Headers], 0), FALSE)</f>
        <v>11</v>
      </c>
    </row>
    <row r="56" spans="1:3" x14ac:dyDescent="0.25">
      <c r="A56" s="113" t="s">
        <v>4840</v>
      </c>
      <c r="B56" s="114" t="s">
        <v>335</v>
      </c>
      <c r="C56" s="112">
        <f>VLOOKUP("~"&amp;GroupVertices[[#This Row],[Vertex]], Vertices[], MATCH("ID", Vertices[#Headers], 0), FALSE)</f>
        <v>261</v>
      </c>
    </row>
    <row r="57" spans="1:3" x14ac:dyDescent="0.25">
      <c r="A57" s="113" t="s">
        <v>4840</v>
      </c>
      <c r="B57" s="114" t="s">
        <v>282</v>
      </c>
      <c r="C57" s="112">
        <f>VLOOKUP("~"&amp;GroupVertices[[#This Row],[Vertex]], Vertices[], MATCH("ID", Vertices[#Headers], 0), FALSE)</f>
        <v>167</v>
      </c>
    </row>
    <row r="58" spans="1:3" x14ac:dyDescent="0.25">
      <c r="A58" s="113" t="s">
        <v>4840</v>
      </c>
      <c r="B58" s="114" t="s">
        <v>454</v>
      </c>
      <c r="C58" s="112">
        <f>VLOOKUP("~"&amp;GroupVertices[[#This Row],[Vertex]], Vertices[], MATCH("ID", Vertices[#Headers], 0), FALSE)</f>
        <v>422</v>
      </c>
    </row>
    <row r="59" spans="1:3" x14ac:dyDescent="0.25">
      <c r="A59" s="113" t="s">
        <v>4840</v>
      </c>
      <c r="B59" s="114" t="s">
        <v>458</v>
      </c>
      <c r="C59" s="112">
        <f>VLOOKUP("~"&amp;GroupVertices[[#This Row],[Vertex]], Vertices[], MATCH("ID", Vertices[#Headers], 0), FALSE)</f>
        <v>426</v>
      </c>
    </row>
    <row r="60" spans="1:3" x14ac:dyDescent="0.25">
      <c r="A60" s="113" t="s">
        <v>4840</v>
      </c>
      <c r="B60" s="114" t="s">
        <v>278</v>
      </c>
      <c r="C60" s="112">
        <f>VLOOKUP("~"&amp;GroupVertices[[#This Row],[Vertex]], Vertices[], MATCH("ID", Vertices[#Headers], 0), FALSE)</f>
        <v>163</v>
      </c>
    </row>
    <row r="61" spans="1:3" x14ac:dyDescent="0.25">
      <c r="A61" s="113" t="s">
        <v>4840</v>
      </c>
      <c r="B61" s="114" t="s">
        <v>507</v>
      </c>
      <c r="C61" s="112">
        <f>VLOOKUP("~"&amp;GroupVertices[[#This Row],[Vertex]], Vertices[], MATCH("ID", Vertices[#Headers], 0), FALSE)</f>
        <v>480</v>
      </c>
    </row>
    <row r="62" spans="1:3" x14ac:dyDescent="0.25">
      <c r="A62" s="113" t="s">
        <v>4840</v>
      </c>
      <c r="B62" s="114" t="s">
        <v>471</v>
      </c>
      <c r="C62" s="112">
        <f>VLOOKUP("~"&amp;GroupVertices[[#This Row],[Vertex]], Vertices[], MATCH("ID", Vertices[#Headers], 0), FALSE)</f>
        <v>443</v>
      </c>
    </row>
    <row r="63" spans="1:3" x14ac:dyDescent="0.25">
      <c r="A63" s="113" t="s">
        <v>4840</v>
      </c>
      <c r="B63" s="114" t="s">
        <v>306</v>
      </c>
      <c r="C63" s="112">
        <f>VLOOKUP("~"&amp;GroupVertices[[#This Row],[Vertex]], Vertices[], MATCH("ID", Vertices[#Headers], 0), FALSE)</f>
        <v>215</v>
      </c>
    </row>
    <row r="64" spans="1:3" x14ac:dyDescent="0.25">
      <c r="A64" s="113" t="s">
        <v>4840</v>
      </c>
      <c r="B64" s="114" t="s">
        <v>417</v>
      </c>
      <c r="C64" s="112">
        <f>VLOOKUP("~"&amp;GroupVertices[[#This Row],[Vertex]], Vertices[], MATCH("ID", Vertices[#Headers], 0), FALSE)</f>
        <v>384</v>
      </c>
    </row>
    <row r="65" spans="1:3" x14ac:dyDescent="0.25">
      <c r="A65" s="113" t="s">
        <v>4841</v>
      </c>
      <c r="B65" s="114" t="s">
        <v>266</v>
      </c>
      <c r="C65" s="112">
        <f>VLOOKUP("~"&amp;GroupVertices[[#This Row],[Vertex]], Vertices[], MATCH("ID", Vertices[#Headers], 0), FALSE)</f>
        <v>4</v>
      </c>
    </row>
    <row r="66" spans="1:3" x14ac:dyDescent="0.25">
      <c r="A66" s="113" t="s">
        <v>4841</v>
      </c>
      <c r="B66" s="114" t="s">
        <v>548</v>
      </c>
      <c r="C66" s="112">
        <f>VLOOKUP("~"&amp;GroupVertices[[#This Row],[Vertex]], Vertices[], MATCH("ID", Vertices[#Headers], 0), FALSE)</f>
        <v>148</v>
      </c>
    </row>
    <row r="67" spans="1:3" x14ac:dyDescent="0.25">
      <c r="A67" s="113" t="s">
        <v>4841</v>
      </c>
      <c r="B67" s="114" t="s">
        <v>296</v>
      </c>
      <c r="C67" s="112">
        <f>VLOOKUP("~"&amp;GroupVertices[[#This Row],[Vertex]], Vertices[], MATCH("ID", Vertices[#Headers], 0), FALSE)</f>
        <v>197</v>
      </c>
    </row>
    <row r="68" spans="1:3" x14ac:dyDescent="0.25">
      <c r="A68" s="113" t="s">
        <v>4841</v>
      </c>
      <c r="B68" s="114" t="s">
        <v>547</v>
      </c>
      <c r="C68" s="112">
        <f>VLOOKUP("~"&amp;GroupVertices[[#This Row],[Vertex]], Vertices[], MATCH("ID", Vertices[#Headers], 0), FALSE)</f>
        <v>147</v>
      </c>
    </row>
    <row r="69" spans="1:3" x14ac:dyDescent="0.25">
      <c r="A69" s="113" t="s">
        <v>4841</v>
      </c>
      <c r="B69" s="114" t="s">
        <v>546</v>
      </c>
      <c r="C69" s="112">
        <f>VLOOKUP("~"&amp;GroupVertices[[#This Row],[Vertex]], Vertices[], MATCH("ID", Vertices[#Headers], 0), FALSE)</f>
        <v>146</v>
      </c>
    </row>
    <row r="70" spans="1:3" x14ac:dyDescent="0.25">
      <c r="A70" s="113" t="s">
        <v>4841</v>
      </c>
      <c r="B70" s="114" t="s">
        <v>544</v>
      </c>
      <c r="C70" s="112">
        <f>VLOOKUP("~"&amp;GroupVertices[[#This Row],[Vertex]], Vertices[], MATCH("ID", Vertices[#Headers], 0), FALSE)</f>
        <v>144</v>
      </c>
    </row>
    <row r="71" spans="1:3" x14ac:dyDescent="0.25">
      <c r="A71" s="113" t="s">
        <v>4841</v>
      </c>
      <c r="B71" s="114" t="s">
        <v>549</v>
      </c>
      <c r="C71" s="112">
        <f>VLOOKUP("~"&amp;GroupVertices[[#This Row],[Vertex]], Vertices[], MATCH("ID", Vertices[#Headers], 0), FALSE)</f>
        <v>149</v>
      </c>
    </row>
    <row r="72" spans="1:3" x14ac:dyDescent="0.25">
      <c r="A72" s="113" t="s">
        <v>4841</v>
      </c>
      <c r="B72" s="114" t="s">
        <v>545</v>
      </c>
      <c r="C72" s="112">
        <f>VLOOKUP("~"&amp;GroupVertices[[#This Row],[Vertex]], Vertices[], MATCH("ID", Vertices[#Headers], 0), FALSE)</f>
        <v>145</v>
      </c>
    </row>
    <row r="73" spans="1:3" x14ac:dyDescent="0.25">
      <c r="A73" s="113" t="s">
        <v>4841</v>
      </c>
      <c r="B73" s="114" t="s">
        <v>550</v>
      </c>
      <c r="C73" s="112">
        <f>VLOOKUP("~"&amp;GroupVertices[[#This Row],[Vertex]], Vertices[], MATCH("ID", Vertices[#Headers], 0), FALSE)</f>
        <v>150</v>
      </c>
    </row>
    <row r="74" spans="1:3" x14ac:dyDescent="0.25">
      <c r="A74" s="113" t="s">
        <v>4841</v>
      </c>
      <c r="B74" s="114" t="s">
        <v>543</v>
      </c>
      <c r="C74" s="112">
        <f>VLOOKUP("~"&amp;GroupVertices[[#This Row],[Vertex]], Vertices[], MATCH("ID", Vertices[#Headers], 0), FALSE)</f>
        <v>143</v>
      </c>
    </row>
    <row r="75" spans="1:3" x14ac:dyDescent="0.25">
      <c r="A75" s="113" t="s">
        <v>4841</v>
      </c>
      <c r="B75" s="114" t="s">
        <v>542</v>
      </c>
      <c r="C75" s="112">
        <f>VLOOKUP("~"&amp;GroupVertices[[#This Row],[Vertex]], Vertices[], MATCH("ID", Vertices[#Headers], 0), FALSE)</f>
        <v>142</v>
      </c>
    </row>
    <row r="76" spans="1:3" x14ac:dyDescent="0.25">
      <c r="A76" s="113" t="s">
        <v>4841</v>
      </c>
      <c r="B76" s="114" t="s">
        <v>551</v>
      </c>
      <c r="C76" s="112">
        <f>VLOOKUP("~"&amp;GroupVertices[[#This Row],[Vertex]], Vertices[], MATCH("ID", Vertices[#Headers], 0), FALSE)</f>
        <v>151</v>
      </c>
    </row>
    <row r="77" spans="1:3" x14ac:dyDescent="0.25">
      <c r="A77" s="113" t="s">
        <v>4842</v>
      </c>
      <c r="B77" s="114" t="s">
        <v>347</v>
      </c>
      <c r="C77" s="112">
        <f>VLOOKUP("~"&amp;GroupVertices[[#This Row],[Vertex]], Vertices[], MATCH("ID", Vertices[#Headers], 0), FALSE)</f>
        <v>67</v>
      </c>
    </row>
    <row r="78" spans="1:3" x14ac:dyDescent="0.25">
      <c r="A78" s="113" t="s">
        <v>4842</v>
      </c>
      <c r="B78" s="114" t="s">
        <v>539</v>
      </c>
      <c r="C78" s="112">
        <f>VLOOKUP("~"&amp;GroupVertices[[#This Row],[Vertex]], Vertices[], MATCH("ID", Vertices[#Headers], 0), FALSE)</f>
        <v>19</v>
      </c>
    </row>
    <row r="79" spans="1:3" x14ac:dyDescent="0.25">
      <c r="A79" s="113" t="s">
        <v>4842</v>
      </c>
      <c r="B79" s="114" t="s">
        <v>516</v>
      </c>
      <c r="C79" s="112">
        <f>VLOOKUP("~"&amp;GroupVertices[[#This Row],[Vertex]], Vertices[], MATCH("ID", Vertices[#Headers], 0), FALSE)</f>
        <v>15</v>
      </c>
    </row>
    <row r="80" spans="1:3" x14ac:dyDescent="0.25">
      <c r="A80" s="113" t="s">
        <v>4842</v>
      </c>
      <c r="B80" s="114" t="s">
        <v>301</v>
      </c>
      <c r="C80" s="112">
        <f>VLOOKUP("~"&amp;GroupVertices[[#This Row],[Vertex]], Vertices[], MATCH("ID", Vertices[#Headers], 0), FALSE)</f>
        <v>65</v>
      </c>
    </row>
    <row r="81" spans="1:3" x14ac:dyDescent="0.25">
      <c r="A81" s="113" t="s">
        <v>4842</v>
      </c>
      <c r="B81" s="114" t="s">
        <v>295</v>
      </c>
      <c r="C81" s="112">
        <f>VLOOKUP("~"&amp;GroupVertices[[#This Row],[Vertex]], Vertices[], MATCH("ID", Vertices[#Headers], 0), FALSE)</f>
        <v>64</v>
      </c>
    </row>
    <row r="82" spans="1:3" x14ac:dyDescent="0.25">
      <c r="A82" s="113" t="s">
        <v>4842</v>
      </c>
      <c r="B82" s="114" t="s">
        <v>323</v>
      </c>
      <c r="C82" s="112">
        <f>VLOOKUP("~"&amp;GroupVertices[[#This Row],[Vertex]], Vertices[], MATCH("ID", Vertices[#Headers], 0), FALSE)</f>
        <v>66</v>
      </c>
    </row>
    <row r="83" spans="1:3" x14ac:dyDescent="0.25">
      <c r="A83" s="113" t="s">
        <v>4842</v>
      </c>
      <c r="B83" s="114" t="s">
        <v>262</v>
      </c>
      <c r="C83" s="112">
        <f>VLOOKUP("~"&amp;GroupVertices[[#This Row],[Vertex]], Vertices[], MATCH("ID", Vertices[#Headers], 0), FALSE)</f>
        <v>62</v>
      </c>
    </row>
    <row r="84" spans="1:3" x14ac:dyDescent="0.25">
      <c r="A84" s="113" t="s">
        <v>4842</v>
      </c>
      <c r="B84" s="114" t="s">
        <v>272</v>
      </c>
      <c r="C84" s="112">
        <f>VLOOKUP("~"&amp;GroupVertices[[#This Row],[Vertex]], Vertices[], MATCH("ID", Vertices[#Headers], 0), FALSE)</f>
        <v>63</v>
      </c>
    </row>
    <row r="85" spans="1:3" x14ac:dyDescent="0.25">
      <c r="A85" s="113" t="s">
        <v>4842</v>
      </c>
      <c r="B85" s="114" t="s">
        <v>235</v>
      </c>
      <c r="C85" s="112">
        <f>VLOOKUP("~"&amp;GroupVertices[[#This Row],[Vertex]], Vertices[], MATCH("ID", Vertices[#Headers], 0), FALSE)</f>
        <v>21</v>
      </c>
    </row>
    <row r="86" spans="1:3" x14ac:dyDescent="0.25">
      <c r="A86" s="113" t="s">
        <v>4842</v>
      </c>
      <c r="B86" s="114" t="s">
        <v>515</v>
      </c>
      <c r="C86" s="112">
        <f>VLOOKUP("~"&amp;GroupVertices[[#This Row],[Vertex]], Vertices[], MATCH("ID", Vertices[#Headers], 0), FALSE)</f>
        <v>90</v>
      </c>
    </row>
    <row r="87" spans="1:3" x14ac:dyDescent="0.25">
      <c r="A87" s="113" t="s">
        <v>4842</v>
      </c>
      <c r="B87" s="114" t="s">
        <v>480</v>
      </c>
      <c r="C87" s="112">
        <f>VLOOKUP("~"&amp;GroupVertices[[#This Row],[Vertex]], Vertices[], MATCH("ID", Vertices[#Headers], 0), FALSE)</f>
        <v>68</v>
      </c>
    </row>
    <row r="88" spans="1:3" x14ac:dyDescent="0.25">
      <c r="A88" s="113" t="s">
        <v>4843</v>
      </c>
      <c r="B88" s="114" t="s">
        <v>234</v>
      </c>
      <c r="C88" s="112">
        <f>VLOOKUP("~"&amp;GroupVertices[[#This Row],[Vertex]], Vertices[], MATCH("ID", Vertices[#Headers], 0), FALSE)</f>
        <v>89</v>
      </c>
    </row>
    <row r="89" spans="1:3" x14ac:dyDescent="0.25">
      <c r="A89" s="113" t="s">
        <v>4843</v>
      </c>
      <c r="B89" s="114" t="s">
        <v>514</v>
      </c>
      <c r="C89" s="112">
        <f>VLOOKUP("~"&amp;GroupVertices[[#This Row],[Vertex]], Vertices[], MATCH("ID", Vertices[#Headers], 0), FALSE)</f>
        <v>13</v>
      </c>
    </row>
    <row r="90" spans="1:3" x14ac:dyDescent="0.25">
      <c r="A90" s="113" t="s">
        <v>4843</v>
      </c>
      <c r="B90" s="114" t="s">
        <v>473</v>
      </c>
      <c r="C90" s="112">
        <f>VLOOKUP("~"&amp;GroupVertices[[#This Row],[Vertex]], Vertices[], MATCH("ID", Vertices[#Headers], 0), FALSE)</f>
        <v>445</v>
      </c>
    </row>
    <row r="91" spans="1:3" x14ac:dyDescent="0.25">
      <c r="A91" s="113" t="s">
        <v>4843</v>
      </c>
      <c r="B91" s="114" t="s">
        <v>411</v>
      </c>
      <c r="C91" s="112">
        <f>VLOOKUP("~"&amp;GroupVertices[[#This Row],[Vertex]], Vertices[], MATCH("ID", Vertices[#Headers], 0), FALSE)</f>
        <v>378</v>
      </c>
    </row>
    <row r="92" spans="1:3" x14ac:dyDescent="0.25">
      <c r="A92" s="113" t="s">
        <v>4843</v>
      </c>
      <c r="B92" s="114" t="s">
        <v>505</v>
      </c>
      <c r="C92" s="112">
        <f>VLOOKUP("~"&amp;GroupVertices[[#This Row],[Vertex]], Vertices[], MATCH("ID", Vertices[#Headers], 0), FALSE)</f>
        <v>479</v>
      </c>
    </row>
    <row r="93" spans="1:3" x14ac:dyDescent="0.25">
      <c r="A93" s="113" t="s">
        <v>4843</v>
      </c>
      <c r="B93" s="114" t="s">
        <v>315</v>
      </c>
      <c r="C93" s="112">
        <f>VLOOKUP("~"&amp;GroupVertices[[#This Row],[Vertex]], Vertices[], MATCH("ID", Vertices[#Headers], 0), FALSE)</f>
        <v>227</v>
      </c>
    </row>
    <row r="94" spans="1:3" x14ac:dyDescent="0.25">
      <c r="A94" s="113" t="s">
        <v>4843</v>
      </c>
      <c r="B94" s="114" t="s">
        <v>311</v>
      </c>
      <c r="C94" s="112">
        <f>VLOOKUP("~"&amp;GroupVertices[[#This Row],[Vertex]], Vertices[], MATCH("ID", Vertices[#Headers], 0), FALSE)</f>
        <v>222</v>
      </c>
    </row>
    <row r="95" spans="1:3" x14ac:dyDescent="0.25">
      <c r="A95" s="113" t="s">
        <v>4843</v>
      </c>
      <c r="B95" s="114" t="s">
        <v>508</v>
      </c>
      <c r="C95" s="112">
        <f>VLOOKUP("~"&amp;GroupVertices[[#This Row],[Vertex]], Vertices[], MATCH("ID", Vertices[#Headers], 0), FALSE)</f>
        <v>72</v>
      </c>
    </row>
    <row r="96" spans="1:3" x14ac:dyDescent="0.25">
      <c r="A96" s="113" t="s">
        <v>4843</v>
      </c>
      <c r="B96" s="114" t="s">
        <v>274</v>
      </c>
      <c r="C96" s="112">
        <f>VLOOKUP("~"&amp;GroupVertices[[#This Row],[Vertex]], Vertices[], MATCH("ID", Vertices[#Headers], 0), FALSE)</f>
        <v>160</v>
      </c>
    </row>
    <row r="97" spans="1:3" x14ac:dyDescent="0.25">
      <c r="A97" s="113" t="s">
        <v>4844</v>
      </c>
      <c r="B97" s="114" t="s">
        <v>288</v>
      </c>
      <c r="C97" s="112">
        <f>VLOOKUP("~"&amp;GroupVertices[[#This Row],[Vertex]], Vertices[], MATCH("ID", Vertices[#Headers], 0), FALSE)</f>
        <v>14</v>
      </c>
    </row>
    <row r="98" spans="1:3" x14ac:dyDescent="0.25">
      <c r="A98" s="113" t="s">
        <v>4844</v>
      </c>
      <c r="B98" s="114" t="s">
        <v>564</v>
      </c>
      <c r="C98" s="112">
        <f>VLOOKUP("~"&amp;GroupVertices[[#This Row],[Vertex]], Vertices[], MATCH("ID", Vertices[#Headers], 0), FALSE)</f>
        <v>181</v>
      </c>
    </row>
    <row r="99" spans="1:3" x14ac:dyDescent="0.25">
      <c r="A99" s="113" t="s">
        <v>4844</v>
      </c>
      <c r="B99" s="114" t="s">
        <v>566</v>
      </c>
      <c r="C99" s="112">
        <f>VLOOKUP("~"&amp;GroupVertices[[#This Row],[Vertex]], Vertices[], MATCH("ID", Vertices[#Headers], 0), FALSE)</f>
        <v>183</v>
      </c>
    </row>
    <row r="100" spans="1:3" x14ac:dyDescent="0.25">
      <c r="A100" s="113" t="s">
        <v>4844</v>
      </c>
      <c r="B100" s="114" t="s">
        <v>563</v>
      </c>
      <c r="C100" s="112">
        <f>VLOOKUP("~"&amp;GroupVertices[[#This Row],[Vertex]], Vertices[], MATCH("ID", Vertices[#Headers], 0), FALSE)</f>
        <v>180</v>
      </c>
    </row>
    <row r="101" spans="1:3" x14ac:dyDescent="0.25">
      <c r="A101" s="113" t="s">
        <v>4844</v>
      </c>
      <c r="B101" s="114" t="s">
        <v>567</v>
      </c>
      <c r="C101" s="112">
        <f>VLOOKUP("~"&amp;GroupVertices[[#This Row],[Vertex]], Vertices[], MATCH("ID", Vertices[#Headers], 0), FALSE)</f>
        <v>184</v>
      </c>
    </row>
    <row r="102" spans="1:3" x14ac:dyDescent="0.25">
      <c r="A102" s="113" t="s">
        <v>4844</v>
      </c>
      <c r="B102" s="114" t="s">
        <v>562</v>
      </c>
      <c r="C102" s="112">
        <f>VLOOKUP("~"&amp;GroupVertices[[#This Row],[Vertex]], Vertices[], MATCH("ID", Vertices[#Headers], 0), FALSE)</f>
        <v>179</v>
      </c>
    </row>
    <row r="103" spans="1:3" x14ac:dyDescent="0.25">
      <c r="A103" s="113" t="s">
        <v>4844</v>
      </c>
      <c r="B103" s="114" t="s">
        <v>561</v>
      </c>
      <c r="C103" s="112">
        <f>VLOOKUP("~"&amp;GroupVertices[[#This Row],[Vertex]], Vertices[], MATCH("ID", Vertices[#Headers], 0), FALSE)</f>
        <v>178</v>
      </c>
    </row>
    <row r="104" spans="1:3" x14ac:dyDescent="0.25">
      <c r="A104" s="113" t="s">
        <v>4844</v>
      </c>
      <c r="B104" s="114" t="s">
        <v>565</v>
      </c>
      <c r="C104" s="112">
        <f>VLOOKUP("~"&amp;GroupVertices[[#This Row],[Vertex]], Vertices[], MATCH("ID", Vertices[#Headers], 0), FALSE)</f>
        <v>182</v>
      </c>
    </row>
    <row r="105" spans="1:3" x14ac:dyDescent="0.25">
      <c r="A105" s="113" t="s">
        <v>4844</v>
      </c>
      <c r="B105" s="114" t="s">
        <v>560</v>
      </c>
      <c r="C105" s="112">
        <f>VLOOKUP("~"&amp;GroupVertices[[#This Row],[Vertex]], Vertices[], MATCH("ID", Vertices[#Headers], 0), FALSE)</f>
        <v>177</v>
      </c>
    </row>
    <row r="106" spans="1:3" x14ac:dyDescent="0.25">
      <c r="A106" s="113" t="s">
        <v>4845</v>
      </c>
      <c r="B106" s="114" t="s">
        <v>445</v>
      </c>
      <c r="C106" s="112">
        <f>VLOOKUP("~"&amp;GroupVertices[[#This Row],[Vertex]], Vertices[], MATCH("ID", Vertices[#Headers], 0), FALSE)</f>
        <v>70</v>
      </c>
    </row>
    <row r="107" spans="1:3" x14ac:dyDescent="0.25">
      <c r="A107" s="113" t="s">
        <v>4845</v>
      </c>
      <c r="B107" s="114" t="s">
        <v>556</v>
      </c>
      <c r="C107" s="112">
        <f>VLOOKUP("~"&amp;GroupVertices[[#This Row],[Vertex]], Vertices[], MATCH("ID", Vertices[#Headers], 0), FALSE)</f>
        <v>30</v>
      </c>
    </row>
    <row r="108" spans="1:3" x14ac:dyDescent="0.25">
      <c r="A108" s="113" t="s">
        <v>4845</v>
      </c>
      <c r="B108" s="114" t="s">
        <v>555</v>
      </c>
      <c r="C108" s="112">
        <f>VLOOKUP("~"&amp;GroupVertices[[#This Row],[Vertex]], Vertices[], MATCH("ID", Vertices[#Headers], 0), FALSE)</f>
        <v>29</v>
      </c>
    </row>
    <row r="109" spans="1:3" x14ac:dyDescent="0.25">
      <c r="A109" s="113" t="s">
        <v>4845</v>
      </c>
      <c r="B109" s="114" t="s">
        <v>414</v>
      </c>
      <c r="C109" s="112">
        <f>VLOOKUP("~"&amp;GroupVertices[[#This Row],[Vertex]], Vertices[], MATCH("ID", Vertices[#Headers], 0), FALSE)</f>
        <v>28</v>
      </c>
    </row>
    <row r="110" spans="1:3" x14ac:dyDescent="0.25">
      <c r="A110" s="113" t="s">
        <v>4845</v>
      </c>
      <c r="B110" s="114" t="s">
        <v>672</v>
      </c>
      <c r="C110" s="112">
        <f>VLOOKUP("~"&amp;GroupVertices[[#This Row],[Vertex]], Vertices[], MATCH("ID", Vertices[#Headers], 0), FALSE)</f>
        <v>381</v>
      </c>
    </row>
    <row r="111" spans="1:3" x14ac:dyDescent="0.25">
      <c r="A111" s="113" t="s">
        <v>4845</v>
      </c>
      <c r="B111" s="114" t="s">
        <v>276</v>
      </c>
      <c r="C111" s="112">
        <f>VLOOKUP("~"&amp;GroupVertices[[#This Row],[Vertex]], Vertices[], MATCH("ID", Vertices[#Headers], 0), FALSE)</f>
        <v>69</v>
      </c>
    </row>
    <row r="112" spans="1:3" x14ac:dyDescent="0.25">
      <c r="A112" s="113" t="s">
        <v>4845</v>
      </c>
      <c r="B112" s="114" t="s">
        <v>490</v>
      </c>
      <c r="C112" s="112">
        <f>VLOOKUP("~"&amp;GroupVertices[[#This Row],[Vertex]], Vertices[], MATCH("ID", Vertices[#Headers], 0), FALSE)</f>
        <v>71</v>
      </c>
    </row>
    <row r="113" spans="1:3" x14ac:dyDescent="0.25">
      <c r="A113" s="113" t="s">
        <v>4846</v>
      </c>
      <c r="B113" s="114" t="s">
        <v>244</v>
      </c>
      <c r="C113" s="112">
        <f>VLOOKUP("~"&amp;GroupVertices[[#This Row],[Vertex]], Vertices[], MATCH("ID", Vertices[#Headers], 0), FALSE)</f>
        <v>20</v>
      </c>
    </row>
    <row r="114" spans="1:3" x14ac:dyDescent="0.25">
      <c r="A114" s="113" t="s">
        <v>4846</v>
      </c>
      <c r="B114" s="114" t="s">
        <v>522</v>
      </c>
      <c r="C114" s="112">
        <f>VLOOKUP("~"&amp;GroupVertices[[#This Row],[Vertex]], Vertices[], MATCH("ID", Vertices[#Headers], 0), FALSE)</f>
        <v>105</v>
      </c>
    </row>
    <row r="115" spans="1:3" x14ac:dyDescent="0.25">
      <c r="A115" s="113" t="s">
        <v>4846</v>
      </c>
      <c r="B115" s="114" t="s">
        <v>521</v>
      </c>
      <c r="C115" s="112">
        <f>VLOOKUP("~"&amp;GroupVertices[[#This Row],[Vertex]], Vertices[], MATCH("ID", Vertices[#Headers], 0), FALSE)</f>
        <v>104</v>
      </c>
    </row>
    <row r="116" spans="1:3" x14ac:dyDescent="0.25">
      <c r="A116" s="113" t="s">
        <v>4846</v>
      </c>
      <c r="B116" s="114" t="s">
        <v>520</v>
      </c>
      <c r="C116" s="112">
        <f>VLOOKUP("~"&amp;GroupVertices[[#This Row],[Vertex]], Vertices[], MATCH("ID", Vertices[#Headers], 0), FALSE)</f>
        <v>103</v>
      </c>
    </row>
    <row r="117" spans="1:3" x14ac:dyDescent="0.25">
      <c r="A117" s="113" t="s">
        <v>4846</v>
      </c>
      <c r="B117" s="114" t="s">
        <v>524</v>
      </c>
      <c r="C117" s="112">
        <f>VLOOKUP("~"&amp;GroupVertices[[#This Row],[Vertex]], Vertices[], MATCH("ID", Vertices[#Headers], 0), FALSE)</f>
        <v>107</v>
      </c>
    </row>
    <row r="118" spans="1:3" x14ac:dyDescent="0.25">
      <c r="A118" s="113" t="s">
        <v>4846</v>
      </c>
      <c r="B118" s="114" t="s">
        <v>523</v>
      </c>
      <c r="C118" s="112">
        <f>VLOOKUP("~"&amp;GroupVertices[[#This Row],[Vertex]], Vertices[], MATCH("ID", Vertices[#Headers], 0), FALSE)</f>
        <v>106</v>
      </c>
    </row>
    <row r="119" spans="1:3" x14ac:dyDescent="0.25">
      <c r="A119" s="113" t="s">
        <v>4847</v>
      </c>
      <c r="B119" s="114" t="s">
        <v>373</v>
      </c>
      <c r="C119" s="112">
        <f>VLOOKUP("~"&amp;GroupVertices[[#This Row],[Vertex]], Vertices[], MATCH("ID", Vertices[#Headers], 0), FALSE)</f>
        <v>26</v>
      </c>
    </row>
    <row r="120" spans="1:3" x14ac:dyDescent="0.25">
      <c r="A120" s="113" t="s">
        <v>4847</v>
      </c>
      <c r="B120" s="114" t="s">
        <v>630</v>
      </c>
      <c r="C120" s="112">
        <f>VLOOKUP("~"&amp;GroupVertices[[#This Row],[Vertex]], Vertices[], MATCH("ID", Vertices[#Headers], 0), FALSE)</f>
        <v>309</v>
      </c>
    </row>
    <row r="121" spans="1:3" x14ac:dyDescent="0.25">
      <c r="A121" s="113" t="s">
        <v>4847</v>
      </c>
      <c r="B121" s="114" t="s">
        <v>629</v>
      </c>
      <c r="C121" s="112">
        <f>VLOOKUP("~"&amp;GroupVertices[[#This Row],[Vertex]], Vertices[], MATCH("ID", Vertices[#Headers], 0), FALSE)</f>
        <v>308</v>
      </c>
    </row>
    <row r="122" spans="1:3" x14ac:dyDescent="0.25">
      <c r="A122" s="113" t="s">
        <v>4847</v>
      </c>
      <c r="B122" s="114" t="s">
        <v>628</v>
      </c>
      <c r="C122" s="112">
        <f>VLOOKUP("~"&amp;GroupVertices[[#This Row],[Vertex]], Vertices[], MATCH("ID", Vertices[#Headers], 0), FALSE)</f>
        <v>307</v>
      </c>
    </row>
    <row r="123" spans="1:3" x14ac:dyDescent="0.25">
      <c r="A123" s="113" t="s">
        <v>4847</v>
      </c>
      <c r="B123" s="114" t="s">
        <v>627</v>
      </c>
      <c r="C123" s="112">
        <f>VLOOKUP("~"&amp;GroupVertices[[#This Row],[Vertex]], Vertices[], MATCH("ID", Vertices[#Headers], 0), FALSE)</f>
        <v>306</v>
      </c>
    </row>
    <row r="124" spans="1:3" x14ac:dyDescent="0.25">
      <c r="A124" s="113" t="s">
        <v>4848</v>
      </c>
      <c r="B124" s="114" t="s">
        <v>302</v>
      </c>
      <c r="C124" s="112">
        <f>VLOOKUP("~"&amp;GroupVertices[[#This Row],[Vertex]], Vertices[], MATCH("ID", Vertices[#Headers], 0), FALSE)</f>
        <v>24</v>
      </c>
    </row>
    <row r="125" spans="1:3" x14ac:dyDescent="0.25">
      <c r="A125" s="113" t="s">
        <v>4848</v>
      </c>
      <c r="B125" s="114" t="s">
        <v>581</v>
      </c>
      <c r="C125" s="112">
        <f>VLOOKUP("~"&amp;GroupVertices[[#This Row],[Vertex]], Vertices[], MATCH("ID", Vertices[#Headers], 0), FALSE)</f>
        <v>207</v>
      </c>
    </row>
    <row r="126" spans="1:3" x14ac:dyDescent="0.25">
      <c r="A126" s="113" t="s">
        <v>4848</v>
      </c>
      <c r="B126" s="114" t="s">
        <v>580</v>
      </c>
      <c r="C126" s="112">
        <f>VLOOKUP("~"&amp;GroupVertices[[#This Row],[Vertex]], Vertices[], MATCH("ID", Vertices[#Headers], 0), FALSE)</f>
        <v>206</v>
      </c>
    </row>
    <row r="127" spans="1:3" x14ac:dyDescent="0.25">
      <c r="A127" s="113" t="s">
        <v>4848</v>
      </c>
      <c r="B127" s="114" t="s">
        <v>579</v>
      </c>
      <c r="C127" s="112">
        <f>VLOOKUP("~"&amp;GroupVertices[[#This Row],[Vertex]], Vertices[], MATCH("ID", Vertices[#Headers], 0), FALSE)</f>
        <v>205</v>
      </c>
    </row>
    <row r="128" spans="1:3" x14ac:dyDescent="0.25">
      <c r="A128" s="113" t="s">
        <v>4848</v>
      </c>
      <c r="B128" s="114" t="s">
        <v>578</v>
      </c>
      <c r="C128" s="112">
        <f>VLOOKUP("~"&amp;GroupVertices[[#This Row],[Vertex]], Vertices[], MATCH("ID", Vertices[#Headers], 0), FALSE)</f>
        <v>204</v>
      </c>
    </row>
    <row r="129" spans="1:3" x14ac:dyDescent="0.25">
      <c r="A129" s="113" t="s">
        <v>4849</v>
      </c>
      <c r="B129" s="114" t="s">
        <v>292</v>
      </c>
      <c r="C129" s="112">
        <f>VLOOKUP("~"&amp;GroupVertices[[#This Row],[Vertex]], Vertices[], MATCH("ID", Vertices[#Headers], 0), FALSE)</f>
        <v>23</v>
      </c>
    </row>
    <row r="130" spans="1:3" x14ac:dyDescent="0.25">
      <c r="A130" s="113" t="s">
        <v>4849</v>
      </c>
      <c r="B130" s="114" t="s">
        <v>571</v>
      </c>
      <c r="C130" s="112">
        <f>VLOOKUP("~"&amp;GroupVertices[[#This Row],[Vertex]], Vertices[], MATCH("ID", Vertices[#Headers], 0), FALSE)</f>
        <v>190</v>
      </c>
    </row>
    <row r="131" spans="1:3" x14ac:dyDescent="0.25">
      <c r="A131" s="113" t="s">
        <v>4849</v>
      </c>
      <c r="B131" s="114" t="s">
        <v>573</v>
      </c>
      <c r="C131" s="112">
        <f>VLOOKUP("~"&amp;GroupVertices[[#This Row],[Vertex]], Vertices[], MATCH("ID", Vertices[#Headers], 0), FALSE)</f>
        <v>192</v>
      </c>
    </row>
    <row r="132" spans="1:3" x14ac:dyDescent="0.25">
      <c r="A132" s="113" t="s">
        <v>4849</v>
      </c>
      <c r="B132" s="114" t="s">
        <v>572</v>
      </c>
      <c r="C132" s="112">
        <f>VLOOKUP("~"&amp;GroupVertices[[#This Row],[Vertex]], Vertices[], MATCH("ID", Vertices[#Headers], 0), FALSE)</f>
        <v>191</v>
      </c>
    </row>
    <row r="133" spans="1:3" x14ac:dyDescent="0.25">
      <c r="A133" s="113" t="s">
        <v>4849</v>
      </c>
      <c r="B133" s="114" t="s">
        <v>501</v>
      </c>
      <c r="C133" s="112">
        <f>VLOOKUP("~"&amp;GroupVertices[[#This Row],[Vertex]], Vertices[], MATCH("ID", Vertices[#Headers], 0), FALSE)</f>
        <v>193</v>
      </c>
    </row>
    <row r="134" spans="1:3" x14ac:dyDescent="0.25">
      <c r="A134" s="113" t="s">
        <v>4850</v>
      </c>
      <c r="B134" s="114" t="s">
        <v>368</v>
      </c>
      <c r="C134" s="112">
        <f>VLOOKUP("~"&amp;GroupVertices[[#This Row],[Vertex]], Vertices[], MATCH("ID", Vertices[#Headers], 0), FALSE)</f>
        <v>59</v>
      </c>
    </row>
    <row r="135" spans="1:3" x14ac:dyDescent="0.25">
      <c r="A135" s="113" t="s">
        <v>4850</v>
      </c>
      <c r="B135" s="114" t="s">
        <v>626</v>
      </c>
      <c r="C135" s="112">
        <f>VLOOKUP("~"&amp;GroupVertices[[#This Row],[Vertex]], Vertices[], MATCH("ID", Vertices[#Headers], 0), FALSE)</f>
        <v>52</v>
      </c>
    </row>
    <row r="136" spans="1:3" x14ac:dyDescent="0.25">
      <c r="A136" s="113" t="s">
        <v>4850</v>
      </c>
      <c r="B136" s="114" t="s">
        <v>625</v>
      </c>
      <c r="C136" s="112">
        <f>VLOOKUP("~"&amp;GroupVertices[[#This Row],[Vertex]], Vertices[], MATCH("ID", Vertices[#Headers], 0), FALSE)</f>
        <v>51</v>
      </c>
    </row>
    <row r="137" spans="1:3" x14ac:dyDescent="0.25">
      <c r="A137" s="113" t="s">
        <v>4850</v>
      </c>
      <c r="B137" s="114" t="s">
        <v>422</v>
      </c>
      <c r="C137" s="112">
        <f>VLOOKUP("~"&amp;GroupVertices[[#This Row],[Vertex]], Vertices[], MATCH("ID", Vertices[#Headers], 0), FALSE)</f>
        <v>31</v>
      </c>
    </row>
    <row r="138" spans="1:3" x14ac:dyDescent="0.25">
      <c r="A138" s="113" t="s">
        <v>4850</v>
      </c>
      <c r="B138" s="114" t="s">
        <v>423</v>
      </c>
      <c r="C138" s="112">
        <f>VLOOKUP("~"&amp;GroupVertices[[#This Row],[Vertex]], Vertices[], MATCH("ID", Vertices[#Headers], 0), FALSE)</f>
        <v>389</v>
      </c>
    </row>
    <row r="139" spans="1:3" x14ac:dyDescent="0.25">
      <c r="A139" s="113" t="s">
        <v>4851</v>
      </c>
      <c r="B139" s="114" t="s">
        <v>305</v>
      </c>
      <c r="C139" s="112">
        <f>VLOOKUP("~"&amp;GroupVertices[[#This Row],[Vertex]], Vertices[], MATCH("ID", Vertices[#Headers], 0), FALSE)</f>
        <v>25</v>
      </c>
    </row>
    <row r="140" spans="1:3" x14ac:dyDescent="0.25">
      <c r="A140" s="113" t="s">
        <v>4851</v>
      </c>
      <c r="B140" s="114" t="s">
        <v>586</v>
      </c>
      <c r="C140" s="112">
        <f>VLOOKUP("~"&amp;GroupVertices[[#This Row],[Vertex]], Vertices[], MATCH("ID", Vertices[#Headers], 0), FALSE)</f>
        <v>214</v>
      </c>
    </row>
    <row r="141" spans="1:3" x14ac:dyDescent="0.25">
      <c r="A141" s="113" t="s">
        <v>4851</v>
      </c>
      <c r="B141" s="114" t="s">
        <v>585</v>
      </c>
      <c r="C141" s="112">
        <f>VLOOKUP("~"&amp;GroupVertices[[#This Row],[Vertex]], Vertices[], MATCH("ID", Vertices[#Headers], 0), FALSE)</f>
        <v>213</v>
      </c>
    </row>
    <row r="142" spans="1:3" x14ac:dyDescent="0.25">
      <c r="A142" s="113" t="s">
        <v>4851</v>
      </c>
      <c r="B142" s="114" t="s">
        <v>584</v>
      </c>
      <c r="C142" s="112">
        <f>VLOOKUP("~"&amp;GroupVertices[[#This Row],[Vertex]], Vertices[], MATCH("ID", Vertices[#Headers], 0), FALSE)</f>
        <v>212</v>
      </c>
    </row>
    <row r="143" spans="1:3" x14ac:dyDescent="0.25">
      <c r="A143" s="113" t="s">
        <v>4851</v>
      </c>
      <c r="B143" s="114" t="s">
        <v>583</v>
      </c>
      <c r="C143" s="112">
        <f>VLOOKUP("~"&amp;GroupVertices[[#This Row],[Vertex]], Vertices[], MATCH("ID", Vertices[#Headers], 0), FALSE)</f>
        <v>211</v>
      </c>
    </row>
    <row r="144" spans="1:3" x14ac:dyDescent="0.25">
      <c r="A144" s="113" t="s">
        <v>4852</v>
      </c>
      <c r="B144" s="114" t="s">
        <v>268</v>
      </c>
      <c r="C144" s="112">
        <f>VLOOKUP("~"&amp;GroupVertices[[#This Row],[Vertex]], Vertices[], MATCH("ID", Vertices[#Headers], 0), FALSE)</f>
        <v>153</v>
      </c>
    </row>
    <row r="145" spans="1:3" x14ac:dyDescent="0.25">
      <c r="A145" s="113" t="s">
        <v>4852</v>
      </c>
      <c r="B145" s="114" t="s">
        <v>418</v>
      </c>
      <c r="C145" s="112">
        <f>VLOOKUP("~"&amp;GroupVertices[[#This Row],[Vertex]], Vertices[], MATCH("ID", Vertices[#Headers], 0), FALSE)</f>
        <v>155</v>
      </c>
    </row>
    <row r="146" spans="1:3" x14ac:dyDescent="0.25">
      <c r="A146" s="113" t="s">
        <v>4852</v>
      </c>
      <c r="B146" s="114" t="s">
        <v>362</v>
      </c>
      <c r="C146" s="112">
        <f>VLOOKUP("~"&amp;GroupVertices[[#This Row],[Vertex]], Vertices[], MATCH("ID", Vertices[#Headers], 0), FALSE)</f>
        <v>34</v>
      </c>
    </row>
    <row r="147" spans="1:3" x14ac:dyDescent="0.25">
      <c r="A147" s="113" t="s">
        <v>4852</v>
      </c>
      <c r="B147" s="114" t="s">
        <v>552</v>
      </c>
      <c r="C147" s="112">
        <f>VLOOKUP("~"&amp;GroupVertices[[#This Row],[Vertex]], Vertices[], MATCH("ID", Vertices[#Headers], 0), FALSE)</f>
        <v>154</v>
      </c>
    </row>
    <row r="148" spans="1:3" x14ac:dyDescent="0.25">
      <c r="A148" s="113" t="s">
        <v>4852</v>
      </c>
      <c r="B148" s="114" t="s">
        <v>623</v>
      </c>
      <c r="C148" s="112">
        <f>VLOOKUP("~"&amp;GroupVertices[[#This Row],[Vertex]], Vertices[], MATCH("ID", Vertices[#Headers], 0), FALSE)</f>
        <v>297</v>
      </c>
    </row>
    <row r="149" spans="1:3" x14ac:dyDescent="0.25">
      <c r="A149" s="113" t="s">
        <v>4853</v>
      </c>
      <c r="B149" s="114" t="s">
        <v>477</v>
      </c>
      <c r="C149" s="112">
        <f>VLOOKUP("~"&amp;GroupVertices[[#This Row],[Vertex]], Vertices[], MATCH("ID", Vertices[#Headers], 0), FALSE)</f>
        <v>27</v>
      </c>
    </row>
    <row r="150" spans="1:3" x14ac:dyDescent="0.25">
      <c r="A150" s="113" t="s">
        <v>4853</v>
      </c>
      <c r="B150" s="114" t="s">
        <v>693</v>
      </c>
      <c r="C150" s="112">
        <f>VLOOKUP("~"&amp;GroupVertices[[#This Row],[Vertex]], Vertices[], MATCH("ID", Vertices[#Headers], 0), FALSE)</f>
        <v>453</v>
      </c>
    </row>
    <row r="151" spans="1:3" x14ac:dyDescent="0.25">
      <c r="A151" s="113" t="s">
        <v>4853</v>
      </c>
      <c r="B151" s="114" t="s">
        <v>692</v>
      </c>
      <c r="C151" s="112">
        <f>VLOOKUP("~"&amp;GroupVertices[[#This Row],[Vertex]], Vertices[], MATCH("ID", Vertices[#Headers], 0), FALSE)</f>
        <v>452</v>
      </c>
    </row>
    <row r="152" spans="1:3" x14ac:dyDescent="0.25">
      <c r="A152" s="113" t="s">
        <v>4853</v>
      </c>
      <c r="B152" s="114" t="s">
        <v>691</v>
      </c>
      <c r="C152" s="112">
        <f>VLOOKUP("~"&amp;GroupVertices[[#This Row],[Vertex]], Vertices[], MATCH("ID", Vertices[#Headers], 0), FALSE)</f>
        <v>451</v>
      </c>
    </row>
    <row r="153" spans="1:3" x14ac:dyDescent="0.25">
      <c r="A153" s="113" t="s">
        <v>4853</v>
      </c>
      <c r="B153" s="114" t="s">
        <v>690</v>
      </c>
      <c r="C153" s="112">
        <f>VLOOKUP("~"&amp;GroupVertices[[#This Row],[Vertex]], Vertices[], MATCH("ID", Vertices[#Headers], 0), FALSE)</f>
        <v>450</v>
      </c>
    </row>
    <row r="154" spans="1:3" x14ac:dyDescent="0.25">
      <c r="A154" s="113" t="s">
        <v>4854</v>
      </c>
      <c r="B154" s="114" t="s">
        <v>487</v>
      </c>
      <c r="C154" s="112">
        <f>VLOOKUP("~"&amp;GroupVertices[[#This Row],[Vertex]], Vertices[], MATCH("ID", Vertices[#Headers], 0), FALSE)</f>
        <v>459</v>
      </c>
    </row>
    <row r="155" spans="1:3" x14ac:dyDescent="0.25">
      <c r="A155" s="113" t="s">
        <v>4854</v>
      </c>
      <c r="B155" s="114" t="s">
        <v>593</v>
      </c>
      <c r="C155" s="112">
        <f>VLOOKUP("~"&amp;GroupVertices[[#This Row],[Vertex]], Vertices[], MATCH("ID", Vertices[#Headers], 0), FALSE)</f>
        <v>36</v>
      </c>
    </row>
    <row r="156" spans="1:3" x14ac:dyDescent="0.25">
      <c r="A156" s="113" t="s">
        <v>4854</v>
      </c>
      <c r="B156" s="114" t="s">
        <v>321</v>
      </c>
      <c r="C156" s="112">
        <f>VLOOKUP("~"&amp;GroupVertices[[#This Row],[Vertex]], Vertices[], MATCH("ID", Vertices[#Headers], 0), FALSE)</f>
        <v>246</v>
      </c>
    </row>
    <row r="157" spans="1:3" x14ac:dyDescent="0.25">
      <c r="A157" s="113" t="s">
        <v>4854</v>
      </c>
      <c r="B157" s="114" t="s">
        <v>318</v>
      </c>
      <c r="C157" s="112">
        <f>VLOOKUP("~"&amp;GroupVertices[[#This Row],[Vertex]], Vertices[], MATCH("ID", Vertices[#Headers], 0), FALSE)</f>
        <v>232</v>
      </c>
    </row>
    <row r="158" spans="1:3" x14ac:dyDescent="0.25">
      <c r="A158" s="113" t="s">
        <v>4855</v>
      </c>
      <c r="B158" s="114" t="s">
        <v>387</v>
      </c>
      <c r="C158" s="112">
        <f>VLOOKUP("~"&amp;GroupVertices[[#This Row],[Vertex]], Vertices[], MATCH("ID", Vertices[#Headers], 0), FALSE)</f>
        <v>39</v>
      </c>
    </row>
    <row r="159" spans="1:3" x14ac:dyDescent="0.25">
      <c r="A159" s="113" t="s">
        <v>4855</v>
      </c>
      <c r="B159" s="114" t="s">
        <v>645</v>
      </c>
      <c r="C159" s="112">
        <f>VLOOKUP("~"&amp;GroupVertices[[#This Row],[Vertex]], Vertices[], MATCH("ID", Vertices[#Headers], 0), FALSE)</f>
        <v>334</v>
      </c>
    </row>
    <row r="160" spans="1:3" x14ac:dyDescent="0.25">
      <c r="A160" s="113" t="s">
        <v>4855</v>
      </c>
      <c r="B160" s="114" t="s">
        <v>644</v>
      </c>
      <c r="C160" s="112">
        <f>VLOOKUP("~"&amp;GroupVertices[[#This Row],[Vertex]], Vertices[], MATCH("ID", Vertices[#Headers], 0), FALSE)</f>
        <v>333</v>
      </c>
    </row>
    <row r="161" spans="1:3" x14ac:dyDescent="0.25">
      <c r="A161" s="113" t="s">
        <v>4855</v>
      </c>
      <c r="B161" s="114" t="s">
        <v>646</v>
      </c>
      <c r="C161" s="112">
        <f>VLOOKUP("~"&amp;GroupVertices[[#This Row],[Vertex]], Vertices[], MATCH("ID", Vertices[#Headers], 0), FALSE)</f>
        <v>335</v>
      </c>
    </row>
    <row r="162" spans="1:3" x14ac:dyDescent="0.25">
      <c r="A162" s="113" t="s">
        <v>4856</v>
      </c>
      <c r="B162" s="114" t="s">
        <v>496</v>
      </c>
      <c r="C162" s="112">
        <f>VLOOKUP("~"&amp;GroupVertices[[#This Row],[Vertex]], Vertices[], MATCH("ID", Vertices[#Headers], 0), FALSE)</f>
        <v>41</v>
      </c>
    </row>
    <row r="163" spans="1:3" x14ac:dyDescent="0.25">
      <c r="A163" s="113" t="s">
        <v>4856</v>
      </c>
      <c r="B163" s="114" t="s">
        <v>698</v>
      </c>
      <c r="C163" s="112">
        <f>VLOOKUP("~"&amp;GroupVertices[[#This Row],[Vertex]], Vertices[], MATCH("ID", Vertices[#Headers], 0), FALSE)</f>
        <v>470</v>
      </c>
    </row>
    <row r="164" spans="1:3" x14ac:dyDescent="0.25">
      <c r="A164" s="113" t="s">
        <v>4856</v>
      </c>
      <c r="B164" s="114" t="s">
        <v>697</v>
      </c>
      <c r="C164" s="112">
        <f>VLOOKUP("~"&amp;GroupVertices[[#This Row],[Vertex]], Vertices[], MATCH("ID", Vertices[#Headers], 0), FALSE)</f>
        <v>469</v>
      </c>
    </row>
    <row r="165" spans="1:3" x14ac:dyDescent="0.25">
      <c r="A165" s="113" t="s">
        <v>4856</v>
      </c>
      <c r="B165" s="114" t="s">
        <v>696</v>
      </c>
      <c r="C165" s="112">
        <f>VLOOKUP("~"&amp;GroupVertices[[#This Row],[Vertex]], Vertices[], MATCH("ID", Vertices[#Headers], 0), FALSE)</f>
        <v>468</v>
      </c>
    </row>
    <row r="166" spans="1:3" x14ac:dyDescent="0.25">
      <c r="A166" s="113" t="s">
        <v>4857</v>
      </c>
      <c r="B166" s="114" t="s">
        <v>385</v>
      </c>
      <c r="C166" s="112">
        <f>VLOOKUP("~"&amp;GroupVertices[[#This Row],[Vertex]], Vertices[], MATCH("ID", Vertices[#Headers], 0), FALSE)</f>
        <v>38</v>
      </c>
    </row>
    <row r="167" spans="1:3" x14ac:dyDescent="0.25">
      <c r="A167" s="113" t="s">
        <v>4857</v>
      </c>
      <c r="B167" s="114" t="s">
        <v>643</v>
      </c>
      <c r="C167" s="112">
        <f>VLOOKUP("~"&amp;GroupVertices[[#This Row],[Vertex]], Vertices[], MATCH("ID", Vertices[#Headers], 0), FALSE)</f>
        <v>331</v>
      </c>
    </row>
    <row r="168" spans="1:3" x14ac:dyDescent="0.25">
      <c r="A168" s="113" t="s">
        <v>4857</v>
      </c>
      <c r="B168" s="114" t="s">
        <v>642</v>
      </c>
      <c r="C168" s="112">
        <f>VLOOKUP("~"&amp;GroupVertices[[#This Row],[Vertex]], Vertices[], MATCH("ID", Vertices[#Headers], 0), FALSE)</f>
        <v>330</v>
      </c>
    </row>
    <row r="169" spans="1:3" x14ac:dyDescent="0.25">
      <c r="A169" s="113" t="s">
        <v>4857</v>
      </c>
      <c r="B169" s="114" t="s">
        <v>641</v>
      </c>
      <c r="C169" s="112">
        <f>VLOOKUP("~"&amp;GroupVertices[[#This Row],[Vertex]], Vertices[], MATCH("ID", Vertices[#Headers], 0), FALSE)</f>
        <v>329</v>
      </c>
    </row>
    <row r="170" spans="1:3" x14ac:dyDescent="0.25">
      <c r="A170" s="113" t="s">
        <v>4858</v>
      </c>
      <c r="B170" s="114" t="s">
        <v>439</v>
      </c>
      <c r="C170" s="112">
        <f>VLOOKUP("~"&amp;GroupVertices[[#This Row],[Vertex]], Vertices[], MATCH("ID", Vertices[#Headers], 0), FALSE)</f>
        <v>406</v>
      </c>
    </row>
    <row r="171" spans="1:3" x14ac:dyDescent="0.25">
      <c r="A171" s="113" t="s">
        <v>4858</v>
      </c>
      <c r="B171" s="114" t="s">
        <v>486</v>
      </c>
      <c r="C171" s="112">
        <f>VLOOKUP("~"&amp;GroupVertices[[#This Row],[Vertex]], Vertices[], MATCH("ID", Vertices[#Headers], 0), FALSE)</f>
        <v>45</v>
      </c>
    </row>
    <row r="172" spans="1:3" x14ac:dyDescent="0.25">
      <c r="A172" s="113" t="s">
        <v>4858</v>
      </c>
      <c r="B172" s="114" t="s">
        <v>397</v>
      </c>
      <c r="C172" s="112">
        <f>VLOOKUP("~"&amp;GroupVertices[[#This Row],[Vertex]], Vertices[], MATCH("ID", Vertices[#Headers], 0), FALSE)</f>
        <v>44</v>
      </c>
    </row>
    <row r="173" spans="1:3" x14ac:dyDescent="0.25">
      <c r="A173" s="113" t="s">
        <v>4858</v>
      </c>
      <c r="B173" s="114" t="s">
        <v>651</v>
      </c>
      <c r="C173" s="112">
        <f>VLOOKUP("~"&amp;GroupVertices[[#This Row],[Vertex]], Vertices[], MATCH("ID", Vertices[#Headers], 0), FALSE)</f>
        <v>348</v>
      </c>
    </row>
    <row r="174" spans="1:3" x14ac:dyDescent="0.25">
      <c r="A174" s="113" t="s">
        <v>4859</v>
      </c>
      <c r="B174" s="114" t="s">
        <v>247</v>
      </c>
      <c r="C174" s="112">
        <f>VLOOKUP("~"&amp;GroupVertices[[#This Row],[Vertex]], Vertices[], MATCH("ID", Vertices[#Headers], 0), FALSE)</f>
        <v>32</v>
      </c>
    </row>
    <row r="175" spans="1:3" x14ac:dyDescent="0.25">
      <c r="A175" s="113" t="s">
        <v>4859</v>
      </c>
      <c r="B175" s="114" t="s">
        <v>528</v>
      </c>
      <c r="C175" s="112">
        <f>VLOOKUP("~"&amp;GroupVertices[[#This Row],[Vertex]], Vertices[], MATCH("ID", Vertices[#Headers], 0), FALSE)</f>
        <v>113</v>
      </c>
    </row>
    <row r="176" spans="1:3" x14ac:dyDescent="0.25">
      <c r="A176" s="113" t="s">
        <v>4859</v>
      </c>
      <c r="B176" s="114" t="s">
        <v>527</v>
      </c>
      <c r="C176" s="112">
        <f>VLOOKUP("~"&amp;GroupVertices[[#This Row],[Vertex]], Vertices[], MATCH("ID", Vertices[#Headers], 0), FALSE)</f>
        <v>112</v>
      </c>
    </row>
    <row r="177" spans="1:3" x14ac:dyDescent="0.25">
      <c r="A177" s="113" t="s">
        <v>4859</v>
      </c>
      <c r="B177" s="114" t="s">
        <v>526</v>
      </c>
      <c r="C177" s="112">
        <f>VLOOKUP("~"&amp;GroupVertices[[#This Row],[Vertex]], Vertices[], MATCH("ID", Vertices[#Headers], 0), FALSE)</f>
        <v>111</v>
      </c>
    </row>
    <row r="178" spans="1:3" x14ac:dyDescent="0.25">
      <c r="A178" s="113" t="s">
        <v>4860</v>
      </c>
      <c r="B178" s="114" t="s">
        <v>289</v>
      </c>
      <c r="C178" s="112">
        <f>VLOOKUP("~"&amp;GroupVertices[[#This Row],[Vertex]], Vertices[], MATCH("ID", Vertices[#Headers], 0), FALSE)</f>
        <v>35</v>
      </c>
    </row>
    <row r="179" spans="1:3" x14ac:dyDescent="0.25">
      <c r="A179" s="113" t="s">
        <v>4860</v>
      </c>
      <c r="B179" s="114" t="s">
        <v>570</v>
      </c>
      <c r="C179" s="112">
        <f>VLOOKUP("~"&amp;GroupVertices[[#This Row],[Vertex]], Vertices[], MATCH("ID", Vertices[#Headers], 0), FALSE)</f>
        <v>187</v>
      </c>
    </row>
    <row r="180" spans="1:3" x14ac:dyDescent="0.25">
      <c r="A180" s="113" t="s">
        <v>4860</v>
      </c>
      <c r="B180" s="114" t="s">
        <v>569</v>
      </c>
      <c r="C180" s="112">
        <f>VLOOKUP("~"&amp;GroupVertices[[#This Row],[Vertex]], Vertices[], MATCH("ID", Vertices[#Headers], 0), FALSE)</f>
        <v>186</v>
      </c>
    </row>
    <row r="181" spans="1:3" x14ac:dyDescent="0.25">
      <c r="A181" s="113" t="s">
        <v>4860</v>
      </c>
      <c r="B181" s="114" t="s">
        <v>568</v>
      </c>
      <c r="C181" s="112">
        <f>VLOOKUP("~"&amp;GroupVertices[[#This Row],[Vertex]], Vertices[], MATCH("ID", Vertices[#Headers], 0), FALSE)</f>
        <v>185</v>
      </c>
    </row>
    <row r="182" spans="1:3" x14ac:dyDescent="0.25">
      <c r="A182" s="113" t="s">
        <v>4861</v>
      </c>
      <c r="B182" s="114" t="s">
        <v>408</v>
      </c>
      <c r="C182" s="112">
        <f>VLOOKUP("~"&amp;GroupVertices[[#This Row],[Vertex]], Vertices[], MATCH("ID", Vertices[#Headers], 0), FALSE)</f>
        <v>40</v>
      </c>
    </row>
    <row r="183" spans="1:3" x14ac:dyDescent="0.25">
      <c r="A183" s="113" t="s">
        <v>4861</v>
      </c>
      <c r="B183" s="114" t="s">
        <v>670</v>
      </c>
      <c r="C183" s="112">
        <f>VLOOKUP("~"&amp;GroupVertices[[#This Row],[Vertex]], Vertices[], MATCH("ID", Vertices[#Headers], 0), FALSE)</f>
        <v>375</v>
      </c>
    </row>
    <row r="184" spans="1:3" x14ac:dyDescent="0.25">
      <c r="A184" s="113" t="s">
        <v>4861</v>
      </c>
      <c r="B184" s="114" t="s">
        <v>669</v>
      </c>
      <c r="C184" s="112">
        <f>VLOOKUP("~"&amp;GroupVertices[[#This Row],[Vertex]], Vertices[], MATCH("ID", Vertices[#Headers], 0), FALSE)</f>
        <v>374</v>
      </c>
    </row>
    <row r="185" spans="1:3" x14ac:dyDescent="0.25">
      <c r="A185" s="113" t="s">
        <v>4861</v>
      </c>
      <c r="B185" s="114" t="s">
        <v>668</v>
      </c>
      <c r="C185" s="112">
        <f>VLOOKUP("~"&amp;GroupVertices[[#This Row],[Vertex]], Vertices[], MATCH("ID", Vertices[#Headers], 0), FALSE)</f>
        <v>373</v>
      </c>
    </row>
    <row r="186" spans="1:3" x14ac:dyDescent="0.25">
      <c r="A186" s="113" t="s">
        <v>4862</v>
      </c>
      <c r="B186" s="114" t="s">
        <v>248</v>
      </c>
      <c r="C186" s="112">
        <f>VLOOKUP("~"&amp;GroupVertices[[#This Row],[Vertex]], Vertices[], MATCH("ID", Vertices[#Headers], 0), FALSE)</f>
        <v>33</v>
      </c>
    </row>
    <row r="187" spans="1:3" x14ac:dyDescent="0.25">
      <c r="A187" s="113" t="s">
        <v>4862</v>
      </c>
      <c r="B187" s="114" t="s">
        <v>531</v>
      </c>
      <c r="C187" s="112">
        <f>VLOOKUP("~"&amp;GroupVertices[[#This Row],[Vertex]], Vertices[], MATCH("ID", Vertices[#Headers], 0), FALSE)</f>
        <v>116</v>
      </c>
    </row>
    <row r="188" spans="1:3" x14ac:dyDescent="0.25">
      <c r="A188" s="113" t="s">
        <v>4862</v>
      </c>
      <c r="B188" s="114" t="s">
        <v>530</v>
      </c>
      <c r="C188" s="112">
        <f>VLOOKUP("~"&amp;GroupVertices[[#This Row],[Vertex]], Vertices[], MATCH("ID", Vertices[#Headers], 0), FALSE)</f>
        <v>115</v>
      </c>
    </row>
    <row r="189" spans="1:3" x14ac:dyDescent="0.25">
      <c r="A189" s="113" t="s">
        <v>4862</v>
      </c>
      <c r="B189" s="114" t="s">
        <v>529</v>
      </c>
      <c r="C189" s="112">
        <f>VLOOKUP("~"&amp;GroupVertices[[#This Row],[Vertex]], Vertices[], MATCH("ID", Vertices[#Headers], 0), FALSE)</f>
        <v>114</v>
      </c>
    </row>
    <row r="190" spans="1:3" x14ac:dyDescent="0.25">
      <c r="A190" s="113" t="s">
        <v>4863</v>
      </c>
      <c r="B190" s="114" t="s">
        <v>390</v>
      </c>
      <c r="C190" s="112">
        <f>VLOOKUP("~"&amp;GroupVertices[[#This Row],[Vertex]], Vertices[], MATCH("ID", Vertices[#Headers], 0), FALSE)</f>
        <v>60</v>
      </c>
    </row>
    <row r="191" spans="1:3" x14ac:dyDescent="0.25">
      <c r="A191" s="113" t="s">
        <v>4863</v>
      </c>
      <c r="B191" s="114" t="s">
        <v>410</v>
      </c>
      <c r="C191" s="112">
        <f>VLOOKUP("~"&amp;GroupVertices[[#This Row],[Vertex]], Vertices[], MATCH("ID", Vertices[#Headers], 0), FALSE)</f>
        <v>61</v>
      </c>
    </row>
    <row r="192" spans="1:3" x14ac:dyDescent="0.25">
      <c r="A192" s="113" t="s">
        <v>4863</v>
      </c>
      <c r="B192" s="114" t="s">
        <v>650</v>
      </c>
      <c r="C192" s="112">
        <f>VLOOKUP("~"&amp;GroupVertices[[#This Row],[Vertex]], Vertices[], MATCH("ID", Vertices[#Headers], 0), FALSE)</f>
        <v>341</v>
      </c>
    </row>
    <row r="193" spans="1:3" x14ac:dyDescent="0.25">
      <c r="A193" s="113" t="s">
        <v>4863</v>
      </c>
      <c r="B193" s="114" t="s">
        <v>649</v>
      </c>
      <c r="C193" s="112">
        <f>VLOOKUP("~"&amp;GroupVertices[[#This Row],[Vertex]], Vertices[], MATCH("ID", Vertices[#Headers], 0), FALSE)</f>
        <v>340</v>
      </c>
    </row>
    <row r="194" spans="1:3" x14ac:dyDescent="0.25">
      <c r="A194" s="113" t="s">
        <v>4864</v>
      </c>
      <c r="B194" s="114" t="s">
        <v>376</v>
      </c>
      <c r="C194" s="112">
        <f>VLOOKUP("~"&amp;GroupVertices[[#This Row],[Vertex]], Vertices[], MATCH("ID", Vertices[#Headers], 0), FALSE)</f>
        <v>37</v>
      </c>
    </row>
    <row r="195" spans="1:3" x14ac:dyDescent="0.25">
      <c r="A195" s="113" t="s">
        <v>4864</v>
      </c>
      <c r="B195" s="114" t="s">
        <v>636</v>
      </c>
      <c r="C195" s="112">
        <f>VLOOKUP("~"&amp;GroupVertices[[#This Row],[Vertex]], Vertices[], MATCH("ID", Vertices[#Headers], 0), FALSE)</f>
        <v>316</v>
      </c>
    </row>
    <row r="196" spans="1:3" x14ac:dyDescent="0.25">
      <c r="A196" s="113" t="s">
        <v>4864</v>
      </c>
      <c r="B196" s="114" t="s">
        <v>635</v>
      </c>
      <c r="C196" s="112">
        <f>VLOOKUP("~"&amp;GroupVertices[[#This Row],[Vertex]], Vertices[], MATCH("ID", Vertices[#Headers], 0), FALSE)</f>
        <v>315</v>
      </c>
    </row>
    <row r="197" spans="1:3" x14ac:dyDescent="0.25">
      <c r="A197" s="113" t="s">
        <v>4864</v>
      </c>
      <c r="B197" s="114" t="s">
        <v>634</v>
      </c>
      <c r="C197" s="112">
        <f>VLOOKUP("~"&amp;GroupVertices[[#This Row],[Vertex]], Vertices[], MATCH("ID", Vertices[#Headers], 0), FALSE)</f>
        <v>314</v>
      </c>
    </row>
    <row r="198" spans="1:3" x14ac:dyDescent="0.25">
      <c r="A198" s="113" t="s">
        <v>4865</v>
      </c>
      <c r="B198" s="114" t="s">
        <v>378</v>
      </c>
      <c r="C198" s="112">
        <f>VLOOKUP("~"&amp;GroupVertices[[#This Row],[Vertex]], Vertices[], MATCH("ID", Vertices[#Headers], 0), FALSE)</f>
        <v>319</v>
      </c>
    </row>
    <row r="199" spans="1:3" x14ac:dyDescent="0.25">
      <c r="A199" s="113" t="s">
        <v>4865</v>
      </c>
      <c r="B199" s="114" t="s">
        <v>554</v>
      </c>
      <c r="C199" s="112">
        <f>VLOOKUP("~"&amp;GroupVertices[[#This Row],[Vertex]], Vertices[], MATCH("ID", Vertices[#Headers], 0), FALSE)</f>
        <v>43</v>
      </c>
    </row>
    <row r="200" spans="1:3" x14ac:dyDescent="0.25">
      <c r="A200" s="113" t="s">
        <v>4865</v>
      </c>
      <c r="B200" s="114" t="s">
        <v>273</v>
      </c>
      <c r="C200" s="112">
        <f>VLOOKUP("~"&amp;GroupVertices[[#This Row],[Vertex]], Vertices[], MATCH("ID", Vertices[#Headers], 0), FALSE)</f>
        <v>42</v>
      </c>
    </row>
    <row r="201" spans="1:3" x14ac:dyDescent="0.25">
      <c r="A201" s="113" t="s">
        <v>4865</v>
      </c>
      <c r="B201" s="114" t="s">
        <v>553</v>
      </c>
      <c r="C201" s="112">
        <f>VLOOKUP("~"&amp;GroupVertices[[#This Row],[Vertex]], Vertices[], MATCH("ID", Vertices[#Headers], 0), FALSE)</f>
        <v>159</v>
      </c>
    </row>
    <row r="202" spans="1:3" x14ac:dyDescent="0.25">
      <c r="A202" s="113" t="s">
        <v>4866</v>
      </c>
      <c r="B202" s="114" t="s">
        <v>499</v>
      </c>
      <c r="C202" s="112">
        <f>VLOOKUP("~"&amp;GroupVertices[[#This Row],[Vertex]], Vertices[], MATCH("ID", Vertices[#Headers], 0), FALSE)</f>
        <v>472</v>
      </c>
    </row>
    <row r="203" spans="1:3" x14ac:dyDescent="0.25">
      <c r="A203" s="113" t="s">
        <v>4866</v>
      </c>
      <c r="B203" s="114" t="s">
        <v>536</v>
      </c>
      <c r="C203" s="112">
        <f>VLOOKUP("~"&amp;GroupVertices[[#This Row],[Vertex]], Vertices[], MATCH("ID", Vertices[#Headers], 0), FALSE)</f>
        <v>47</v>
      </c>
    </row>
    <row r="204" spans="1:3" x14ac:dyDescent="0.25">
      <c r="A204" s="113" t="s">
        <v>4866</v>
      </c>
      <c r="B204" s="114" t="s">
        <v>259</v>
      </c>
      <c r="C204" s="112">
        <f>VLOOKUP("~"&amp;GroupVertices[[#This Row],[Vertex]], Vertices[], MATCH("ID", Vertices[#Headers], 0), FALSE)</f>
        <v>132</v>
      </c>
    </row>
    <row r="205" spans="1:3" x14ac:dyDescent="0.25">
      <c r="A205" s="113" t="s">
        <v>4867</v>
      </c>
      <c r="B205" s="114" t="s">
        <v>457</v>
      </c>
      <c r="C205" s="112">
        <f>VLOOKUP("~"&amp;GroupVertices[[#This Row],[Vertex]], Vertices[], MATCH("ID", Vertices[#Headers], 0), FALSE)</f>
        <v>425</v>
      </c>
    </row>
    <row r="206" spans="1:3" x14ac:dyDescent="0.25">
      <c r="A206" s="113" t="s">
        <v>4867</v>
      </c>
      <c r="B206" s="114" t="s">
        <v>610</v>
      </c>
      <c r="C206" s="112">
        <f>VLOOKUP("~"&amp;GroupVertices[[#This Row],[Vertex]], Vertices[], MATCH("ID", Vertices[#Headers], 0), FALSE)</f>
        <v>49</v>
      </c>
    </row>
    <row r="207" spans="1:3" x14ac:dyDescent="0.25">
      <c r="A207" s="113" t="s">
        <v>4867</v>
      </c>
      <c r="B207" s="114" t="s">
        <v>334</v>
      </c>
      <c r="C207" s="112">
        <f>VLOOKUP("~"&amp;GroupVertices[[#This Row],[Vertex]], Vertices[], MATCH("ID", Vertices[#Headers], 0), FALSE)</f>
        <v>260</v>
      </c>
    </row>
    <row r="208" spans="1:3" x14ac:dyDescent="0.25">
      <c r="A208" s="113" t="s">
        <v>4868</v>
      </c>
      <c r="B208" s="114" t="s">
        <v>401</v>
      </c>
      <c r="C208" s="112">
        <f>VLOOKUP("~"&amp;GroupVertices[[#This Row],[Vertex]], Vertices[], MATCH("ID", Vertices[#Headers], 0), FALSE)</f>
        <v>54</v>
      </c>
    </row>
    <row r="209" spans="1:3" x14ac:dyDescent="0.25">
      <c r="A209" s="113" t="s">
        <v>4868</v>
      </c>
      <c r="B209" s="114" t="s">
        <v>667</v>
      </c>
      <c r="C209" s="112">
        <f>VLOOKUP("~"&amp;GroupVertices[[#This Row],[Vertex]], Vertices[], MATCH("ID", Vertices[#Headers], 0), FALSE)</f>
        <v>366</v>
      </c>
    </row>
    <row r="210" spans="1:3" x14ac:dyDescent="0.25">
      <c r="A210" s="113" t="s">
        <v>4868</v>
      </c>
      <c r="B210" s="114" t="s">
        <v>666</v>
      </c>
      <c r="C210" s="112">
        <f>VLOOKUP("~"&amp;GroupVertices[[#This Row],[Vertex]], Vertices[], MATCH("ID", Vertices[#Headers], 0), FALSE)</f>
        <v>365</v>
      </c>
    </row>
    <row r="211" spans="1:3" x14ac:dyDescent="0.25">
      <c r="A211" s="113" t="s">
        <v>4869</v>
      </c>
      <c r="B211" s="114" t="s">
        <v>488</v>
      </c>
      <c r="C211" s="112">
        <f>VLOOKUP("~"&amp;GroupVertices[[#This Row],[Vertex]], Vertices[], MATCH("ID", Vertices[#Headers], 0), FALSE)</f>
        <v>460</v>
      </c>
    </row>
    <row r="212" spans="1:3" x14ac:dyDescent="0.25">
      <c r="A212" s="113" t="s">
        <v>4869</v>
      </c>
      <c r="B212" s="114" t="s">
        <v>489</v>
      </c>
      <c r="C212" s="112">
        <f>VLOOKUP("~"&amp;GroupVertices[[#This Row],[Vertex]], Vertices[], MATCH("ID", Vertices[#Headers], 0), FALSE)</f>
        <v>58</v>
      </c>
    </row>
    <row r="213" spans="1:3" x14ac:dyDescent="0.25">
      <c r="A213" s="113" t="s">
        <v>4869</v>
      </c>
      <c r="B213" s="114" t="s">
        <v>694</v>
      </c>
      <c r="C213" s="112">
        <f>VLOOKUP("~"&amp;GroupVertices[[#This Row],[Vertex]], Vertices[], MATCH("ID", Vertices[#Headers], 0), FALSE)</f>
        <v>461</v>
      </c>
    </row>
    <row r="214" spans="1:3" x14ac:dyDescent="0.25">
      <c r="A214" s="113" t="s">
        <v>4870</v>
      </c>
      <c r="B214" s="114" t="s">
        <v>451</v>
      </c>
      <c r="C214" s="112">
        <f>VLOOKUP("~"&amp;GroupVertices[[#This Row],[Vertex]], Vertices[], MATCH("ID", Vertices[#Headers], 0), FALSE)</f>
        <v>56</v>
      </c>
    </row>
    <row r="215" spans="1:3" x14ac:dyDescent="0.25">
      <c r="A215" s="113" t="s">
        <v>4870</v>
      </c>
      <c r="B215" s="114" t="s">
        <v>680</v>
      </c>
      <c r="C215" s="112">
        <f>VLOOKUP("~"&amp;GroupVertices[[#This Row],[Vertex]], Vertices[], MATCH("ID", Vertices[#Headers], 0), FALSE)</f>
        <v>419</v>
      </c>
    </row>
    <row r="216" spans="1:3" x14ac:dyDescent="0.25">
      <c r="A216" s="113" t="s">
        <v>4870</v>
      </c>
      <c r="B216" s="114" t="s">
        <v>679</v>
      </c>
      <c r="C216" s="112">
        <f>VLOOKUP("~"&amp;GroupVertices[[#This Row],[Vertex]], Vertices[], MATCH("ID", Vertices[#Headers], 0), FALSE)</f>
        <v>418</v>
      </c>
    </row>
    <row r="217" spans="1:3" x14ac:dyDescent="0.25">
      <c r="A217" s="113" t="s">
        <v>4871</v>
      </c>
      <c r="B217" s="114" t="s">
        <v>420</v>
      </c>
      <c r="C217" s="112">
        <f>VLOOKUP("~"&amp;GroupVertices[[#This Row],[Vertex]], Vertices[], MATCH("ID", Vertices[#Headers], 0), FALSE)</f>
        <v>55</v>
      </c>
    </row>
    <row r="218" spans="1:3" x14ac:dyDescent="0.25">
      <c r="A218" s="113" t="s">
        <v>4871</v>
      </c>
      <c r="B218" s="114" t="s">
        <v>674</v>
      </c>
      <c r="C218" s="112">
        <f>VLOOKUP("~"&amp;GroupVertices[[#This Row],[Vertex]], Vertices[], MATCH("ID", Vertices[#Headers], 0), FALSE)</f>
        <v>387</v>
      </c>
    </row>
    <row r="219" spans="1:3" x14ac:dyDescent="0.25">
      <c r="A219" s="113" t="s">
        <v>4871</v>
      </c>
      <c r="B219" s="114" t="s">
        <v>673</v>
      </c>
      <c r="C219" s="112">
        <f>VLOOKUP("~"&amp;GroupVertices[[#This Row],[Vertex]], Vertices[], MATCH("ID", Vertices[#Headers], 0), FALSE)</f>
        <v>386</v>
      </c>
    </row>
    <row r="220" spans="1:3" x14ac:dyDescent="0.25">
      <c r="A220" s="113" t="s">
        <v>4872</v>
      </c>
      <c r="B220" s="114" t="s">
        <v>233</v>
      </c>
      <c r="C220" s="112">
        <f>VLOOKUP("~"&amp;GroupVertices[[#This Row],[Vertex]], Vertices[], MATCH("ID", Vertices[#Headers], 0), FALSE)</f>
        <v>46</v>
      </c>
    </row>
    <row r="221" spans="1:3" x14ac:dyDescent="0.25">
      <c r="A221" s="113" t="s">
        <v>4872</v>
      </c>
      <c r="B221" s="114" t="s">
        <v>513</v>
      </c>
      <c r="C221" s="112">
        <f>VLOOKUP("~"&amp;GroupVertices[[#This Row],[Vertex]], Vertices[], MATCH("ID", Vertices[#Headers], 0), FALSE)</f>
        <v>88</v>
      </c>
    </row>
    <row r="222" spans="1:3" x14ac:dyDescent="0.25">
      <c r="A222" s="113" t="s">
        <v>4872</v>
      </c>
      <c r="B222" s="114" t="s">
        <v>512</v>
      </c>
      <c r="C222" s="112">
        <f>VLOOKUP("~"&amp;GroupVertices[[#This Row],[Vertex]], Vertices[], MATCH("ID", Vertices[#Headers], 0), FALSE)</f>
        <v>87</v>
      </c>
    </row>
    <row r="223" spans="1:3" x14ac:dyDescent="0.25">
      <c r="A223" s="113" t="s">
        <v>4873</v>
      </c>
      <c r="B223" s="114" t="s">
        <v>375</v>
      </c>
      <c r="C223" s="112">
        <f>VLOOKUP("~"&amp;GroupVertices[[#This Row],[Vertex]], Vertices[], MATCH("ID", Vertices[#Headers], 0), FALSE)</f>
        <v>53</v>
      </c>
    </row>
    <row r="224" spans="1:3" x14ac:dyDescent="0.25">
      <c r="A224" s="113" t="s">
        <v>4873</v>
      </c>
      <c r="B224" s="114" t="s">
        <v>633</v>
      </c>
      <c r="C224" s="112">
        <f>VLOOKUP("~"&amp;GroupVertices[[#This Row],[Vertex]], Vertices[], MATCH("ID", Vertices[#Headers], 0), FALSE)</f>
        <v>313</v>
      </c>
    </row>
    <row r="225" spans="1:3" x14ac:dyDescent="0.25">
      <c r="A225" s="113" t="s">
        <v>4873</v>
      </c>
      <c r="B225" s="114" t="s">
        <v>632</v>
      </c>
      <c r="C225" s="112">
        <f>VLOOKUP("~"&amp;GroupVertices[[#This Row],[Vertex]], Vertices[], MATCH("ID", Vertices[#Headers], 0), FALSE)</f>
        <v>312</v>
      </c>
    </row>
    <row r="226" spans="1:3" x14ac:dyDescent="0.25">
      <c r="A226" s="113" t="s">
        <v>4874</v>
      </c>
      <c r="B226" s="114" t="s">
        <v>299</v>
      </c>
      <c r="C226" s="112">
        <f>VLOOKUP("~"&amp;GroupVertices[[#This Row],[Vertex]], Vertices[], MATCH("ID", Vertices[#Headers], 0), FALSE)</f>
        <v>48</v>
      </c>
    </row>
    <row r="227" spans="1:3" x14ac:dyDescent="0.25">
      <c r="A227" s="113" t="s">
        <v>4874</v>
      </c>
      <c r="B227" s="114" t="s">
        <v>577</v>
      </c>
      <c r="C227" s="112">
        <f>VLOOKUP("~"&amp;GroupVertices[[#This Row],[Vertex]], Vertices[], MATCH("ID", Vertices[#Headers], 0), FALSE)</f>
        <v>202</v>
      </c>
    </row>
    <row r="228" spans="1:3" x14ac:dyDescent="0.25">
      <c r="A228" s="113" t="s">
        <v>4874</v>
      </c>
      <c r="B228" s="114" t="s">
        <v>576</v>
      </c>
      <c r="C228" s="112">
        <f>VLOOKUP("~"&amp;GroupVertices[[#This Row],[Vertex]], Vertices[], MATCH("ID", Vertices[#Headers], 0), FALSE)</f>
        <v>201</v>
      </c>
    </row>
    <row r="229" spans="1:3" x14ac:dyDescent="0.25">
      <c r="A229" s="113" t="s">
        <v>4875</v>
      </c>
      <c r="B229" s="114" t="s">
        <v>336</v>
      </c>
      <c r="C229" s="112">
        <f>VLOOKUP("~"&amp;GroupVertices[[#This Row],[Vertex]], Vertices[], MATCH("ID", Vertices[#Headers], 0), FALSE)</f>
        <v>50</v>
      </c>
    </row>
    <row r="230" spans="1:3" x14ac:dyDescent="0.25">
      <c r="A230" s="113" t="s">
        <v>4875</v>
      </c>
      <c r="B230" s="114" t="s">
        <v>612</v>
      </c>
      <c r="C230" s="112">
        <f>VLOOKUP("~"&amp;GroupVertices[[#This Row],[Vertex]], Vertices[], MATCH("ID", Vertices[#Headers], 0), FALSE)</f>
        <v>263</v>
      </c>
    </row>
    <row r="231" spans="1:3" x14ac:dyDescent="0.25">
      <c r="A231" s="113" t="s">
        <v>4875</v>
      </c>
      <c r="B231" s="114" t="s">
        <v>611</v>
      </c>
      <c r="C231" s="112">
        <f>VLOOKUP("~"&amp;GroupVertices[[#This Row],[Vertex]], Vertices[], MATCH("ID", Vertices[#Headers], 0), FALSE)</f>
        <v>262</v>
      </c>
    </row>
    <row r="232" spans="1:3" x14ac:dyDescent="0.25">
      <c r="A232" s="113" t="s">
        <v>4876</v>
      </c>
      <c r="B232" s="114" t="s">
        <v>493</v>
      </c>
      <c r="C232" s="112">
        <f>VLOOKUP("~"&amp;GroupVertices[[#This Row],[Vertex]], Vertices[], MATCH("ID", Vertices[#Headers], 0), FALSE)</f>
        <v>464</v>
      </c>
    </row>
    <row r="233" spans="1:3" x14ac:dyDescent="0.25">
      <c r="A233" s="113" t="s">
        <v>4876</v>
      </c>
      <c r="B233" s="114" t="s">
        <v>467</v>
      </c>
      <c r="C233" s="112">
        <f>VLOOKUP("~"&amp;GroupVertices[[#This Row],[Vertex]], Vertices[], MATCH("ID", Vertices[#Headers], 0), FALSE)</f>
        <v>57</v>
      </c>
    </row>
    <row r="234" spans="1:3" x14ac:dyDescent="0.25">
      <c r="A234" s="113" t="s">
        <v>4876</v>
      </c>
      <c r="B234" s="114" t="s">
        <v>685</v>
      </c>
      <c r="C234" s="112">
        <f>VLOOKUP("~"&amp;GroupVertices[[#This Row],[Vertex]], Vertices[], MATCH("ID", Vertices[#Headers], 0), FALSE)</f>
        <v>437</v>
      </c>
    </row>
    <row r="235" spans="1:3" x14ac:dyDescent="0.25">
      <c r="A235" s="113" t="s">
        <v>4877</v>
      </c>
      <c r="B235" s="114" t="s">
        <v>404</v>
      </c>
      <c r="C235" s="112">
        <f>VLOOKUP("~"&amp;GroupVertices[[#This Row],[Vertex]], Vertices[], MATCH("ID", Vertices[#Headers], 0), FALSE)</f>
        <v>369</v>
      </c>
    </row>
    <row r="236" spans="1:3" x14ac:dyDescent="0.25">
      <c r="A236" s="113" t="s">
        <v>4877</v>
      </c>
      <c r="B236" s="114" t="s">
        <v>403</v>
      </c>
      <c r="C236" s="112">
        <f>VLOOKUP("~"&amp;GroupVertices[[#This Row],[Vertex]], Vertices[], MATCH("ID", Vertices[#Headers], 0), FALSE)</f>
        <v>368</v>
      </c>
    </row>
    <row r="237" spans="1:3" x14ac:dyDescent="0.25">
      <c r="A237" s="113" t="s">
        <v>4878</v>
      </c>
      <c r="B237" s="114" t="s">
        <v>504</v>
      </c>
      <c r="C237" s="112">
        <f>VLOOKUP("~"&amp;GroupVertices[[#This Row],[Vertex]], Vertices[], MATCH("ID", Vertices[#Headers], 0), FALSE)</f>
        <v>477</v>
      </c>
    </row>
    <row r="238" spans="1:3" x14ac:dyDescent="0.25">
      <c r="A238" s="113" t="s">
        <v>4878</v>
      </c>
      <c r="B238" s="114" t="s">
        <v>700</v>
      </c>
      <c r="C238" s="112">
        <f>VLOOKUP("~"&amp;GroupVertices[[#This Row],[Vertex]], Vertices[], MATCH("ID", Vertices[#Headers], 0), FALSE)</f>
        <v>478</v>
      </c>
    </row>
    <row r="239" spans="1:3" x14ac:dyDescent="0.25">
      <c r="A239" s="113" t="s">
        <v>4879</v>
      </c>
      <c r="B239" s="114" t="s">
        <v>381</v>
      </c>
      <c r="C239" s="112">
        <f>VLOOKUP("~"&amp;GroupVertices[[#This Row],[Vertex]], Vertices[], MATCH("ID", Vertices[#Headers], 0), FALSE)</f>
        <v>322</v>
      </c>
    </row>
    <row r="240" spans="1:3" x14ac:dyDescent="0.25">
      <c r="A240" s="113" t="s">
        <v>4879</v>
      </c>
      <c r="B240" s="114" t="s">
        <v>638</v>
      </c>
      <c r="C240" s="112">
        <f>VLOOKUP("~"&amp;GroupVertices[[#This Row],[Vertex]], Vertices[], MATCH("ID", Vertices[#Headers], 0), FALSE)</f>
        <v>323</v>
      </c>
    </row>
    <row r="241" spans="1:3" x14ac:dyDescent="0.25">
      <c r="A241" s="113" t="s">
        <v>4880</v>
      </c>
      <c r="B241" s="114" t="s">
        <v>352</v>
      </c>
      <c r="C241" s="112">
        <f>VLOOKUP("~"&amp;GroupVertices[[#This Row],[Vertex]], Vertices[], MATCH("ID", Vertices[#Headers], 0), FALSE)</f>
        <v>285</v>
      </c>
    </row>
    <row r="242" spans="1:3" x14ac:dyDescent="0.25">
      <c r="A242" s="113" t="s">
        <v>4880</v>
      </c>
      <c r="B242" s="114" t="s">
        <v>620</v>
      </c>
      <c r="C242" s="112">
        <f>VLOOKUP("~"&amp;GroupVertices[[#This Row],[Vertex]], Vertices[], MATCH("ID", Vertices[#Headers], 0), FALSE)</f>
        <v>286</v>
      </c>
    </row>
    <row r="243" spans="1:3" x14ac:dyDescent="0.25">
      <c r="A243" s="113" t="s">
        <v>4881</v>
      </c>
      <c r="B243" s="114" t="s">
        <v>465</v>
      </c>
      <c r="C243" s="112">
        <f>VLOOKUP("~"&amp;GroupVertices[[#This Row],[Vertex]], Vertices[], MATCH("ID", Vertices[#Headers], 0), FALSE)</f>
        <v>433</v>
      </c>
    </row>
    <row r="244" spans="1:3" x14ac:dyDescent="0.25">
      <c r="A244" s="113" t="s">
        <v>4881</v>
      </c>
      <c r="B244" s="114" t="s">
        <v>683</v>
      </c>
      <c r="C244" s="112">
        <f>VLOOKUP("~"&amp;GroupVertices[[#This Row],[Vertex]], Vertices[], MATCH("ID", Vertices[#Headers], 0), FALSE)</f>
        <v>434</v>
      </c>
    </row>
    <row r="245" spans="1:3" x14ac:dyDescent="0.25">
      <c r="A245" s="113" t="s">
        <v>4882</v>
      </c>
      <c r="B245" s="114" t="s">
        <v>440</v>
      </c>
      <c r="C245" s="112">
        <f>VLOOKUP("~"&amp;GroupVertices[[#This Row],[Vertex]], Vertices[], MATCH("ID", Vertices[#Headers], 0), FALSE)</f>
        <v>407</v>
      </c>
    </row>
    <row r="246" spans="1:3" x14ac:dyDescent="0.25">
      <c r="A246" s="113" t="s">
        <v>4882</v>
      </c>
      <c r="B246" s="114" t="s">
        <v>677</v>
      </c>
      <c r="C246" s="112">
        <f>VLOOKUP("~"&amp;GroupVertices[[#This Row],[Vertex]], Vertices[], MATCH("ID", Vertices[#Headers], 0), FALSE)</f>
        <v>408</v>
      </c>
    </row>
    <row r="247" spans="1:3" x14ac:dyDescent="0.25">
      <c r="A247" s="113" t="s">
        <v>4883</v>
      </c>
      <c r="B247" s="114" t="s">
        <v>346</v>
      </c>
      <c r="C247" s="112">
        <f>VLOOKUP("~"&amp;GroupVertices[[#This Row],[Vertex]], Vertices[], MATCH("ID", Vertices[#Headers], 0), FALSE)</f>
        <v>278</v>
      </c>
    </row>
    <row r="248" spans="1:3" x14ac:dyDescent="0.25">
      <c r="A248" s="113" t="s">
        <v>4883</v>
      </c>
      <c r="B248" s="114" t="s">
        <v>618</v>
      </c>
      <c r="C248" s="112">
        <f>VLOOKUP("~"&amp;GroupVertices[[#This Row],[Vertex]], Vertices[], MATCH("ID", Vertices[#Headers], 0), FALSE)</f>
        <v>279</v>
      </c>
    </row>
    <row r="249" spans="1:3" x14ac:dyDescent="0.25">
      <c r="A249" s="113" t="s">
        <v>4884</v>
      </c>
      <c r="B249" s="114" t="s">
        <v>307</v>
      </c>
      <c r="C249" s="112">
        <f>VLOOKUP("~"&amp;GroupVertices[[#This Row],[Vertex]], Vertices[], MATCH("ID", Vertices[#Headers], 0), FALSE)</f>
        <v>216</v>
      </c>
    </row>
    <row r="250" spans="1:3" x14ac:dyDescent="0.25">
      <c r="A250" s="113" t="s">
        <v>4884</v>
      </c>
      <c r="B250" s="114" t="s">
        <v>588</v>
      </c>
      <c r="C250" s="112">
        <f>VLOOKUP("~"&amp;GroupVertices[[#This Row],[Vertex]], Vertices[], MATCH("ID", Vertices[#Headers], 0), FALSE)</f>
        <v>217</v>
      </c>
    </row>
    <row r="251" spans="1:3" x14ac:dyDescent="0.25">
      <c r="A251" s="113" t="s">
        <v>4885</v>
      </c>
      <c r="B251" s="114" t="s">
        <v>339</v>
      </c>
      <c r="C251" s="112">
        <f>VLOOKUP("~"&amp;GroupVertices[[#This Row],[Vertex]], Vertices[], MATCH("ID", Vertices[#Headers], 0), FALSE)</f>
        <v>267</v>
      </c>
    </row>
    <row r="252" spans="1:3" x14ac:dyDescent="0.25">
      <c r="A252" s="113" t="s">
        <v>4885</v>
      </c>
      <c r="B252" s="114" t="s">
        <v>614</v>
      </c>
      <c r="C252" s="112">
        <f>VLOOKUP("~"&amp;GroupVertices[[#This Row],[Vertex]], Vertices[], MATCH("ID", Vertices[#Headers], 0), FALSE)</f>
        <v>268</v>
      </c>
    </row>
    <row r="253" spans="1:3" x14ac:dyDescent="0.25">
      <c r="A253" s="113" t="s">
        <v>4886</v>
      </c>
      <c r="B253" s="114" t="s">
        <v>425</v>
      </c>
      <c r="C253" s="112">
        <f>VLOOKUP("~"&amp;GroupVertices[[#This Row],[Vertex]], Vertices[], MATCH("ID", Vertices[#Headers], 0), FALSE)</f>
        <v>390</v>
      </c>
    </row>
    <row r="254" spans="1:3" x14ac:dyDescent="0.25">
      <c r="A254" s="113" t="s">
        <v>4886</v>
      </c>
      <c r="B254" s="114" t="s">
        <v>675</v>
      </c>
      <c r="C254" s="112">
        <f>VLOOKUP("~"&amp;GroupVertices[[#This Row],[Vertex]], Vertices[], MATCH("ID", Vertices[#Headers], 0), FALSE)</f>
        <v>391</v>
      </c>
    </row>
    <row r="255" spans="1:3" x14ac:dyDescent="0.25">
      <c r="A255" s="113" t="s">
        <v>4887</v>
      </c>
      <c r="B255" s="114" t="s">
        <v>285</v>
      </c>
      <c r="C255" s="112">
        <f>VLOOKUP("~"&amp;GroupVertices[[#This Row],[Vertex]], Vertices[], MATCH("ID", Vertices[#Headers], 0), FALSE)</f>
        <v>171</v>
      </c>
    </row>
    <row r="256" spans="1:3" x14ac:dyDescent="0.25">
      <c r="A256" s="113" t="s">
        <v>4887</v>
      </c>
      <c r="B256" s="114" t="s">
        <v>557</v>
      </c>
      <c r="C256" s="112">
        <f>VLOOKUP("~"&amp;GroupVertices[[#This Row],[Vertex]], Vertices[], MATCH("ID", Vertices[#Headers], 0), FALSE)</f>
        <v>172</v>
      </c>
    </row>
    <row r="257" spans="1:3" x14ac:dyDescent="0.25">
      <c r="A257" s="113" t="s">
        <v>4888</v>
      </c>
      <c r="B257" s="114" t="s">
        <v>253</v>
      </c>
      <c r="C257" s="112">
        <f>VLOOKUP("~"&amp;GroupVertices[[#This Row],[Vertex]], Vertices[], MATCH("ID", Vertices[#Headers], 0), FALSE)</f>
        <v>123</v>
      </c>
    </row>
    <row r="258" spans="1:3" x14ac:dyDescent="0.25">
      <c r="A258" s="113" t="s">
        <v>4888</v>
      </c>
      <c r="B258" s="114" t="s">
        <v>533</v>
      </c>
      <c r="C258" s="112">
        <f>VLOOKUP("~"&amp;GroupVertices[[#This Row],[Vertex]], Vertices[], MATCH("ID", Vertices[#Headers], 0), FALSE)</f>
        <v>124</v>
      </c>
    </row>
    <row r="259" spans="1:3" x14ac:dyDescent="0.25">
      <c r="A259" s="113" t="s">
        <v>4889</v>
      </c>
      <c r="B259" s="114" t="s">
        <v>286</v>
      </c>
      <c r="C259" s="112">
        <f>VLOOKUP("~"&amp;GroupVertices[[#This Row],[Vertex]], Vertices[], MATCH("ID", Vertices[#Headers], 0), FALSE)</f>
        <v>173</v>
      </c>
    </row>
    <row r="260" spans="1:3" x14ac:dyDescent="0.25">
      <c r="A260" s="113" t="s">
        <v>4889</v>
      </c>
      <c r="B260" s="114" t="s">
        <v>558</v>
      </c>
      <c r="C260" s="112">
        <f>VLOOKUP("~"&amp;GroupVertices[[#This Row],[Vertex]], Vertices[], MATCH("ID", Vertices[#Headers], 0), FALSE)</f>
        <v>174</v>
      </c>
    </row>
    <row r="261" spans="1:3" x14ac:dyDescent="0.25">
      <c r="A261" s="113" t="s">
        <v>4890</v>
      </c>
      <c r="B261" s="114" t="s">
        <v>495</v>
      </c>
      <c r="C261" s="112">
        <f>VLOOKUP("~"&amp;GroupVertices[[#This Row],[Vertex]], Vertices[], MATCH("ID", Vertices[#Headers], 0), FALSE)</f>
        <v>466</v>
      </c>
    </row>
    <row r="262" spans="1:3" x14ac:dyDescent="0.25">
      <c r="A262" s="113" t="s">
        <v>4890</v>
      </c>
      <c r="B262" s="114" t="s">
        <v>695</v>
      </c>
      <c r="C262" s="112">
        <f>VLOOKUP("~"&amp;GroupVertices[[#This Row],[Vertex]], Vertices[], MATCH("ID", Vertices[#Headers], 0), FALSE)</f>
        <v>467</v>
      </c>
    </row>
    <row r="263" spans="1:3" x14ac:dyDescent="0.25">
      <c r="A263" s="113" t="s">
        <v>4891</v>
      </c>
      <c r="B263" s="114" t="s">
        <v>464</v>
      </c>
      <c r="C263" s="112">
        <f>VLOOKUP("~"&amp;GroupVertices[[#This Row],[Vertex]], Vertices[], MATCH("ID", Vertices[#Headers], 0), FALSE)</f>
        <v>431</v>
      </c>
    </row>
    <row r="264" spans="1:3" x14ac:dyDescent="0.25">
      <c r="A264" s="113" t="s">
        <v>4891</v>
      </c>
      <c r="B264" s="114" t="s">
        <v>682</v>
      </c>
      <c r="C264" s="112">
        <f>VLOOKUP("~"&amp;GroupVertices[[#This Row],[Vertex]], Vertices[], MATCH("ID", Vertices[#Headers], 0), FALSE)</f>
        <v>432</v>
      </c>
    </row>
    <row r="265" spans="1:3" x14ac:dyDescent="0.25">
      <c r="A265" s="113" t="s">
        <v>4892</v>
      </c>
      <c r="B265" s="114" t="s">
        <v>338</v>
      </c>
      <c r="C265" s="112">
        <f>VLOOKUP("~"&amp;GroupVertices[[#This Row],[Vertex]], Vertices[], MATCH("ID", Vertices[#Headers], 0), FALSE)</f>
        <v>265</v>
      </c>
    </row>
    <row r="266" spans="1:3" x14ac:dyDescent="0.25">
      <c r="A266" s="113" t="s">
        <v>4892</v>
      </c>
      <c r="B266" s="114" t="s">
        <v>613</v>
      </c>
      <c r="C266" s="112">
        <f>VLOOKUP("~"&amp;GroupVertices[[#This Row],[Vertex]], Vertices[], MATCH("ID", Vertices[#Headers], 0), FALSE)</f>
        <v>266</v>
      </c>
    </row>
    <row r="267" spans="1:3" x14ac:dyDescent="0.25">
      <c r="A267" s="113" t="s">
        <v>4893</v>
      </c>
      <c r="B267" s="114" t="s">
        <v>357</v>
      </c>
      <c r="C267" s="112">
        <f>VLOOKUP("~"&amp;GroupVertices[[#This Row],[Vertex]], Vertices[], MATCH("ID", Vertices[#Headers], 0), FALSE)</f>
        <v>292</v>
      </c>
    </row>
    <row r="268" spans="1:3" x14ac:dyDescent="0.25">
      <c r="A268" s="113" t="s">
        <v>4893</v>
      </c>
      <c r="B268" s="114" t="s">
        <v>622</v>
      </c>
      <c r="C268" s="112">
        <f>VLOOKUP("~"&amp;GroupVertices[[#This Row],[Vertex]], Vertices[], MATCH("ID", Vertices[#Headers], 0), FALSE)</f>
        <v>293</v>
      </c>
    </row>
    <row r="269" spans="1:3" x14ac:dyDescent="0.25">
      <c r="A269" s="113" t="s">
        <v>4894</v>
      </c>
      <c r="B269" s="114" t="s">
        <v>468</v>
      </c>
      <c r="C269" s="112">
        <f>VLOOKUP("~"&amp;GroupVertices[[#This Row],[Vertex]], Vertices[], MATCH("ID", Vertices[#Headers], 0), FALSE)</f>
        <v>438</v>
      </c>
    </row>
    <row r="270" spans="1:3" x14ac:dyDescent="0.25">
      <c r="A270" s="113" t="s">
        <v>4894</v>
      </c>
      <c r="B270" s="114" t="s">
        <v>686</v>
      </c>
      <c r="C270" s="112">
        <f>VLOOKUP("~"&amp;GroupVertices[[#This Row],[Vertex]], Vertices[], MATCH("ID", Vertices[#Headers], 0), FALSE)</f>
        <v>439</v>
      </c>
    </row>
    <row r="271" spans="1:3" x14ac:dyDescent="0.25">
      <c r="A271" s="113" t="s">
        <v>4895</v>
      </c>
      <c r="B271" s="114" t="s">
        <v>350</v>
      </c>
      <c r="C271" s="112">
        <f>VLOOKUP("~"&amp;GroupVertices[[#This Row],[Vertex]], Vertices[], MATCH("ID", Vertices[#Headers], 0), FALSE)</f>
        <v>282</v>
      </c>
    </row>
    <row r="272" spans="1:3" x14ac:dyDescent="0.25">
      <c r="A272" s="113" t="s">
        <v>4895</v>
      </c>
      <c r="B272" s="114" t="s">
        <v>619</v>
      </c>
      <c r="C272" s="112">
        <f>VLOOKUP("~"&amp;GroupVertices[[#This Row],[Vertex]], Vertices[], MATCH("ID", Vertices[#Headers], 0), FALSE)</f>
        <v>283</v>
      </c>
    </row>
    <row r="273" spans="1:3" x14ac:dyDescent="0.25">
      <c r="A273" s="113" t="s">
        <v>4896</v>
      </c>
      <c r="B273" s="114" t="s">
        <v>223</v>
      </c>
      <c r="C273" s="112">
        <f>VLOOKUP("~"&amp;GroupVertices[[#This Row],[Vertex]], Vertices[], MATCH("ID", Vertices[#Headers], 0), FALSE)</f>
        <v>73</v>
      </c>
    </row>
    <row r="274" spans="1:3" x14ac:dyDescent="0.25">
      <c r="A274" s="113" t="s">
        <v>4896</v>
      </c>
      <c r="B274" s="114" t="s">
        <v>509</v>
      </c>
      <c r="C274" s="112">
        <f>VLOOKUP("~"&amp;GroupVertices[[#This Row],[Vertex]], Vertices[], MATCH("ID", Vertices[#Headers], 0), FALSE)</f>
        <v>74</v>
      </c>
    </row>
    <row r="275" spans="1:3" x14ac:dyDescent="0.25">
      <c r="A275" s="113" t="s">
        <v>4897</v>
      </c>
      <c r="B275" s="114" t="s">
        <v>297</v>
      </c>
      <c r="C275" s="112">
        <f>VLOOKUP("~"&amp;GroupVertices[[#This Row],[Vertex]], Vertices[], MATCH("ID", Vertices[#Headers], 0), FALSE)</f>
        <v>198</v>
      </c>
    </row>
    <row r="276" spans="1:3" x14ac:dyDescent="0.25">
      <c r="A276" s="113" t="s">
        <v>4897</v>
      </c>
      <c r="B276" s="114" t="s">
        <v>575</v>
      </c>
      <c r="C276" s="112">
        <f>VLOOKUP("~"&amp;GroupVertices[[#This Row],[Vertex]], Vertices[], MATCH("ID", Vertices[#Headers], 0), FALSE)</f>
        <v>199</v>
      </c>
    </row>
    <row r="277" spans="1:3" x14ac:dyDescent="0.25">
      <c r="A277" s="113" t="s">
        <v>4898</v>
      </c>
      <c r="B277" s="114" t="s">
        <v>374</v>
      </c>
      <c r="C277" s="112">
        <f>VLOOKUP("~"&amp;GroupVertices[[#This Row],[Vertex]], Vertices[], MATCH("ID", Vertices[#Headers], 0), FALSE)</f>
        <v>310</v>
      </c>
    </row>
    <row r="278" spans="1:3" x14ac:dyDescent="0.25">
      <c r="A278" s="113" t="s">
        <v>4898</v>
      </c>
      <c r="B278" s="114" t="s">
        <v>631</v>
      </c>
      <c r="C278" s="112">
        <f>VLOOKUP("~"&amp;GroupVertices[[#This Row],[Vertex]], Vertices[], MATCH("ID", Vertices[#Headers], 0), FALSE)</f>
        <v>311</v>
      </c>
    </row>
    <row r="279" spans="1:3" x14ac:dyDescent="0.25">
      <c r="A279" s="113" t="s">
        <v>4899</v>
      </c>
      <c r="B279" s="114" t="s">
        <v>229</v>
      </c>
      <c r="C279" s="112">
        <f>VLOOKUP("~"&amp;GroupVertices[[#This Row],[Vertex]], Vertices[], MATCH("ID", Vertices[#Headers], 0), FALSE)</f>
        <v>81</v>
      </c>
    </row>
    <row r="280" spans="1:3" x14ac:dyDescent="0.25">
      <c r="A280" s="113" t="s">
        <v>4899</v>
      </c>
      <c r="B280" s="114" t="s">
        <v>511</v>
      </c>
      <c r="C280" s="112">
        <f>VLOOKUP("~"&amp;GroupVertices[[#This Row],[Vertex]], Vertices[], MATCH("ID", Vertices[#Headers], 0), FALSE)</f>
        <v>82</v>
      </c>
    </row>
    <row r="281" spans="1:3" x14ac:dyDescent="0.25">
      <c r="A281" s="113" t="s">
        <v>4900</v>
      </c>
      <c r="B281" s="114" t="s">
        <v>466</v>
      </c>
      <c r="C281" s="112">
        <f>VLOOKUP("~"&amp;GroupVertices[[#This Row],[Vertex]], Vertices[], MATCH("ID", Vertices[#Headers], 0), FALSE)</f>
        <v>435</v>
      </c>
    </row>
    <row r="282" spans="1:3" x14ac:dyDescent="0.25">
      <c r="A282" s="113" t="s">
        <v>4900</v>
      </c>
      <c r="B282" s="114" t="s">
        <v>684</v>
      </c>
      <c r="C282" s="112">
        <f>VLOOKUP("~"&amp;GroupVertices[[#This Row],[Vertex]], Vertices[], MATCH("ID", Vertices[#Headers], 0), FALSE)</f>
        <v>436</v>
      </c>
    </row>
    <row r="283" spans="1:3" x14ac:dyDescent="0.25">
      <c r="A283" s="113" t="s">
        <v>4901</v>
      </c>
      <c r="B283" s="114" t="s">
        <v>317</v>
      </c>
      <c r="C283" s="112">
        <f>VLOOKUP("~"&amp;GroupVertices[[#This Row],[Vertex]], Vertices[], MATCH("ID", Vertices[#Headers], 0), FALSE)</f>
        <v>230</v>
      </c>
    </row>
    <row r="284" spans="1:3" x14ac:dyDescent="0.25">
      <c r="A284" s="113" t="s">
        <v>4901</v>
      </c>
      <c r="B284" s="114" t="s">
        <v>592</v>
      </c>
      <c r="C284" s="112">
        <f>VLOOKUP("~"&amp;GroupVertices[[#This Row],[Vertex]], Vertices[], MATCH("ID", Vertices[#Headers], 0), FALSE)</f>
        <v>231</v>
      </c>
    </row>
    <row r="285" spans="1:3" x14ac:dyDescent="0.25">
      <c r="A285" s="113" t="s">
        <v>4902</v>
      </c>
      <c r="B285" s="114" t="s">
        <v>238</v>
      </c>
      <c r="C285" s="112">
        <f>VLOOKUP("~"&amp;GroupVertices[[#This Row],[Vertex]], Vertices[], MATCH("ID", Vertices[#Headers], 0), FALSE)</f>
        <v>94</v>
      </c>
    </row>
    <row r="286" spans="1:3" x14ac:dyDescent="0.25">
      <c r="A286" s="113" t="s">
        <v>4902</v>
      </c>
      <c r="B286" s="114" t="s">
        <v>518</v>
      </c>
      <c r="C286" s="112">
        <f>VLOOKUP("~"&amp;GroupVertices[[#This Row],[Vertex]], Vertices[], MATCH("ID", Vertices[#Headers], 0), FALSE)</f>
        <v>95</v>
      </c>
    </row>
    <row r="287" spans="1:3" x14ac:dyDescent="0.25">
      <c r="A287" s="113" t="s">
        <v>4903</v>
      </c>
      <c r="B287" s="114" t="s">
        <v>432</v>
      </c>
      <c r="C287" s="112">
        <f>VLOOKUP("~"&amp;GroupVertices[[#This Row],[Vertex]], Vertices[], MATCH("ID", Vertices[#Headers], 0), FALSE)</f>
        <v>398</v>
      </c>
    </row>
    <row r="288" spans="1:3" x14ac:dyDescent="0.25">
      <c r="A288" s="113" t="s">
        <v>4903</v>
      </c>
      <c r="B288" s="114" t="s">
        <v>676</v>
      </c>
      <c r="C288" s="112">
        <f>VLOOKUP("~"&amp;GroupVertices[[#This Row],[Vertex]], Vertices[], MATCH("ID", Vertices[#Headers], 0), FALSE)</f>
        <v>399</v>
      </c>
    </row>
    <row r="289" spans="1:3" x14ac:dyDescent="0.25">
      <c r="A289" s="113" t="s">
        <v>4904</v>
      </c>
      <c r="B289" s="114" t="s">
        <v>310</v>
      </c>
      <c r="C289" s="112">
        <f>VLOOKUP("~"&amp;GroupVertices[[#This Row],[Vertex]], Vertices[], MATCH("ID", Vertices[#Headers], 0), FALSE)</f>
        <v>220</v>
      </c>
    </row>
    <row r="290" spans="1:3" x14ac:dyDescent="0.25">
      <c r="A290" s="113" t="s">
        <v>4904</v>
      </c>
      <c r="B290" s="114" t="s">
        <v>589</v>
      </c>
      <c r="C290" s="112">
        <f>VLOOKUP("~"&amp;GroupVertices[[#This Row],[Vertex]], Vertices[], MATCH("ID", Vertices[#Headers], 0), FALSE)</f>
        <v>221</v>
      </c>
    </row>
    <row r="291" spans="1:3" x14ac:dyDescent="0.25">
      <c r="A291" s="113" t="s">
        <v>4905</v>
      </c>
      <c r="B291" s="114" t="s">
        <v>388</v>
      </c>
      <c r="C291" s="112">
        <f>VLOOKUP("~"&amp;GroupVertices[[#This Row],[Vertex]], Vertices[], MATCH("ID", Vertices[#Headers], 0), FALSE)</f>
        <v>336</v>
      </c>
    </row>
    <row r="292" spans="1:3" x14ac:dyDescent="0.25">
      <c r="A292" s="113" t="s">
        <v>4905</v>
      </c>
      <c r="B292" s="114" t="s">
        <v>647</v>
      </c>
      <c r="C292" s="112">
        <f>VLOOKUP("~"&amp;GroupVertices[[#This Row],[Vertex]], Vertices[], MATCH("ID", Vertices[#Headers], 0), FALSE)</f>
        <v>337</v>
      </c>
    </row>
    <row r="293" spans="1:3" x14ac:dyDescent="0.25">
      <c r="A293" s="113" t="s">
        <v>4906</v>
      </c>
      <c r="B293" s="114" t="s">
        <v>409</v>
      </c>
      <c r="C293" s="112">
        <f>VLOOKUP("~"&amp;GroupVertices[[#This Row],[Vertex]], Vertices[], MATCH("ID", Vertices[#Headers], 0), FALSE)</f>
        <v>376</v>
      </c>
    </row>
    <row r="294" spans="1:3" x14ac:dyDescent="0.25">
      <c r="A294" s="113" t="s">
        <v>4906</v>
      </c>
      <c r="B294" s="114" t="s">
        <v>671</v>
      </c>
      <c r="C294" s="112">
        <f>VLOOKUP("~"&amp;GroupVertices[[#This Row],[Vertex]], Vertices[], MATCH("ID", Vertices[#Headers], 0), FALSE)</f>
        <v>377</v>
      </c>
    </row>
    <row r="295" spans="1:3" x14ac:dyDescent="0.25">
      <c r="A295" s="113" t="s">
        <v>4907</v>
      </c>
      <c r="B295" s="114" t="s">
        <v>332</v>
      </c>
      <c r="C295" s="112">
        <f>VLOOKUP("~"&amp;GroupVertices[[#This Row],[Vertex]], Vertices[], MATCH("ID", Vertices[#Headers], 0), FALSE)</f>
        <v>257</v>
      </c>
    </row>
    <row r="296" spans="1:3" x14ac:dyDescent="0.25">
      <c r="A296" s="113" t="s">
        <v>4907</v>
      </c>
      <c r="B296" s="114" t="s">
        <v>609</v>
      </c>
      <c r="C296" s="112">
        <f>VLOOKUP("~"&amp;GroupVertices[[#This Row],[Vertex]], Vertices[], MATCH("ID", Vertices[#Headers], 0), FALSE)</f>
        <v>258</v>
      </c>
    </row>
    <row r="297" spans="1:3" x14ac:dyDescent="0.25">
      <c r="A297" s="113" t="s">
        <v>4908</v>
      </c>
      <c r="B297" s="114" t="s">
        <v>383</v>
      </c>
      <c r="C297" s="112">
        <f>VLOOKUP("~"&amp;GroupVertices[[#This Row],[Vertex]], Vertices[], MATCH("ID", Vertices[#Headers], 0), FALSE)</f>
        <v>325</v>
      </c>
    </row>
    <row r="298" spans="1:3" x14ac:dyDescent="0.25">
      <c r="A298" s="113" t="s">
        <v>4908</v>
      </c>
      <c r="B298" s="114" t="s">
        <v>639</v>
      </c>
      <c r="C298" s="112">
        <f>VLOOKUP("~"&amp;GroupVertices[[#This Row],[Vertex]], Vertices[], MATCH("ID", Vertices[#Headers], 0), FALSE)</f>
        <v>326</v>
      </c>
    </row>
    <row r="299" spans="1:3" x14ac:dyDescent="0.25">
      <c r="A299" s="113" t="s">
        <v>4909</v>
      </c>
      <c r="B299" s="114" t="s">
        <v>395</v>
      </c>
      <c r="C299" s="112">
        <f>VLOOKUP("~"&amp;GroupVertices[[#This Row],[Vertex]], Vertices[], MATCH("ID", Vertices[#Headers], 0), FALSE)</f>
        <v>346</v>
      </c>
    </row>
    <row r="300" spans="1:3" x14ac:dyDescent="0.25">
      <c r="A300" s="113" t="s">
        <v>4909</v>
      </c>
      <c r="B300" s="114" t="s">
        <v>394</v>
      </c>
      <c r="C300" s="112">
        <f>VLOOKUP("~"&amp;GroupVertices[[#This Row],[Vertex]], Vertices[], MATCH("ID", Vertices[#Headers], 0), FALSE)</f>
        <v>345</v>
      </c>
    </row>
    <row r="301" spans="1:3" x14ac:dyDescent="0.25">
      <c r="A301" s="113" t="s">
        <v>4910</v>
      </c>
      <c r="B301" s="114" t="s">
        <v>354</v>
      </c>
      <c r="C301" s="112">
        <f>VLOOKUP("~"&amp;GroupVertices[[#This Row],[Vertex]], Vertices[], MATCH("ID", Vertices[#Headers], 0), FALSE)</f>
        <v>288</v>
      </c>
    </row>
    <row r="302" spans="1:3" x14ac:dyDescent="0.25">
      <c r="A302" s="113" t="s">
        <v>4910</v>
      </c>
      <c r="B302" s="114" t="s">
        <v>353</v>
      </c>
      <c r="C302" s="112">
        <f>VLOOKUP("~"&amp;GroupVertices[[#This Row],[Vertex]], Vertices[], MATCH("ID", Vertices[#Headers], 0), FALSE)</f>
        <v>287</v>
      </c>
    </row>
    <row r="303" spans="1:3" x14ac:dyDescent="0.25">
      <c r="A303" s="113" t="s">
        <v>4911</v>
      </c>
      <c r="B303" s="114" t="s">
        <v>246</v>
      </c>
      <c r="C303" s="112">
        <f>VLOOKUP("~"&amp;GroupVertices[[#This Row],[Vertex]], Vertices[], MATCH("ID", Vertices[#Headers], 0), FALSE)</f>
        <v>109</v>
      </c>
    </row>
    <row r="304" spans="1:3" x14ac:dyDescent="0.25">
      <c r="A304" s="113" t="s">
        <v>4911</v>
      </c>
      <c r="B304" s="114" t="s">
        <v>525</v>
      </c>
      <c r="C304" s="112">
        <f>VLOOKUP("~"&amp;GroupVertices[[#This Row],[Vertex]], Vertices[], MATCH("ID", Vertices[#Headers], 0), FALSE)</f>
        <v>110</v>
      </c>
    </row>
    <row r="305" spans="1:3" x14ac:dyDescent="0.25">
      <c r="A305" s="113" t="s">
        <v>4912</v>
      </c>
      <c r="B305" s="114" t="s">
        <v>261</v>
      </c>
      <c r="C305" s="112">
        <f>VLOOKUP("~"&amp;GroupVertices[[#This Row],[Vertex]], Vertices[], MATCH("ID", Vertices[#Headers], 0), FALSE)</f>
        <v>135</v>
      </c>
    </row>
    <row r="306" spans="1:3" x14ac:dyDescent="0.25">
      <c r="A306" s="113" t="s">
        <v>4912</v>
      </c>
      <c r="B306" s="114" t="s">
        <v>484</v>
      </c>
      <c r="C306" s="112">
        <f>VLOOKUP("~"&amp;GroupVertices[[#This Row],[Vertex]], Vertices[], MATCH("ID", Vertices[#Headers], 0), FALSE)</f>
        <v>136</v>
      </c>
    </row>
    <row r="307" spans="1:3" x14ac:dyDescent="0.25">
      <c r="A307" s="113" t="s">
        <v>4913</v>
      </c>
      <c r="B307" s="114" t="s">
        <v>442</v>
      </c>
      <c r="C307" s="112">
        <f>VLOOKUP("~"&amp;GroupVertices[[#This Row],[Vertex]], Vertices[], MATCH("ID", Vertices[#Headers], 0), FALSE)</f>
        <v>410</v>
      </c>
    </row>
    <row r="308" spans="1:3" x14ac:dyDescent="0.25">
      <c r="A308" s="113" t="s">
        <v>4913</v>
      </c>
      <c r="B308" s="114" t="s">
        <v>678</v>
      </c>
      <c r="C308" s="112">
        <f>VLOOKUP("~"&amp;GroupVertices[[#This Row],[Vertex]], Vertices[], MATCH("ID", Vertices[#Headers], 0), FALSE)</f>
        <v>411</v>
      </c>
    </row>
    <row r="309" spans="1:3" x14ac:dyDescent="0.25">
      <c r="A309" s="113" t="s">
        <v>4914</v>
      </c>
      <c r="B309" s="114" t="s">
        <v>316</v>
      </c>
      <c r="C309" s="112">
        <f>VLOOKUP("~"&amp;GroupVertices[[#This Row],[Vertex]], Vertices[], MATCH("ID", Vertices[#Headers], 0), FALSE)</f>
        <v>228</v>
      </c>
    </row>
    <row r="310" spans="1:3" x14ac:dyDescent="0.25">
      <c r="A310" s="113" t="s">
        <v>4914</v>
      </c>
      <c r="B310" s="114" t="s">
        <v>591</v>
      </c>
      <c r="C310" s="112">
        <f>VLOOKUP("~"&amp;GroupVertices[[#This Row],[Vertex]], Vertices[], MATCH("ID", Vertices[#Headers], 0), FALSE)</f>
        <v>229</v>
      </c>
    </row>
    <row r="311" spans="1:3" x14ac:dyDescent="0.25">
      <c r="A311" s="113" t="s">
        <v>4915</v>
      </c>
      <c r="B311" s="114" t="s">
        <v>263</v>
      </c>
      <c r="C311" s="112">
        <f>VLOOKUP("~"&amp;GroupVertices[[#This Row],[Vertex]], Vertices[], MATCH("ID", Vertices[#Headers], 0), FALSE)</f>
        <v>137</v>
      </c>
    </row>
    <row r="312" spans="1:3" x14ac:dyDescent="0.25">
      <c r="A312" s="113" t="s">
        <v>4915</v>
      </c>
      <c r="B312" s="114" t="s">
        <v>540</v>
      </c>
      <c r="C312" s="112">
        <f>VLOOKUP("~"&amp;GroupVertices[[#This Row],[Vertex]], Vertices[], MATCH("ID", Vertices[#Headers], 0), FALSE)</f>
        <v>138</v>
      </c>
    </row>
    <row r="313" spans="1:3" x14ac:dyDescent="0.25">
      <c r="A313" s="113" t="s">
        <v>4916</v>
      </c>
      <c r="B313" s="114" t="s">
        <v>265</v>
      </c>
      <c r="C313" s="112">
        <f>VLOOKUP("~"&amp;GroupVertices[[#This Row],[Vertex]], Vertices[], MATCH("ID", Vertices[#Headers], 0), FALSE)</f>
        <v>140</v>
      </c>
    </row>
    <row r="314" spans="1:3" x14ac:dyDescent="0.25">
      <c r="A314" s="113" t="s">
        <v>4916</v>
      </c>
      <c r="B314" s="114" t="s">
        <v>541</v>
      </c>
      <c r="C314" s="112">
        <f>VLOOKUP("~"&amp;GroupVertices[[#This Row],[Vertex]], Vertices[], MATCH("ID", Vertices[#Headers], 0), FALSE)</f>
        <v>141</v>
      </c>
    </row>
    <row r="315" spans="1:3" x14ac:dyDescent="0.25">
      <c r="A315" s="113" t="s">
        <v>4917</v>
      </c>
      <c r="B315" s="114" t="s">
        <v>500</v>
      </c>
      <c r="C315" s="112">
        <f>VLOOKUP("~"&amp;GroupVertices[[#This Row],[Vertex]], Vertices[], MATCH("ID", Vertices[#Headers], 0), FALSE)</f>
        <v>473</v>
      </c>
    </row>
    <row r="316" spans="1:3" x14ac:dyDescent="0.25">
      <c r="A316" s="113" t="s">
        <v>4917</v>
      </c>
      <c r="B316" s="114" t="s">
        <v>699</v>
      </c>
      <c r="C316" s="112">
        <f>VLOOKUP("~"&amp;GroupVertices[[#This Row],[Vertex]], Vertices[], MATCH("ID", Vertices[#Headers], 0), FALSE)</f>
        <v>474</v>
      </c>
    </row>
    <row r="317" spans="1:3" x14ac:dyDescent="0.25">
      <c r="A317" s="113" t="s">
        <v>4918</v>
      </c>
      <c r="B317" s="114" t="s">
        <v>304</v>
      </c>
      <c r="C317" s="112">
        <f>VLOOKUP("~"&amp;GroupVertices[[#This Row],[Vertex]], Vertices[], MATCH("ID", Vertices[#Headers], 0), FALSE)</f>
        <v>209</v>
      </c>
    </row>
    <row r="318" spans="1:3" x14ac:dyDescent="0.25">
      <c r="A318" s="113" t="s">
        <v>4918</v>
      </c>
      <c r="B318" s="114" t="s">
        <v>582</v>
      </c>
      <c r="C318" s="112">
        <f>VLOOKUP("~"&amp;GroupVertices[[#This Row],[Vertex]], Vertices[], MATCH("ID", Vertices[#Headers], 0), FALSE)</f>
        <v>210</v>
      </c>
    </row>
    <row r="319" spans="1:3" x14ac:dyDescent="0.25">
      <c r="A319" s="113" t="s">
        <v>4919</v>
      </c>
      <c r="B319" s="114" t="s">
        <v>240</v>
      </c>
      <c r="C319" s="112">
        <f>VLOOKUP("~"&amp;GroupVertices[[#This Row],[Vertex]], Vertices[], MATCH("ID", Vertices[#Headers], 0), FALSE)</f>
        <v>97</v>
      </c>
    </row>
    <row r="320" spans="1:3" x14ac:dyDescent="0.25">
      <c r="A320" s="113" t="s">
        <v>4919</v>
      </c>
      <c r="B320" s="114" t="s">
        <v>424</v>
      </c>
      <c r="C320" s="112">
        <f>VLOOKUP("~"&amp;GroupVertices[[#This Row],[Vertex]], Vertices[], MATCH("ID", Vertices[#Headers], 0), FALSE)</f>
        <v>98</v>
      </c>
    </row>
    <row r="321" spans="1:3" x14ac:dyDescent="0.25">
      <c r="A321" s="113" t="s">
        <v>4920</v>
      </c>
      <c r="B321" s="114" t="s">
        <v>413</v>
      </c>
      <c r="C321" s="112">
        <f>VLOOKUP("~"&amp;GroupVertices[[#This Row],[Vertex]], Vertices[], MATCH("ID", Vertices[#Headers], 0), FALSE)</f>
        <v>380</v>
      </c>
    </row>
    <row r="322" spans="1:3" x14ac:dyDescent="0.25">
      <c r="A322" s="113" t="s">
        <v>4920</v>
      </c>
      <c r="B322" s="114" t="s">
        <v>412</v>
      </c>
      <c r="C322" s="112">
        <f>VLOOKUP("~"&amp;GroupVertices[[#This Row],[Vertex]], Vertices[], MATCH("ID", Vertices[#Headers], 0), FALSE)</f>
        <v>379</v>
      </c>
    </row>
    <row r="323" spans="1:3" x14ac:dyDescent="0.25">
      <c r="A323" s="113" t="s">
        <v>4921</v>
      </c>
      <c r="B323" s="114" t="s">
        <v>231</v>
      </c>
      <c r="C323" s="112">
        <f>VLOOKUP("~"&amp;GroupVertices[[#This Row],[Vertex]], Vertices[], MATCH("ID", Vertices[#Headers], 0), FALSE)</f>
        <v>84</v>
      </c>
    </row>
    <row r="324" spans="1:3" x14ac:dyDescent="0.25">
      <c r="A324" s="113" t="s">
        <v>4921</v>
      </c>
      <c r="B324" s="114" t="s">
        <v>478</v>
      </c>
      <c r="C324" s="112">
        <f>VLOOKUP("~"&amp;GroupVertices[[#This Row],[Vertex]], Vertices[], MATCH("ID", Vertices[#Headers], 0), FALSE)</f>
        <v>85</v>
      </c>
    </row>
    <row r="325" spans="1:3" x14ac:dyDescent="0.25">
      <c r="A325" s="113" t="s">
        <v>4922</v>
      </c>
      <c r="B325" s="114" t="s">
        <v>314</v>
      </c>
      <c r="C325" s="112">
        <f>VLOOKUP("~"&amp;GroupVertices[[#This Row],[Vertex]], Vertices[], MATCH("ID", Vertices[#Headers], 0), FALSE)</f>
        <v>225</v>
      </c>
    </row>
    <row r="326" spans="1:3" x14ac:dyDescent="0.25">
      <c r="A326" s="113" t="s">
        <v>4922</v>
      </c>
      <c r="B326" s="114" t="s">
        <v>590</v>
      </c>
      <c r="C326" s="112">
        <f>VLOOKUP("~"&amp;GroupVertices[[#This Row],[Vertex]], Vertices[], MATCH("ID", Vertices[#Headers], 0), FALSE)</f>
        <v>226</v>
      </c>
    </row>
    <row r="327" spans="1:3" x14ac:dyDescent="0.25">
      <c r="A327" s="113" t="s">
        <v>4923</v>
      </c>
      <c r="B327" s="114" t="s">
        <v>470</v>
      </c>
      <c r="C327" s="112">
        <f>VLOOKUP("~"&amp;GroupVertices[[#This Row],[Vertex]], Vertices[], MATCH("ID", Vertices[#Headers], 0), FALSE)</f>
        <v>441</v>
      </c>
    </row>
    <row r="328" spans="1:3" x14ac:dyDescent="0.25">
      <c r="A328" s="113" t="s">
        <v>4923</v>
      </c>
      <c r="B328" s="114" t="s">
        <v>688</v>
      </c>
      <c r="C328" s="112">
        <f>VLOOKUP("~"&amp;GroupVertices[[#This Row],[Vertex]], Vertices[], MATCH("ID", Vertices[#Headers], 0), FALSE)</f>
        <v>442</v>
      </c>
    </row>
    <row r="329" spans="1:3" x14ac:dyDescent="0.25">
      <c r="A329" s="113" t="s">
        <v>4924</v>
      </c>
      <c r="B329" s="114" t="s">
        <v>293</v>
      </c>
      <c r="C329" s="112">
        <f>VLOOKUP("~"&amp;GroupVertices[[#This Row],[Vertex]], Vertices[], MATCH("ID", Vertices[#Headers], 0), FALSE)</f>
        <v>194</v>
      </c>
    </row>
    <row r="330" spans="1:3" x14ac:dyDescent="0.25">
      <c r="A330" s="113" t="s">
        <v>4924</v>
      </c>
      <c r="B330" s="114" t="s">
        <v>574</v>
      </c>
      <c r="C330" s="112">
        <f>VLOOKUP("~"&amp;GroupVertices[[#This Row],[Vertex]], Vertices[], MATCH("ID", Vertices[#Headers], 0), FALSE)</f>
        <v>195</v>
      </c>
    </row>
    <row r="331" spans="1:3" x14ac:dyDescent="0.25">
      <c r="A331" s="113" t="s">
        <v>4925</v>
      </c>
      <c r="B331" s="114" t="s">
        <v>400</v>
      </c>
      <c r="C331" s="112">
        <f>VLOOKUP("~"&amp;GroupVertices[[#This Row],[Vertex]], Vertices[], MATCH("ID", Vertices[#Headers], 0), FALSE)</f>
        <v>364</v>
      </c>
    </row>
    <row r="332" spans="1:3" x14ac:dyDescent="0.25">
      <c r="A332" s="113" t="s">
        <v>4925</v>
      </c>
      <c r="B332" s="114" t="s">
        <v>399</v>
      </c>
      <c r="C332" s="112">
        <f>VLOOKUP("~"&amp;GroupVertices[[#This Row],[Vertex]], Vertices[], MATCH("ID", Vertices[#Headers], 0), FALSE)</f>
        <v>363</v>
      </c>
    </row>
    <row r="333" spans="1:3" x14ac:dyDescent="0.25">
      <c r="A333" s="113" t="s">
        <v>4926</v>
      </c>
      <c r="B333" s="114" t="s">
        <v>252</v>
      </c>
      <c r="C333" s="112">
        <f>VLOOKUP("~"&amp;GroupVertices[[#This Row],[Vertex]], Vertices[], MATCH("ID", Vertices[#Headers], 0), FALSE)</f>
        <v>121</v>
      </c>
    </row>
    <row r="334" spans="1:3" x14ac:dyDescent="0.25">
      <c r="A334" s="113" t="s">
        <v>4926</v>
      </c>
      <c r="B334" s="114" t="s">
        <v>532</v>
      </c>
      <c r="C334" s="112">
        <f>VLOOKUP("~"&amp;GroupVertices[[#This Row],[Vertex]], Vertices[], MATCH("ID", Vertices[#Headers], 0), FALSE)</f>
        <v>122</v>
      </c>
    </row>
    <row r="335" spans="1:3" x14ac:dyDescent="0.25">
      <c r="A335" s="113" t="s">
        <v>4927</v>
      </c>
      <c r="B335" s="114" t="s">
        <v>389</v>
      </c>
      <c r="C335" s="112">
        <f>VLOOKUP("~"&amp;GroupVertices[[#This Row],[Vertex]], Vertices[], MATCH("ID", Vertices[#Headers], 0), FALSE)</f>
        <v>338</v>
      </c>
    </row>
    <row r="336" spans="1:3" x14ac:dyDescent="0.25">
      <c r="A336" s="113" t="s">
        <v>4927</v>
      </c>
      <c r="B336" s="114" t="s">
        <v>648</v>
      </c>
      <c r="C336" s="112">
        <f>VLOOKUP("~"&amp;GroupVertices[[#This Row],[Vertex]], Vertices[], MATCH("ID", Vertices[#Headers], 0), FALSE)</f>
        <v>339</v>
      </c>
    </row>
    <row r="337" spans="1:3" x14ac:dyDescent="0.25">
      <c r="A337" s="113" t="s">
        <v>4928</v>
      </c>
      <c r="B337" s="114" t="s">
        <v>243</v>
      </c>
      <c r="C337" s="112">
        <f>VLOOKUP("~"&amp;GroupVertices[[#This Row],[Vertex]], Vertices[], MATCH("ID", Vertices[#Headers], 0), FALSE)</f>
        <v>101</v>
      </c>
    </row>
    <row r="338" spans="1:3" x14ac:dyDescent="0.25">
      <c r="A338" s="113" t="s">
        <v>4928</v>
      </c>
      <c r="B338" s="114" t="s">
        <v>519</v>
      </c>
      <c r="C338" s="112">
        <f>VLOOKUP("~"&amp;GroupVertices[[#This Row],[Vertex]], Vertices[], MATCH("ID", Vertices[#Headers], 0), FALSE)</f>
        <v>102</v>
      </c>
    </row>
    <row r="339" spans="1:3" x14ac:dyDescent="0.25">
      <c r="A339" s="113" t="s">
        <v>4929</v>
      </c>
      <c r="B339" s="114" t="s">
        <v>367</v>
      </c>
      <c r="C339" s="112">
        <f>VLOOKUP("~"&amp;GroupVertices[[#This Row],[Vertex]], Vertices[], MATCH("ID", Vertices[#Headers], 0), FALSE)</f>
        <v>301</v>
      </c>
    </row>
    <row r="340" spans="1:3" x14ac:dyDescent="0.25">
      <c r="A340" s="113" t="s">
        <v>4929</v>
      </c>
      <c r="B340" s="114" t="s">
        <v>624</v>
      </c>
      <c r="C340" s="112">
        <f>VLOOKUP("~"&amp;GroupVertices[[#This Row],[Vertex]], Vertices[], MATCH("ID", Vertices[#Headers], 0), FALSE)</f>
        <v>302</v>
      </c>
    </row>
    <row r="341" spans="1:3" x14ac:dyDescent="0.25">
      <c r="A341" s="113" t="s">
        <v>4930</v>
      </c>
      <c r="B341" s="114" t="s">
        <v>377</v>
      </c>
      <c r="C341" s="112">
        <f>VLOOKUP("~"&amp;GroupVertices[[#This Row],[Vertex]], Vertices[], MATCH("ID", Vertices[#Headers], 0), FALSE)</f>
        <v>317</v>
      </c>
    </row>
    <row r="342" spans="1:3" x14ac:dyDescent="0.25">
      <c r="A342" s="113" t="s">
        <v>4930</v>
      </c>
      <c r="B342" s="114" t="s">
        <v>637</v>
      </c>
      <c r="C342" s="112">
        <f>VLOOKUP("~"&amp;GroupVertices[[#This Row],[Vertex]], Vertices[], MATCH("ID", Vertices[#Headers], 0), FALSE)</f>
        <v>318</v>
      </c>
    </row>
    <row r="343" spans="1:3" x14ac:dyDescent="0.25">
      <c r="A343" s="113" t="s">
        <v>4931</v>
      </c>
      <c r="B343" s="114" t="s">
        <v>258</v>
      </c>
      <c r="C343" s="112">
        <f>VLOOKUP("~"&amp;GroupVertices[[#This Row],[Vertex]], Vertices[], MATCH("ID", Vertices[#Headers], 0), FALSE)</f>
        <v>130</v>
      </c>
    </row>
    <row r="344" spans="1:3" x14ac:dyDescent="0.25">
      <c r="A344" s="113" t="s">
        <v>4931</v>
      </c>
      <c r="B344" s="114" t="s">
        <v>535</v>
      </c>
      <c r="C344" s="112">
        <f>VLOOKUP("~"&amp;GroupVertices[[#This Row],[Vertex]], Vertices[], MATCH("ID", Vertices[#Headers], 0), FALSE)</f>
        <v>131</v>
      </c>
    </row>
    <row r="345" spans="1:3" x14ac:dyDescent="0.25">
      <c r="A345" s="113" t="s">
        <v>4932</v>
      </c>
      <c r="B345" s="114" t="s">
        <v>249</v>
      </c>
      <c r="C345" s="112">
        <f>VLOOKUP("~"&amp;GroupVertices[[#This Row],[Vertex]], Vertices[], MATCH("ID", Vertices[#Headers], 0), FALSE)</f>
        <v>117</v>
      </c>
    </row>
    <row r="346" spans="1:3" x14ac:dyDescent="0.25">
      <c r="A346" s="113" t="s">
        <v>4932</v>
      </c>
      <c r="B346" s="114" t="s">
        <v>328</v>
      </c>
      <c r="C346" s="112">
        <f>VLOOKUP("~"&amp;GroupVertices[[#This Row],[Vertex]], Vertices[], MATCH("ID", Vertices[#Headers], 0), FALSE)</f>
        <v>118</v>
      </c>
    </row>
    <row r="347" spans="1:3" x14ac:dyDescent="0.25">
      <c r="A347" s="113" t="s">
        <v>4933</v>
      </c>
      <c r="B347" s="114" t="s">
        <v>237</v>
      </c>
      <c r="C347" s="112">
        <f>VLOOKUP("~"&amp;GroupVertices[[#This Row],[Vertex]], Vertices[], MATCH("ID", Vertices[#Headers], 0), FALSE)</f>
        <v>92</v>
      </c>
    </row>
    <row r="348" spans="1:3" x14ac:dyDescent="0.25">
      <c r="A348" s="113" t="s">
        <v>4933</v>
      </c>
      <c r="B348" s="114" t="s">
        <v>517</v>
      </c>
      <c r="C348" s="112">
        <f>VLOOKUP("~"&amp;GroupVertices[[#This Row],[Vertex]], Vertices[], MATCH("ID", Vertices[#Headers], 0), FALSE)</f>
        <v>93</v>
      </c>
    </row>
    <row r="349" spans="1:3" x14ac:dyDescent="0.25">
      <c r="A349" s="113" t="s">
        <v>4934</v>
      </c>
      <c r="B349" s="114" t="s">
        <v>255</v>
      </c>
      <c r="C349" s="112">
        <f>VLOOKUP("~"&amp;GroupVertices[[#This Row],[Vertex]], Vertices[], MATCH("ID", Vertices[#Headers], 0), FALSE)</f>
        <v>126</v>
      </c>
    </row>
    <row r="350" spans="1:3" x14ac:dyDescent="0.25">
      <c r="A350" s="113" t="s">
        <v>4934</v>
      </c>
      <c r="B350" s="114" t="s">
        <v>534</v>
      </c>
      <c r="C350" s="112">
        <f>VLOOKUP("~"&amp;GroupVertices[[#This Row],[Vertex]], Vertices[], MATCH("ID", Vertices[#Headers], 0), FALSE)</f>
        <v>127</v>
      </c>
    </row>
    <row r="351" spans="1:3" x14ac:dyDescent="0.25">
      <c r="A351" s="113" t="s">
        <v>4935</v>
      </c>
      <c r="B351" s="114" t="s">
        <v>453</v>
      </c>
      <c r="C351" s="112">
        <f>VLOOKUP("~"&amp;GroupVertices[[#This Row],[Vertex]], Vertices[], MATCH("ID", Vertices[#Headers], 0), FALSE)</f>
        <v>421</v>
      </c>
    </row>
    <row r="352" spans="1:3" x14ac:dyDescent="0.25">
      <c r="A352" s="113" t="s">
        <v>4935</v>
      </c>
      <c r="B352" s="114" t="s">
        <v>452</v>
      </c>
      <c r="C352" s="112">
        <f>VLOOKUP("~"&amp;GroupVertices[[#This Row],[Vertex]], Vertices[], MATCH("ID", Vertices[#Headers], 0), FALSE)</f>
        <v>420</v>
      </c>
    </row>
    <row r="353" spans="1:3" x14ac:dyDescent="0.25">
      <c r="A353" s="113" t="s">
        <v>4936</v>
      </c>
      <c r="B353" s="114" t="s">
        <v>356</v>
      </c>
      <c r="C353" s="112">
        <f>VLOOKUP("~"&amp;GroupVertices[[#This Row],[Vertex]], Vertices[], MATCH("ID", Vertices[#Headers], 0), FALSE)</f>
        <v>290</v>
      </c>
    </row>
    <row r="354" spans="1:3" x14ac:dyDescent="0.25">
      <c r="A354" s="113" t="s">
        <v>4936</v>
      </c>
      <c r="B354" s="114" t="s">
        <v>621</v>
      </c>
      <c r="C354" s="112">
        <f>VLOOKUP("~"&amp;GroupVertices[[#This Row],[Vertex]], Vertices[], MATCH("ID", Vertices[#Headers], 0), FALSE)</f>
        <v>291</v>
      </c>
    </row>
    <row r="355" spans="1:3" x14ac:dyDescent="0.25">
      <c r="A355" s="113" t="s">
        <v>4937</v>
      </c>
      <c r="B355" s="114" t="s">
        <v>370</v>
      </c>
      <c r="C355" s="112">
        <f>VLOOKUP("~"&amp;GroupVertices[[#This Row],[Vertex]], Vertices[], MATCH("ID", Vertices[#Headers], 0), FALSE)</f>
        <v>304</v>
      </c>
    </row>
    <row r="356" spans="1:3" x14ac:dyDescent="0.25">
      <c r="A356" s="113" t="s">
        <v>4937</v>
      </c>
      <c r="B356" s="114" t="s">
        <v>369</v>
      </c>
      <c r="C356" s="112">
        <f>VLOOKUP("~"&amp;GroupVertices[[#This Row],[Vertex]], Vertices[], MATCH("ID", Vertices[#Headers], 0), FALSE)</f>
        <v>303</v>
      </c>
    </row>
    <row r="357" spans="1:3" x14ac:dyDescent="0.25">
      <c r="A357" s="113" t="s">
        <v>4938</v>
      </c>
      <c r="B357" s="114" t="s">
        <v>280</v>
      </c>
      <c r="C357" s="112">
        <f>VLOOKUP("~"&amp;GroupVertices[[#This Row],[Vertex]], Vertices[], MATCH("ID", Vertices[#Headers], 0), FALSE)</f>
        <v>165</v>
      </c>
    </row>
    <row r="358" spans="1:3" x14ac:dyDescent="0.25">
      <c r="A358" s="113" t="s">
        <v>4938</v>
      </c>
      <c r="B358" s="114" t="s">
        <v>279</v>
      </c>
      <c r="C358" s="112">
        <f>VLOOKUP("~"&amp;GroupVertices[[#This Row],[Vertex]], Vertices[], MATCH("ID", Vertices[#Headers], 0), FALSE)</f>
        <v>164</v>
      </c>
    </row>
    <row r="359" spans="1:3" x14ac:dyDescent="0.25">
      <c r="A359" s="113" t="s">
        <v>4939</v>
      </c>
      <c r="B359" s="114" t="s">
        <v>225</v>
      </c>
      <c r="C359" s="112">
        <f>VLOOKUP("~"&amp;GroupVertices[[#This Row],[Vertex]], Vertices[], MATCH("ID", Vertices[#Headers], 0), FALSE)</f>
        <v>76</v>
      </c>
    </row>
    <row r="360" spans="1:3" x14ac:dyDescent="0.25">
      <c r="A360" s="113" t="s">
        <v>4939</v>
      </c>
      <c r="B360" s="114" t="s">
        <v>510</v>
      </c>
      <c r="C360" s="112">
        <f>VLOOKUP("~"&amp;GroupVertices[[#This Row],[Vertex]], Vertices[], MATCH("ID", Vertices[#Headers], 0), FALSE)</f>
        <v>77</v>
      </c>
    </row>
    <row r="361" spans="1:3" x14ac:dyDescent="0.25">
      <c r="A361" s="113" t="s">
        <v>4940</v>
      </c>
      <c r="B361" s="114" t="s">
        <v>284</v>
      </c>
      <c r="C361" s="112">
        <f>VLOOKUP("~"&amp;GroupVertices[[#This Row],[Vertex]], Vertices[], MATCH("ID", Vertices[#Headers], 0), FALSE)</f>
        <v>169</v>
      </c>
    </row>
    <row r="362" spans="1:3" x14ac:dyDescent="0.25">
      <c r="A362" s="113" t="s">
        <v>4940</v>
      </c>
      <c r="B362" s="114" t="s">
        <v>364</v>
      </c>
      <c r="C362" s="112">
        <f>VLOOKUP("~"&amp;GroupVertices[[#This Row],[Vertex]], Vertices[], MATCH("ID", Vertices[#Headers], 0), FALSE)</f>
        <v>170</v>
      </c>
    </row>
    <row r="363" spans="1:3" x14ac:dyDescent="0.25">
      <c r="A363" s="113" t="s">
        <v>4941</v>
      </c>
      <c r="B363" s="114" t="s">
        <v>384</v>
      </c>
      <c r="C363" s="112">
        <f>VLOOKUP("~"&amp;GroupVertices[[#This Row],[Vertex]], Vertices[], MATCH("ID", Vertices[#Headers], 0), FALSE)</f>
        <v>327</v>
      </c>
    </row>
    <row r="364" spans="1:3" x14ac:dyDescent="0.25">
      <c r="A364" s="113" t="s">
        <v>4941</v>
      </c>
      <c r="B364" s="114" t="s">
        <v>640</v>
      </c>
      <c r="C364" s="112">
        <f>VLOOKUP("~"&amp;GroupVertices[[#This Row],[Vertex]], Vertices[], MATCH("ID", Vertices[#Headers], 0), FALSE)</f>
        <v>328</v>
      </c>
    </row>
    <row r="365" spans="1:3" x14ac:dyDescent="0.25">
      <c r="A365" s="113" t="s">
        <v>4942</v>
      </c>
      <c r="B365" s="114" t="s">
        <v>329</v>
      </c>
      <c r="C365" s="112">
        <f>VLOOKUP("~"&amp;GroupVertices[[#This Row],[Vertex]], Vertices[], MATCH("ID", Vertices[#Headers], 0), FALSE)</f>
        <v>252</v>
      </c>
    </row>
    <row r="366" spans="1:3" x14ac:dyDescent="0.25">
      <c r="A366" s="113" t="s">
        <v>4942</v>
      </c>
      <c r="B366" s="114" t="s">
        <v>608</v>
      </c>
      <c r="C366" s="112">
        <f>VLOOKUP("~"&amp;GroupVertices[[#This Row],[Vertex]], Vertices[], MATCH("ID", Vertices[#Headers], 0), FALSE)</f>
        <v>253</v>
      </c>
    </row>
    <row r="367" spans="1:3" x14ac:dyDescent="0.25">
      <c r="A367" s="113" t="s">
        <v>4943</v>
      </c>
      <c r="B367" s="114" t="s">
        <v>287</v>
      </c>
      <c r="C367" s="112">
        <f>VLOOKUP("~"&amp;GroupVertices[[#This Row],[Vertex]], Vertices[], MATCH("ID", Vertices[#Headers], 0), FALSE)</f>
        <v>175</v>
      </c>
    </row>
    <row r="368" spans="1:3" x14ac:dyDescent="0.25">
      <c r="A368" s="113" t="s">
        <v>4943</v>
      </c>
      <c r="B368" s="114" t="s">
        <v>559</v>
      </c>
      <c r="C368" s="112">
        <f>VLOOKUP("~"&amp;GroupVertices[[#This Row],[Vertex]], Vertices[], MATCH("ID", Vertices[#Headers], 0), FALSE)</f>
        <v>176</v>
      </c>
    </row>
    <row r="369" spans="1:3" x14ac:dyDescent="0.25">
      <c r="A369" s="113" t="s">
        <v>4944</v>
      </c>
      <c r="B369" s="114" t="s">
        <v>474</v>
      </c>
      <c r="C369" s="112">
        <f>VLOOKUP("~"&amp;GroupVertices[[#This Row],[Vertex]], Vertices[], MATCH("ID", Vertices[#Headers], 0), FALSE)</f>
        <v>446</v>
      </c>
    </row>
    <row r="370" spans="1:3" x14ac:dyDescent="0.25">
      <c r="A370" s="113" t="s">
        <v>4944</v>
      </c>
      <c r="B370" s="114" t="s">
        <v>689</v>
      </c>
      <c r="C370" s="112">
        <f>VLOOKUP("~"&amp;GroupVertices[[#This Row],[Vertex]], Vertices[], MATCH("ID", Vertices[#Headers], 0), FALSE)</f>
        <v>447</v>
      </c>
    </row>
    <row r="371" spans="1:3" x14ac:dyDescent="0.25">
      <c r="A371" s="113" t="s">
        <v>4945</v>
      </c>
      <c r="B371" s="114" t="s">
        <v>330</v>
      </c>
      <c r="C371" s="112">
        <f>VLOOKUP("~"&amp;GroupVertices[[#This Row],[Vertex]], Vertices[], MATCH("ID", Vertices[#Headers], 0), FALSE)</f>
        <v>254</v>
      </c>
    </row>
    <row r="372" spans="1:3" x14ac:dyDescent="0.25">
      <c r="A372" s="113" t="s">
        <v>4945</v>
      </c>
      <c r="B372" s="114" t="s">
        <v>371</v>
      </c>
      <c r="C372" s="112">
        <f>VLOOKUP("~"&amp;GroupVertices[[#This Row],[Vertex]], Vertices[], MATCH("ID", Vertices[#Headers], 0), FALSE)</f>
        <v>255</v>
      </c>
    </row>
    <row r="373" spans="1:3" x14ac:dyDescent="0.25">
      <c r="A373" s="113" t="s">
        <v>4946</v>
      </c>
      <c r="B373" s="114" t="s">
        <v>340</v>
      </c>
      <c r="C373" s="112">
        <f>VLOOKUP("~"&amp;GroupVertices[[#This Row],[Vertex]], Vertices[], MATCH("ID", Vertices[#Headers], 0), FALSE)</f>
        <v>269</v>
      </c>
    </row>
    <row r="374" spans="1:3" x14ac:dyDescent="0.25">
      <c r="A374" s="113" t="s">
        <v>4946</v>
      </c>
      <c r="B374" s="114" t="s">
        <v>615</v>
      </c>
      <c r="C374" s="112">
        <f>VLOOKUP("~"&amp;GroupVertices[[#This Row],[Vertex]], Vertices[], MATCH("ID", Vertices[#Headers], 0), FALSE)</f>
        <v>270</v>
      </c>
    </row>
    <row r="375" spans="1:3" x14ac:dyDescent="0.25">
      <c r="A375" s="113" t="s">
        <v>4947</v>
      </c>
      <c r="B375" s="114" t="s">
        <v>447</v>
      </c>
      <c r="C375" s="112">
        <f>VLOOKUP("~"&amp;GroupVertices[[#This Row],[Vertex]], Vertices[], MATCH("ID", Vertices[#Headers], 0), FALSE)</f>
        <v>414</v>
      </c>
    </row>
    <row r="376" spans="1:3" x14ac:dyDescent="0.25">
      <c r="A376" s="113" t="s">
        <v>4947</v>
      </c>
      <c r="B376" s="114" t="s">
        <v>446</v>
      </c>
      <c r="C376" s="112">
        <f>VLOOKUP("~"&amp;GroupVertices[[#This Row],[Vertex]], Vertices[], MATCH("ID", Vertices[#Headers], 0), FALSE)</f>
        <v>413</v>
      </c>
    </row>
    <row r="377" spans="1:3" x14ac:dyDescent="0.25">
      <c r="A377" s="113" t="s">
        <v>4948</v>
      </c>
      <c r="B377" s="114" t="s">
        <v>443</v>
      </c>
      <c r="C377" s="112">
        <f>VLOOKUP("~"&amp;GroupVertices[[#This Row],[Vertex]], Vertices[], MATCH("ID", Vertices[#Headers], 0), FALSE)</f>
        <v>405</v>
      </c>
    </row>
    <row r="378" spans="1:3" x14ac:dyDescent="0.25">
      <c r="A378" s="113" t="s">
        <v>4948</v>
      </c>
      <c r="B378" s="114" t="s">
        <v>438</v>
      </c>
      <c r="C378" s="112">
        <f>VLOOKUP("~"&amp;GroupVertices[[#This Row],[Vertex]], Vertices[], MATCH("ID", Vertices[#Headers], 0), FALSE)</f>
        <v>404</v>
      </c>
    </row>
    <row r="379" spans="1:3" x14ac:dyDescent="0.25">
      <c r="A379" s="113" t="s">
        <v>4949</v>
      </c>
      <c r="B379" s="114" t="s">
        <v>492</v>
      </c>
      <c r="C379" s="112">
        <f>VLOOKUP("~"&amp;GroupVertices[[#This Row],[Vertex]], Vertices[], MATCH("ID", Vertices[#Headers], 0), FALSE)</f>
        <v>463</v>
      </c>
    </row>
    <row r="380" spans="1:3" x14ac:dyDescent="0.25">
      <c r="A380" s="113" t="s">
        <v>4949</v>
      </c>
      <c r="B380" s="114" t="s">
        <v>491</v>
      </c>
      <c r="C380" s="112">
        <f>VLOOKUP("~"&amp;GroupVertices[[#This Row],[Vertex]], Vertices[], MATCH("ID", Vertices[#Headers], 0), FALSE)</f>
        <v>462</v>
      </c>
    </row>
    <row r="381" spans="1:3" x14ac:dyDescent="0.25">
      <c r="A381" s="113" t="s">
        <v>4950</v>
      </c>
      <c r="B381" s="114" t="s">
        <v>426</v>
      </c>
      <c r="C381" s="112">
        <f>VLOOKUP("~"&amp;GroupVertices[[#This Row],[Vertex]], Vertices[], MATCH("ID", Vertices[#Headers], 0), FALSE)</f>
        <v>392</v>
      </c>
    </row>
    <row r="382" spans="1:3" x14ac:dyDescent="0.25">
      <c r="A382" s="113" t="s">
        <v>4951</v>
      </c>
      <c r="B382" s="114" t="s">
        <v>228</v>
      </c>
      <c r="C382" s="112">
        <f>VLOOKUP("~"&amp;GroupVertices[[#This Row],[Vertex]], Vertices[], MATCH("ID", Vertices[#Headers], 0), FALSE)</f>
        <v>80</v>
      </c>
    </row>
    <row r="383" spans="1:3" x14ac:dyDescent="0.25">
      <c r="A383" s="113" t="s">
        <v>4952</v>
      </c>
      <c r="B383" s="114" t="s">
        <v>359</v>
      </c>
      <c r="C383" s="112">
        <f>VLOOKUP("~"&amp;GroupVertices[[#This Row],[Vertex]], Vertices[], MATCH("ID", Vertices[#Headers], 0), FALSE)</f>
        <v>295</v>
      </c>
    </row>
    <row r="384" spans="1:3" x14ac:dyDescent="0.25">
      <c r="A384" s="113" t="s">
        <v>4953</v>
      </c>
      <c r="B384" s="114" t="s">
        <v>421</v>
      </c>
      <c r="C384" s="112">
        <f>VLOOKUP("~"&amp;GroupVertices[[#This Row],[Vertex]], Vertices[], MATCH("ID", Vertices[#Headers], 0), FALSE)</f>
        <v>388</v>
      </c>
    </row>
    <row r="385" spans="1:3" x14ac:dyDescent="0.25">
      <c r="A385" s="113" t="s">
        <v>4954</v>
      </c>
      <c r="B385" s="114" t="s">
        <v>433</v>
      </c>
      <c r="C385" s="112">
        <f>VLOOKUP("~"&amp;GroupVertices[[#This Row],[Vertex]], Vertices[], MATCH("ID", Vertices[#Headers], 0), FALSE)</f>
        <v>400</v>
      </c>
    </row>
    <row r="386" spans="1:3" x14ac:dyDescent="0.25">
      <c r="A386" s="113" t="s">
        <v>4955</v>
      </c>
      <c r="B386" s="114" t="s">
        <v>481</v>
      </c>
      <c r="C386" s="112">
        <f>VLOOKUP("~"&amp;GroupVertices[[#This Row],[Vertex]], Vertices[], MATCH("ID", Vertices[#Headers], 0), FALSE)</f>
        <v>455</v>
      </c>
    </row>
    <row r="387" spans="1:3" x14ac:dyDescent="0.25">
      <c r="A387" s="113" t="s">
        <v>4956</v>
      </c>
      <c r="B387" s="114" t="s">
        <v>455</v>
      </c>
      <c r="C387" s="112">
        <f>VLOOKUP("~"&amp;GroupVertices[[#This Row],[Vertex]], Vertices[], MATCH("ID", Vertices[#Headers], 0), FALSE)</f>
        <v>423</v>
      </c>
    </row>
    <row r="388" spans="1:3" x14ac:dyDescent="0.25">
      <c r="A388" s="113" t="s">
        <v>4957</v>
      </c>
      <c r="B388" s="114" t="s">
        <v>230</v>
      </c>
      <c r="C388" s="112">
        <f>VLOOKUP("~"&amp;GroupVertices[[#This Row],[Vertex]], Vertices[], MATCH("ID", Vertices[#Headers], 0), FALSE)</f>
        <v>83</v>
      </c>
    </row>
    <row r="389" spans="1:3" x14ac:dyDescent="0.25">
      <c r="A389" s="113" t="s">
        <v>4958</v>
      </c>
      <c r="B389" s="114" t="s">
        <v>494</v>
      </c>
      <c r="C389" s="112">
        <f>VLOOKUP("~"&amp;GroupVertices[[#This Row],[Vertex]], Vertices[], MATCH("ID", Vertices[#Headers], 0), FALSE)</f>
        <v>465</v>
      </c>
    </row>
    <row r="390" spans="1:3" x14ac:dyDescent="0.25">
      <c r="A390" s="113" t="s">
        <v>4959</v>
      </c>
      <c r="B390" s="114" t="s">
        <v>241</v>
      </c>
      <c r="C390" s="112">
        <f>VLOOKUP("~"&amp;GroupVertices[[#This Row],[Vertex]], Vertices[], MATCH("ID", Vertices[#Headers], 0), FALSE)</f>
        <v>99</v>
      </c>
    </row>
    <row r="391" spans="1:3" x14ac:dyDescent="0.25">
      <c r="A391" s="113" t="s">
        <v>4960</v>
      </c>
      <c r="B391" s="114" t="s">
        <v>325</v>
      </c>
      <c r="C391" s="112">
        <f>VLOOKUP("~"&amp;GroupVertices[[#This Row],[Vertex]], Vertices[], MATCH("ID", Vertices[#Headers], 0), FALSE)</f>
        <v>249</v>
      </c>
    </row>
    <row r="392" spans="1:3" x14ac:dyDescent="0.25">
      <c r="A392" s="113" t="s">
        <v>4961</v>
      </c>
      <c r="B392" s="114" t="s">
        <v>463</v>
      </c>
      <c r="C392" s="112">
        <f>VLOOKUP("~"&amp;GroupVertices[[#This Row],[Vertex]], Vertices[], MATCH("ID", Vertices[#Headers], 0), FALSE)</f>
        <v>430</v>
      </c>
    </row>
    <row r="393" spans="1:3" x14ac:dyDescent="0.25">
      <c r="A393" s="113" t="s">
        <v>4962</v>
      </c>
      <c r="B393" s="114" t="s">
        <v>444</v>
      </c>
      <c r="C393" s="112">
        <f>VLOOKUP("~"&amp;GroupVertices[[#This Row],[Vertex]], Vertices[], MATCH("ID", Vertices[#Headers], 0), FALSE)</f>
        <v>412</v>
      </c>
    </row>
    <row r="394" spans="1:3" x14ac:dyDescent="0.25">
      <c r="A394" s="113" t="s">
        <v>4963</v>
      </c>
      <c r="B394" s="114" t="s">
        <v>267</v>
      </c>
      <c r="C394" s="112">
        <f>VLOOKUP("~"&amp;GroupVertices[[#This Row],[Vertex]], Vertices[], MATCH("ID", Vertices[#Headers], 0), FALSE)</f>
        <v>152</v>
      </c>
    </row>
    <row r="395" spans="1:3" x14ac:dyDescent="0.25">
      <c r="A395" s="113" t="s">
        <v>4964</v>
      </c>
      <c r="B395" s="114" t="s">
        <v>257</v>
      </c>
      <c r="C395" s="112">
        <f>VLOOKUP("~"&amp;GroupVertices[[#This Row],[Vertex]], Vertices[], MATCH("ID", Vertices[#Headers], 0), FALSE)</f>
        <v>129</v>
      </c>
    </row>
    <row r="396" spans="1:3" x14ac:dyDescent="0.25">
      <c r="A396" s="113" t="s">
        <v>4965</v>
      </c>
      <c r="B396" s="114" t="s">
        <v>479</v>
      </c>
      <c r="C396" s="112">
        <f>VLOOKUP("~"&amp;GroupVertices[[#This Row],[Vertex]], Vertices[], MATCH("ID", Vertices[#Headers], 0), FALSE)</f>
        <v>454</v>
      </c>
    </row>
    <row r="397" spans="1:3" x14ac:dyDescent="0.25">
      <c r="A397" s="113" t="s">
        <v>4966</v>
      </c>
      <c r="B397" s="114" t="s">
        <v>264</v>
      </c>
      <c r="C397" s="112">
        <f>VLOOKUP("~"&amp;GroupVertices[[#This Row],[Vertex]], Vertices[], MATCH("ID", Vertices[#Headers], 0), FALSE)</f>
        <v>139</v>
      </c>
    </row>
    <row r="398" spans="1:3" x14ac:dyDescent="0.25">
      <c r="A398" s="113" t="s">
        <v>4967</v>
      </c>
      <c r="B398" s="114" t="s">
        <v>313</v>
      </c>
      <c r="C398" s="112">
        <f>VLOOKUP("~"&amp;GroupVertices[[#This Row],[Vertex]], Vertices[], MATCH("ID", Vertices[#Headers], 0), FALSE)</f>
        <v>224</v>
      </c>
    </row>
    <row r="399" spans="1:3" x14ac:dyDescent="0.25">
      <c r="A399" s="113" t="s">
        <v>4968</v>
      </c>
      <c r="B399" s="114" t="s">
        <v>372</v>
      </c>
      <c r="C399" s="112">
        <f>VLOOKUP("~"&amp;GroupVertices[[#This Row],[Vertex]], Vertices[], MATCH("ID", Vertices[#Headers], 0), FALSE)</f>
        <v>305</v>
      </c>
    </row>
    <row r="400" spans="1:3" x14ac:dyDescent="0.25">
      <c r="A400" s="113" t="s">
        <v>4969</v>
      </c>
      <c r="B400" s="114" t="s">
        <v>337</v>
      </c>
      <c r="C400" s="112">
        <f>VLOOKUP("~"&amp;GroupVertices[[#This Row],[Vertex]], Vertices[], MATCH("ID", Vertices[#Headers], 0), FALSE)</f>
        <v>264</v>
      </c>
    </row>
    <row r="401" spans="1:3" x14ac:dyDescent="0.25">
      <c r="A401" s="113" t="s">
        <v>4970</v>
      </c>
      <c r="B401" s="114" t="s">
        <v>271</v>
      </c>
      <c r="C401" s="112">
        <f>VLOOKUP("~"&amp;GroupVertices[[#This Row],[Vertex]], Vertices[], MATCH("ID", Vertices[#Headers], 0), FALSE)</f>
        <v>158</v>
      </c>
    </row>
    <row r="402" spans="1:3" x14ac:dyDescent="0.25">
      <c r="A402" s="113" t="s">
        <v>4971</v>
      </c>
      <c r="B402" s="114" t="s">
        <v>290</v>
      </c>
      <c r="C402" s="112">
        <f>VLOOKUP("~"&amp;GroupVertices[[#This Row],[Vertex]], Vertices[], MATCH("ID", Vertices[#Headers], 0), FALSE)</f>
        <v>188</v>
      </c>
    </row>
    <row r="403" spans="1:3" x14ac:dyDescent="0.25">
      <c r="A403" s="113" t="s">
        <v>4972</v>
      </c>
      <c r="B403" s="114" t="s">
        <v>380</v>
      </c>
      <c r="C403" s="112">
        <f>VLOOKUP("~"&amp;GroupVertices[[#This Row],[Vertex]], Vertices[], MATCH("ID", Vertices[#Headers], 0), FALSE)</f>
        <v>321</v>
      </c>
    </row>
    <row r="404" spans="1:3" x14ac:dyDescent="0.25">
      <c r="A404" s="113" t="s">
        <v>4973</v>
      </c>
      <c r="B404" s="114" t="s">
        <v>503</v>
      </c>
      <c r="C404" s="112">
        <f>VLOOKUP("~"&amp;GroupVertices[[#This Row],[Vertex]], Vertices[], MATCH("ID", Vertices[#Headers], 0), FALSE)</f>
        <v>476</v>
      </c>
    </row>
    <row r="405" spans="1:3" x14ac:dyDescent="0.25">
      <c r="A405" s="113" t="s">
        <v>4974</v>
      </c>
      <c r="B405" s="114" t="s">
        <v>331</v>
      </c>
      <c r="C405" s="112">
        <f>VLOOKUP("~"&amp;GroupVertices[[#This Row],[Vertex]], Vertices[], MATCH("ID", Vertices[#Headers], 0), FALSE)</f>
        <v>256</v>
      </c>
    </row>
    <row r="406" spans="1:3" x14ac:dyDescent="0.25">
      <c r="A406" s="113" t="s">
        <v>4975</v>
      </c>
      <c r="B406" s="114" t="s">
        <v>386</v>
      </c>
      <c r="C406" s="112">
        <f>VLOOKUP("~"&amp;GroupVertices[[#This Row],[Vertex]], Vertices[], MATCH("ID", Vertices[#Headers], 0), FALSE)</f>
        <v>332</v>
      </c>
    </row>
    <row r="407" spans="1:3" x14ac:dyDescent="0.25">
      <c r="A407" s="113" t="s">
        <v>4976</v>
      </c>
      <c r="B407" s="114" t="s">
        <v>475</v>
      </c>
      <c r="C407" s="112">
        <f>VLOOKUP("~"&amp;GroupVertices[[#This Row],[Vertex]], Vertices[], MATCH("ID", Vertices[#Headers], 0), FALSE)</f>
        <v>448</v>
      </c>
    </row>
    <row r="408" spans="1:3" x14ac:dyDescent="0.25">
      <c r="A408" s="113" t="s">
        <v>4977</v>
      </c>
      <c r="B408" s="114" t="s">
        <v>392</v>
      </c>
      <c r="C408" s="112">
        <f>VLOOKUP("~"&amp;GroupVertices[[#This Row],[Vertex]], Vertices[], MATCH("ID", Vertices[#Headers], 0), FALSE)</f>
        <v>343</v>
      </c>
    </row>
    <row r="409" spans="1:3" x14ac:dyDescent="0.25">
      <c r="A409" s="113" t="s">
        <v>4978</v>
      </c>
      <c r="B409" s="114" t="s">
        <v>462</v>
      </c>
      <c r="C409" s="112">
        <f>VLOOKUP("~"&amp;GroupVertices[[#This Row],[Vertex]], Vertices[], MATCH("ID", Vertices[#Headers], 0), FALSE)</f>
        <v>429</v>
      </c>
    </row>
    <row r="410" spans="1:3" x14ac:dyDescent="0.25">
      <c r="A410" s="113" t="s">
        <v>4979</v>
      </c>
      <c r="B410" s="114" t="s">
        <v>291</v>
      </c>
      <c r="C410" s="112">
        <f>VLOOKUP("~"&amp;GroupVertices[[#This Row],[Vertex]], Vertices[], MATCH("ID", Vertices[#Headers], 0), FALSE)</f>
        <v>189</v>
      </c>
    </row>
    <row r="411" spans="1:3" x14ac:dyDescent="0.25">
      <c r="A411" s="113" t="s">
        <v>4980</v>
      </c>
      <c r="B411" s="114" t="s">
        <v>245</v>
      </c>
      <c r="C411" s="112">
        <f>VLOOKUP("~"&amp;GroupVertices[[#This Row],[Vertex]], Vertices[], MATCH("ID", Vertices[#Headers], 0), FALSE)</f>
        <v>108</v>
      </c>
    </row>
    <row r="412" spans="1:3" x14ac:dyDescent="0.25">
      <c r="A412" s="113" t="s">
        <v>4981</v>
      </c>
      <c r="B412" s="114" t="s">
        <v>226</v>
      </c>
      <c r="C412" s="112">
        <f>VLOOKUP("~"&amp;GroupVertices[[#This Row],[Vertex]], Vertices[], MATCH("ID", Vertices[#Headers], 0), FALSE)</f>
        <v>78</v>
      </c>
    </row>
    <row r="413" spans="1:3" x14ac:dyDescent="0.25">
      <c r="A413" s="113" t="s">
        <v>4982</v>
      </c>
      <c r="B413" s="114" t="s">
        <v>270</v>
      </c>
      <c r="C413" s="112">
        <f>VLOOKUP("~"&amp;GroupVertices[[#This Row],[Vertex]], Vertices[], MATCH("ID", Vertices[#Headers], 0), FALSE)</f>
        <v>157</v>
      </c>
    </row>
    <row r="414" spans="1:3" x14ac:dyDescent="0.25">
      <c r="A414" s="113" t="s">
        <v>4983</v>
      </c>
      <c r="B414" s="114" t="s">
        <v>472</v>
      </c>
      <c r="C414" s="112">
        <f>VLOOKUP("~"&amp;GroupVertices[[#This Row],[Vertex]], Vertices[], MATCH("ID", Vertices[#Headers], 0), FALSE)</f>
        <v>444</v>
      </c>
    </row>
    <row r="415" spans="1:3" x14ac:dyDescent="0.25">
      <c r="A415" s="113" t="s">
        <v>4984</v>
      </c>
      <c r="B415" s="114" t="s">
        <v>437</v>
      </c>
      <c r="C415" s="112">
        <f>VLOOKUP("~"&amp;GroupVertices[[#This Row],[Vertex]], Vertices[], MATCH("ID", Vertices[#Headers], 0), FALSE)</f>
        <v>403</v>
      </c>
    </row>
    <row r="416" spans="1:3" x14ac:dyDescent="0.25">
      <c r="A416" s="113" t="s">
        <v>4985</v>
      </c>
      <c r="B416" s="114" t="s">
        <v>242</v>
      </c>
      <c r="C416" s="112">
        <f>VLOOKUP("~"&amp;GroupVertices[[#This Row],[Vertex]], Vertices[], MATCH("ID", Vertices[#Headers], 0), FALSE)</f>
        <v>100</v>
      </c>
    </row>
    <row r="417" spans="1:3" x14ac:dyDescent="0.25">
      <c r="A417" s="113" t="s">
        <v>4986</v>
      </c>
      <c r="B417" s="114" t="s">
        <v>419</v>
      </c>
      <c r="C417" s="112">
        <f>VLOOKUP("~"&amp;GroupVertices[[#This Row],[Vertex]], Vertices[], MATCH("ID", Vertices[#Headers], 0), FALSE)</f>
        <v>385</v>
      </c>
    </row>
    <row r="418" spans="1:3" x14ac:dyDescent="0.25">
      <c r="A418" s="113" t="s">
        <v>4987</v>
      </c>
      <c r="B418" s="114" t="s">
        <v>363</v>
      </c>
      <c r="C418" s="112">
        <f>VLOOKUP("~"&amp;GroupVertices[[#This Row],[Vertex]], Vertices[], MATCH("ID", Vertices[#Headers], 0), FALSE)</f>
        <v>298</v>
      </c>
    </row>
    <row r="419" spans="1:3" x14ac:dyDescent="0.25">
      <c r="A419" s="113" t="s">
        <v>4988</v>
      </c>
      <c r="B419" s="114" t="s">
        <v>428</v>
      </c>
      <c r="C419" s="112">
        <f>VLOOKUP("~"&amp;GroupVertices[[#This Row],[Vertex]], Vertices[], MATCH("ID", Vertices[#Headers], 0), FALSE)</f>
        <v>394</v>
      </c>
    </row>
    <row r="420" spans="1:3" x14ac:dyDescent="0.25">
      <c r="A420" s="113" t="s">
        <v>4989</v>
      </c>
      <c r="B420" s="114" t="s">
        <v>319</v>
      </c>
      <c r="C420" s="112">
        <f>VLOOKUP("~"&amp;GroupVertices[[#This Row],[Vertex]], Vertices[], MATCH("ID", Vertices[#Headers], 0), FALSE)</f>
        <v>233</v>
      </c>
    </row>
    <row r="421" spans="1:3" x14ac:dyDescent="0.25">
      <c r="A421" s="113" t="s">
        <v>4990</v>
      </c>
      <c r="B421" s="114" t="s">
        <v>448</v>
      </c>
      <c r="C421" s="112">
        <f>VLOOKUP("~"&amp;GroupVertices[[#This Row],[Vertex]], Vertices[], MATCH("ID", Vertices[#Headers], 0), FALSE)</f>
        <v>415</v>
      </c>
    </row>
    <row r="422" spans="1:3" x14ac:dyDescent="0.25">
      <c r="A422" s="113" t="s">
        <v>4991</v>
      </c>
      <c r="B422" s="114" t="s">
        <v>416</v>
      </c>
      <c r="C422" s="112">
        <f>VLOOKUP("~"&amp;GroupVertices[[#This Row],[Vertex]], Vertices[], MATCH("ID", Vertices[#Headers], 0), FALSE)</f>
        <v>383</v>
      </c>
    </row>
    <row r="423" spans="1:3" x14ac:dyDescent="0.25">
      <c r="A423" s="113" t="s">
        <v>4992</v>
      </c>
      <c r="B423" s="114" t="s">
        <v>407</v>
      </c>
      <c r="C423" s="112">
        <f>VLOOKUP("~"&amp;GroupVertices[[#This Row],[Vertex]], Vertices[], MATCH("ID", Vertices[#Headers], 0), FALSE)</f>
        <v>372</v>
      </c>
    </row>
    <row r="424" spans="1:3" x14ac:dyDescent="0.25">
      <c r="A424" s="113" t="s">
        <v>4993</v>
      </c>
      <c r="B424" s="114" t="s">
        <v>391</v>
      </c>
      <c r="C424" s="112">
        <f>VLOOKUP("~"&amp;GroupVertices[[#This Row],[Vertex]], Vertices[], MATCH("ID", Vertices[#Headers], 0), FALSE)</f>
        <v>342</v>
      </c>
    </row>
    <row r="425" spans="1:3" x14ac:dyDescent="0.25">
      <c r="A425" s="113" t="s">
        <v>4994</v>
      </c>
      <c r="B425" s="114" t="s">
        <v>343</v>
      </c>
      <c r="C425" s="112">
        <f>VLOOKUP("~"&amp;GroupVertices[[#This Row],[Vertex]], Vertices[], MATCH("ID", Vertices[#Headers], 0), FALSE)</f>
        <v>275</v>
      </c>
    </row>
    <row r="426" spans="1:3" x14ac:dyDescent="0.25">
      <c r="A426" s="113" t="s">
        <v>4995</v>
      </c>
      <c r="B426" s="114" t="s">
        <v>349</v>
      </c>
      <c r="C426" s="112">
        <f>VLOOKUP("~"&amp;GroupVertices[[#This Row],[Vertex]], Vertices[], MATCH("ID", Vertices[#Headers], 0), FALSE)</f>
        <v>281</v>
      </c>
    </row>
    <row r="427" spans="1:3" x14ac:dyDescent="0.25">
      <c r="A427" s="113" t="s">
        <v>4996</v>
      </c>
      <c r="B427" s="114" t="s">
        <v>485</v>
      </c>
      <c r="C427" s="112">
        <f>VLOOKUP("~"&amp;GroupVertices[[#This Row],[Vertex]], Vertices[], MATCH("ID", Vertices[#Headers], 0), FALSE)</f>
        <v>458</v>
      </c>
    </row>
    <row r="428" spans="1:3" x14ac:dyDescent="0.25">
      <c r="A428" s="113" t="s">
        <v>4997</v>
      </c>
      <c r="B428" s="114" t="s">
        <v>275</v>
      </c>
      <c r="C428" s="112">
        <f>VLOOKUP("~"&amp;GroupVertices[[#This Row],[Vertex]], Vertices[], MATCH("ID", Vertices[#Headers], 0), FALSE)</f>
        <v>161</v>
      </c>
    </row>
    <row r="429" spans="1:3" x14ac:dyDescent="0.25">
      <c r="A429" s="113" t="s">
        <v>4998</v>
      </c>
      <c r="B429" s="114" t="s">
        <v>502</v>
      </c>
      <c r="C429" s="112">
        <f>VLOOKUP("~"&amp;GroupVertices[[#This Row],[Vertex]], Vertices[], MATCH("ID", Vertices[#Headers], 0), FALSE)</f>
        <v>475</v>
      </c>
    </row>
    <row r="430" spans="1:3" x14ac:dyDescent="0.25">
      <c r="A430" s="113" t="s">
        <v>4999</v>
      </c>
      <c r="B430" s="114" t="s">
        <v>396</v>
      </c>
      <c r="C430" s="112">
        <f>VLOOKUP("~"&amp;GroupVertices[[#This Row],[Vertex]], Vertices[], MATCH("ID", Vertices[#Headers], 0), FALSE)</f>
        <v>347</v>
      </c>
    </row>
    <row r="431" spans="1:3" x14ac:dyDescent="0.25">
      <c r="A431" s="113" t="s">
        <v>5000</v>
      </c>
      <c r="B431" s="114" t="s">
        <v>324</v>
      </c>
      <c r="C431" s="112">
        <f>VLOOKUP("~"&amp;GroupVertices[[#This Row],[Vertex]], Vertices[], MATCH("ID", Vertices[#Headers], 0), FALSE)</f>
        <v>248</v>
      </c>
    </row>
    <row r="432" spans="1:3" x14ac:dyDescent="0.25">
      <c r="A432" s="113" t="s">
        <v>5001</v>
      </c>
      <c r="B432" s="114" t="s">
        <v>379</v>
      </c>
      <c r="C432" s="112">
        <f>VLOOKUP("~"&amp;GroupVertices[[#This Row],[Vertex]], Vertices[], MATCH("ID", Vertices[#Headers], 0), FALSE)</f>
        <v>320</v>
      </c>
    </row>
    <row r="433" spans="1:3" x14ac:dyDescent="0.25">
      <c r="A433" s="113" t="s">
        <v>5002</v>
      </c>
      <c r="B433" s="114" t="s">
        <v>361</v>
      </c>
      <c r="C433" s="112">
        <f>VLOOKUP("~"&amp;GroupVertices[[#This Row],[Vertex]], Vertices[], MATCH("ID", Vertices[#Headers], 0), FALSE)</f>
        <v>296</v>
      </c>
    </row>
    <row r="434" spans="1:3" x14ac:dyDescent="0.25">
      <c r="A434" s="113" t="s">
        <v>5003</v>
      </c>
      <c r="B434" s="114" t="s">
        <v>333</v>
      </c>
      <c r="C434" s="112">
        <f>VLOOKUP("~"&amp;GroupVertices[[#This Row],[Vertex]], Vertices[], MATCH("ID", Vertices[#Headers], 0), FALSE)</f>
        <v>259</v>
      </c>
    </row>
    <row r="435" spans="1:3" x14ac:dyDescent="0.25">
      <c r="A435" s="113" t="s">
        <v>5004</v>
      </c>
      <c r="B435" s="114" t="s">
        <v>250</v>
      </c>
      <c r="C435" s="112">
        <f>VLOOKUP("~"&amp;GroupVertices[[#This Row],[Vertex]], Vertices[], MATCH("ID", Vertices[#Headers], 0), FALSE)</f>
        <v>119</v>
      </c>
    </row>
    <row r="436" spans="1:3" x14ac:dyDescent="0.25">
      <c r="A436" s="113" t="s">
        <v>5005</v>
      </c>
      <c r="B436" s="114" t="s">
        <v>236</v>
      </c>
      <c r="C436" s="112">
        <f>VLOOKUP("~"&amp;GroupVertices[[#This Row],[Vertex]], Vertices[], MATCH("ID", Vertices[#Headers], 0), FALSE)</f>
        <v>91</v>
      </c>
    </row>
    <row r="437" spans="1:3" x14ac:dyDescent="0.25">
      <c r="A437" s="113" t="s">
        <v>5006</v>
      </c>
      <c r="B437" s="114" t="s">
        <v>449</v>
      </c>
      <c r="C437" s="112">
        <f>VLOOKUP("~"&amp;GroupVertices[[#This Row],[Vertex]], Vertices[], MATCH("ID", Vertices[#Headers], 0), FALSE)</f>
        <v>416</v>
      </c>
    </row>
    <row r="438" spans="1:3" x14ac:dyDescent="0.25">
      <c r="A438" s="113" t="s">
        <v>5007</v>
      </c>
      <c r="B438" s="114" t="s">
        <v>483</v>
      </c>
      <c r="C438" s="112">
        <f>VLOOKUP("~"&amp;GroupVertices[[#This Row],[Vertex]], Vertices[], MATCH("ID", Vertices[#Headers], 0), FALSE)</f>
        <v>457</v>
      </c>
    </row>
    <row r="439" spans="1:3" x14ac:dyDescent="0.25">
      <c r="A439" s="113" t="s">
        <v>5008</v>
      </c>
      <c r="B439" s="114" t="s">
        <v>269</v>
      </c>
      <c r="C439" s="112">
        <f>VLOOKUP("~"&amp;GroupVertices[[#This Row],[Vertex]], Vertices[], MATCH("ID", Vertices[#Headers], 0), FALSE)</f>
        <v>156</v>
      </c>
    </row>
    <row r="440" spans="1:3" x14ac:dyDescent="0.25">
      <c r="A440" s="113" t="s">
        <v>5009</v>
      </c>
      <c r="B440" s="114" t="s">
        <v>482</v>
      </c>
      <c r="C440" s="112">
        <f>VLOOKUP("~"&amp;GroupVertices[[#This Row],[Vertex]], Vertices[], MATCH("ID", Vertices[#Headers], 0), FALSE)</f>
        <v>456</v>
      </c>
    </row>
    <row r="441" spans="1:3" x14ac:dyDescent="0.25">
      <c r="A441" s="113" t="s">
        <v>5010</v>
      </c>
      <c r="B441" s="114" t="s">
        <v>429</v>
      </c>
      <c r="C441" s="112">
        <f>VLOOKUP("~"&amp;GroupVertices[[#This Row],[Vertex]], Vertices[], MATCH("ID", Vertices[#Headers], 0), FALSE)</f>
        <v>395</v>
      </c>
    </row>
    <row r="442" spans="1:3" x14ac:dyDescent="0.25">
      <c r="A442" s="113" t="s">
        <v>5011</v>
      </c>
      <c r="B442" s="114" t="s">
        <v>227</v>
      </c>
      <c r="C442" s="112">
        <f>VLOOKUP("~"&amp;GroupVertices[[#This Row],[Vertex]], Vertices[], MATCH("ID", Vertices[#Headers], 0), FALSE)</f>
        <v>79</v>
      </c>
    </row>
    <row r="443" spans="1:3" x14ac:dyDescent="0.25">
      <c r="A443" s="113" t="s">
        <v>5012</v>
      </c>
      <c r="B443" s="114" t="s">
        <v>298</v>
      </c>
      <c r="C443" s="112">
        <f>VLOOKUP("~"&amp;GroupVertices[[#This Row],[Vertex]], Vertices[], MATCH("ID", Vertices[#Headers], 0), FALSE)</f>
        <v>200</v>
      </c>
    </row>
    <row r="444" spans="1:3" x14ac:dyDescent="0.25">
      <c r="A444" s="113" t="s">
        <v>5013</v>
      </c>
      <c r="B444" s="114" t="s">
        <v>436</v>
      </c>
      <c r="C444" s="112">
        <f>VLOOKUP("~"&amp;GroupVertices[[#This Row],[Vertex]], Vertices[], MATCH("ID", Vertices[#Headers], 0), FALSE)</f>
        <v>402</v>
      </c>
    </row>
    <row r="445" spans="1:3" x14ac:dyDescent="0.25">
      <c r="A445" s="113" t="s">
        <v>5014</v>
      </c>
      <c r="B445" s="114" t="s">
        <v>224</v>
      </c>
      <c r="C445" s="112">
        <f>VLOOKUP("~"&amp;GroupVertices[[#This Row],[Vertex]], Vertices[], MATCH("ID", Vertices[#Headers], 0), FALSE)</f>
        <v>75</v>
      </c>
    </row>
    <row r="446" spans="1:3" x14ac:dyDescent="0.25">
      <c r="A446" s="113" t="s">
        <v>5015</v>
      </c>
      <c r="B446" s="114" t="s">
        <v>441</v>
      </c>
      <c r="C446" s="112">
        <f>VLOOKUP("~"&amp;GroupVertices[[#This Row],[Vertex]], Vertices[], MATCH("ID", Vertices[#Headers], 0), FALSE)</f>
        <v>409</v>
      </c>
    </row>
    <row r="447" spans="1:3" x14ac:dyDescent="0.25">
      <c r="A447" s="113" t="s">
        <v>5016</v>
      </c>
      <c r="B447" s="114" t="s">
        <v>393</v>
      </c>
      <c r="C447" s="112">
        <f>VLOOKUP("~"&amp;GroupVertices[[#This Row],[Vertex]], Vertices[], MATCH("ID", Vertices[#Headers], 0), FALSE)</f>
        <v>344</v>
      </c>
    </row>
    <row r="448" spans="1:3" x14ac:dyDescent="0.25">
      <c r="A448" s="113" t="s">
        <v>5017</v>
      </c>
      <c r="B448" s="114" t="s">
        <v>406</v>
      </c>
      <c r="C448" s="112">
        <f>VLOOKUP("~"&amp;GroupVertices[[#This Row],[Vertex]], Vertices[], MATCH("ID", Vertices[#Headers], 0), FALSE)</f>
        <v>371</v>
      </c>
    </row>
    <row r="449" spans="1:3" x14ac:dyDescent="0.25">
      <c r="A449" s="113" t="s">
        <v>5018</v>
      </c>
      <c r="B449" s="114" t="s">
        <v>431</v>
      </c>
      <c r="C449" s="112">
        <f>VLOOKUP("~"&amp;GroupVertices[[#This Row],[Vertex]], Vertices[], MATCH("ID", Vertices[#Headers], 0), FALSE)</f>
        <v>397</v>
      </c>
    </row>
    <row r="450" spans="1:3" x14ac:dyDescent="0.25">
      <c r="A450" s="113" t="s">
        <v>5019</v>
      </c>
      <c r="B450" s="114" t="s">
        <v>308</v>
      </c>
      <c r="C450" s="112">
        <f>VLOOKUP("~"&amp;GroupVertices[[#This Row],[Vertex]], Vertices[], MATCH("ID", Vertices[#Headers], 0), FALSE)</f>
        <v>218</v>
      </c>
    </row>
    <row r="451" spans="1:3" x14ac:dyDescent="0.25">
      <c r="A451" s="113" t="s">
        <v>5020</v>
      </c>
      <c r="B451" s="114" t="s">
        <v>309</v>
      </c>
      <c r="C451" s="112">
        <f>VLOOKUP("~"&amp;GroupVertices[[#This Row],[Vertex]], Vertices[], MATCH("ID", Vertices[#Headers], 0), FALSE)</f>
        <v>219</v>
      </c>
    </row>
    <row r="452" spans="1:3" x14ac:dyDescent="0.25">
      <c r="A452" s="113" t="s">
        <v>5021</v>
      </c>
      <c r="B452" s="114" t="s">
        <v>254</v>
      </c>
      <c r="C452" s="112">
        <f>VLOOKUP("~"&amp;GroupVertices[[#This Row],[Vertex]], Vertices[], MATCH("ID", Vertices[#Headers], 0), FALSE)</f>
        <v>125</v>
      </c>
    </row>
    <row r="453" spans="1:3" x14ac:dyDescent="0.25">
      <c r="A453" s="113" t="s">
        <v>5022</v>
      </c>
      <c r="B453" s="114" t="s">
        <v>365</v>
      </c>
      <c r="C453" s="112">
        <f>VLOOKUP("~"&amp;GroupVertices[[#This Row],[Vertex]], Vertices[], MATCH("ID", Vertices[#Headers], 0), FALSE)</f>
        <v>299</v>
      </c>
    </row>
    <row r="454" spans="1:3" x14ac:dyDescent="0.25">
      <c r="A454" s="113" t="s">
        <v>5023</v>
      </c>
      <c r="B454" s="114" t="s">
        <v>283</v>
      </c>
      <c r="C454" s="112">
        <f>VLOOKUP("~"&amp;GroupVertices[[#This Row],[Vertex]], Vertices[], MATCH("ID", Vertices[#Headers], 0), FALSE)</f>
        <v>168</v>
      </c>
    </row>
    <row r="455" spans="1:3" x14ac:dyDescent="0.25">
      <c r="A455" s="113" t="s">
        <v>5024</v>
      </c>
      <c r="B455" s="114" t="s">
        <v>294</v>
      </c>
      <c r="C455" s="112">
        <f>VLOOKUP("~"&amp;GroupVertices[[#This Row],[Vertex]], Vertices[], MATCH("ID", Vertices[#Headers], 0), FALSE)</f>
        <v>196</v>
      </c>
    </row>
    <row r="456" spans="1:3" x14ac:dyDescent="0.25">
      <c r="A456" s="113" t="s">
        <v>5025</v>
      </c>
      <c r="B456" s="114" t="s">
        <v>405</v>
      </c>
      <c r="C456" s="112">
        <f>VLOOKUP("~"&amp;GroupVertices[[#This Row],[Vertex]], Vertices[], MATCH("ID", Vertices[#Headers], 0), FALSE)</f>
        <v>370</v>
      </c>
    </row>
    <row r="457" spans="1:3" x14ac:dyDescent="0.25">
      <c r="A457" s="113" t="s">
        <v>5026</v>
      </c>
      <c r="B457" s="114" t="s">
        <v>348</v>
      </c>
      <c r="C457" s="112">
        <f>VLOOKUP("~"&amp;GroupVertices[[#This Row],[Vertex]], Vertices[], MATCH("ID", Vertices[#Headers], 0), FALSE)</f>
        <v>280</v>
      </c>
    </row>
    <row r="458" spans="1:3" x14ac:dyDescent="0.25">
      <c r="A458" s="113" t="s">
        <v>5027</v>
      </c>
      <c r="B458" s="114" t="s">
        <v>345</v>
      </c>
      <c r="C458" s="112">
        <f>VLOOKUP("~"&amp;GroupVertices[[#This Row],[Vertex]], Vertices[], MATCH("ID", Vertices[#Headers], 0), FALSE)</f>
        <v>277</v>
      </c>
    </row>
    <row r="459" spans="1:3" x14ac:dyDescent="0.25">
      <c r="A459" s="113" t="s">
        <v>5028</v>
      </c>
      <c r="B459" s="114" t="s">
        <v>251</v>
      </c>
      <c r="C459" s="112">
        <f>VLOOKUP("~"&amp;GroupVertices[[#This Row],[Vertex]], Vertices[], MATCH("ID", Vertices[#Headers], 0), FALSE)</f>
        <v>120</v>
      </c>
    </row>
    <row r="460" spans="1:3" x14ac:dyDescent="0.25">
      <c r="A460" s="113" t="s">
        <v>5029</v>
      </c>
      <c r="B460" s="114" t="s">
        <v>434</v>
      </c>
      <c r="C460" s="112">
        <f>VLOOKUP("~"&amp;GroupVertices[[#This Row],[Vertex]], Vertices[], MATCH("ID", Vertices[#Headers], 0), FALSE)</f>
        <v>401</v>
      </c>
    </row>
    <row r="461" spans="1:3" x14ac:dyDescent="0.25">
      <c r="A461" s="113" t="s">
        <v>5030</v>
      </c>
      <c r="B461" s="114" t="s">
        <v>256</v>
      </c>
      <c r="C461" s="112">
        <f>VLOOKUP("~"&amp;GroupVertices[[#This Row],[Vertex]], Vertices[], MATCH("ID", Vertices[#Headers], 0), FALSE)</f>
        <v>128</v>
      </c>
    </row>
    <row r="462" spans="1:3" x14ac:dyDescent="0.25">
      <c r="A462" s="113" t="s">
        <v>5031</v>
      </c>
      <c r="B462" s="114" t="s">
        <v>351</v>
      </c>
      <c r="C462" s="112">
        <f>VLOOKUP("~"&amp;GroupVertices[[#This Row],[Vertex]], Vertices[], MATCH("ID", Vertices[#Headers], 0), FALSE)</f>
        <v>284</v>
      </c>
    </row>
    <row r="463" spans="1:3" x14ac:dyDescent="0.25">
      <c r="A463" s="113" t="s">
        <v>5032</v>
      </c>
      <c r="B463" s="114" t="s">
        <v>402</v>
      </c>
      <c r="C463" s="112">
        <f>VLOOKUP("~"&amp;GroupVertices[[#This Row],[Vertex]], Vertices[], MATCH("ID", Vertices[#Headers], 0), FALSE)</f>
        <v>367</v>
      </c>
    </row>
    <row r="464" spans="1:3" x14ac:dyDescent="0.25">
      <c r="A464" s="113" t="s">
        <v>5033</v>
      </c>
      <c r="B464" s="114" t="s">
        <v>382</v>
      </c>
      <c r="C464" s="112">
        <f>VLOOKUP("~"&amp;GroupVertices[[#This Row],[Vertex]], Vertices[], MATCH("ID", Vertices[#Headers], 0), FALSE)</f>
        <v>324</v>
      </c>
    </row>
    <row r="465" spans="1:3" x14ac:dyDescent="0.25">
      <c r="A465" s="113" t="s">
        <v>5034</v>
      </c>
      <c r="B465" s="114" t="s">
        <v>326</v>
      </c>
      <c r="C465" s="112">
        <f>VLOOKUP("~"&amp;GroupVertices[[#This Row],[Vertex]], Vertices[], MATCH("ID", Vertices[#Headers], 0), FALSE)</f>
        <v>250</v>
      </c>
    </row>
    <row r="466" spans="1:3" x14ac:dyDescent="0.25">
      <c r="A466" s="113" t="s">
        <v>5035</v>
      </c>
      <c r="B466" s="114" t="s">
        <v>232</v>
      </c>
      <c r="C466" s="112">
        <f>VLOOKUP("~"&amp;GroupVertices[[#This Row],[Vertex]], Vertices[], MATCH("ID", Vertices[#Headers], 0), FALSE)</f>
        <v>86</v>
      </c>
    </row>
    <row r="467" spans="1:3" x14ac:dyDescent="0.25">
      <c r="A467" s="113" t="s">
        <v>5036</v>
      </c>
      <c r="B467" s="114" t="s">
        <v>427</v>
      </c>
      <c r="C467" s="112">
        <f>VLOOKUP("~"&amp;GroupVertices[[#This Row],[Vertex]], Vertices[], MATCH("ID", Vertices[#Headers], 0), FALSE)</f>
        <v>393</v>
      </c>
    </row>
    <row r="468" spans="1:3" x14ac:dyDescent="0.25">
      <c r="A468" s="113" t="s">
        <v>5037</v>
      </c>
      <c r="B468" s="114" t="s">
        <v>327</v>
      </c>
      <c r="C468" s="112">
        <f>VLOOKUP("~"&amp;GroupVertices[[#This Row],[Vertex]], Vertices[], MATCH("ID", Vertices[#Headers], 0), FALSE)</f>
        <v>251</v>
      </c>
    </row>
    <row r="469" spans="1:3" x14ac:dyDescent="0.25">
      <c r="A469" s="113" t="s">
        <v>5038</v>
      </c>
      <c r="B469" s="114" t="s">
        <v>342</v>
      </c>
      <c r="C469" s="112">
        <f>VLOOKUP("~"&amp;GroupVertices[[#This Row],[Vertex]], Vertices[], MATCH("ID", Vertices[#Headers], 0), FALSE)</f>
        <v>274</v>
      </c>
    </row>
    <row r="470" spans="1:3" x14ac:dyDescent="0.25">
      <c r="A470" s="113" t="s">
        <v>5039</v>
      </c>
      <c r="B470" s="114" t="s">
        <v>355</v>
      </c>
      <c r="C470" s="112">
        <f>VLOOKUP("~"&amp;GroupVertices[[#This Row],[Vertex]], Vertices[], MATCH("ID", Vertices[#Headers], 0), FALSE)</f>
        <v>289</v>
      </c>
    </row>
    <row r="471" spans="1:3" x14ac:dyDescent="0.25">
      <c r="A471" s="113" t="s">
        <v>5040</v>
      </c>
      <c r="B471" s="114" t="s">
        <v>312</v>
      </c>
      <c r="C471" s="112">
        <f>VLOOKUP("~"&amp;GroupVertices[[#This Row],[Vertex]], Vertices[], MATCH("ID", Vertices[#Headers], 0), FALSE)</f>
        <v>223</v>
      </c>
    </row>
    <row r="472" spans="1:3" x14ac:dyDescent="0.25">
      <c r="A472" s="113" t="s">
        <v>5041</v>
      </c>
      <c r="B472" s="114" t="s">
        <v>300</v>
      </c>
      <c r="C472" s="112">
        <f>VLOOKUP("~"&amp;GroupVertices[[#This Row],[Vertex]], Vertices[], MATCH("ID", Vertices[#Headers], 0), FALSE)</f>
        <v>203</v>
      </c>
    </row>
    <row r="473" spans="1:3" x14ac:dyDescent="0.25">
      <c r="A473" s="113" t="s">
        <v>5042</v>
      </c>
      <c r="B473" s="114" t="s">
        <v>277</v>
      </c>
      <c r="C473" s="112">
        <f>VLOOKUP("~"&amp;GroupVertices[[#This Row],[Vertex]], Vertices[], MATCH("ID", Vertices[#Headers], 0), FALSE)</f>
        <v>162</v>
      </c>
    </row>
    <row r="474" spans="1:3" x14ac:dyDescent="0.25">
      <c r="A474" s="113" t="s">
        <v>5043</v>
      </c>
      <c r="B474" s="114" t="s">
        <v>303</v>
      </c>
      <c r="C474" s="112">
        <f>VLOOKUP("~"&amp;GroupVertices[[#This Row],[Vertex]], Vertices[], MATCH("ID", Vertices[#Headers], 0), FALSE)</f>
        <v>208</v>
      </c>
    </row>
    <row r="475" spans="1:3" x14ac:dyDescent="0.25">
      <c r="A475" s="113" t="s">
        <v>5044</v>
      </c>
      <c r="B475" s="114" t="s">
        <v>366</v>
      </c>
      <c r="C475" s="112">
        <f>VLOOKUP("~"&amp;GroupVertices[[#This Row],[Vertex]], Vertices[], MATCH("ID", Vertices[#Headers], 0), FALSE)</f>
        <v>300</v>
      </c>
    </row>
    <row r="476" spans="1:3" x14ac:dyDescent="0.25">
      <c r="A476" s="113" t="s">
        <v>5045</v>
      </c>
      <c r="B476" s="114" t="s">
        <v>358</v>
      </c>
      <c r="C476" s="112">
        <f>VLOOKUP("~"&amp;GroupVertices[[#This Row],[Vertex]], Vertices[], MATCH("ID", Vertices[#Headers], 0), FALSE)</f>
        <v>294</v>
      </c>
    </row>
    <row r="477" spans="1:3" x14ac:dyDescent="0.25">
      <c r="A477" s="113" t="s">
        <v>5046</v>
      </c>
      <c r="B477" s="114" t="s">
        <v>415</v>
      </c>
      <c r="C477" s="112">
        <f>VLOOKUP("~"&amp;GroupVertices[[#This Row],[Vertex]], Vertices[], MATCH("ID", Vertices[#Headers], 0), FALSE)</f>
        <v>382</v>
      </c>
    </row>
    <row r="478" spans="1:3" x14ac:dyDescent="0.25">
      <c r="A478" s="113" t="s">
        <v>5047</v>
      </c>
      <c r="B478" s="114" t="s">
        <v>476</v>
      </c>
      <c r="C478" s="112">
        <f>VLOOKUP("~"&amp;GroupVertices[[#This Row],[Vertex]], Vertices[], MATCH("ID", Vertices[#Headers], 0), FALSE)</f>
        <v>449</v>
      </c>
    </row>
    <row r="479" spans="1:3" x14ac:dyDescent="0.25">
      <c r="A479" s="113" t="s">
        <v>5048</v>
      </c>
      <c r="B479" s="114" t="s">
        <v>281</v>
      </c>
      <c r="C479" s="112">
        <f>VLOOKUP("~"&amp;GroupVertices[[#This Row],[Vertex]], Vertices[], MATCH("ID", Vertices[#Headers], 0), FALSE)</f>
        <v>166</v>
      </c>
    </row>
  </sheetData>
  <dataConsolidate/>
  <dataValidations xWindow="58" yWindow="226" count="3">
    <dataValidation allowBlank="1" showInputMessage="1" showErrorMessage="1" promptTitle="Group Name" prompt="Enter the name of the group.  The group name must also be entered on the Groups worksheet." sqref="A2:A479" xr:uid="{00000000-0002-0000-0400-000000000000}"/>
    <dataValidation allowBlank="1" showInputMessage="1" showErrorMessage="1" promptTitle="Vertex Name" prompt="Enter the name of a vertex to include in the group." sqref="B2:B479" xr:uid="{00000000-0002-0000-0400-000001000000}"/>
    <dataValidation allowBlank="1" showInputMessage="1" promptTitle="Vertex ID" prompt="This is the value of the hidden ID cell in the Vertices worksheet.  It gets filled in by the items on the NodeXL, Analysis, Groups menu." sqref="C2:C479" xr:uid="{00000000-0002-0000-0400-000002000000}"/>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175"/>
  <sheetViews>
    <sheetView workbookViewId="0">
      <selection activeCell="B11" sqref="B11"/>
    </sheetView>
  </sheetViews>
  <sheetFormatPr baseColWidth="10" defaultColWidth="9.140625"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7" t="s">
        <v>161</v>
      </c>
      <c r="B1" s="7" t="s">
        <v>17</v>
      </c>
      <c r="D1" t="s">
        <v>79</v>
      </c>
      <c r="E1" t="s">
        <v>80</v>
      </c>
      <c r="F1" s="32" t="s">
        <v>86</v>
      </c>
      <c r="G1" s="33" t="s">
        <v>87</v>
      </c>
      <c r="H1" s="32" t="s">
        <v>92</v>
      </c>
      <c r="I1" s="33" t="s">
        <v>93</v>
      </c>
      <c r="J1" s="32" t="s">
        <v>98</v>
      </c>
      <c r="K1" s="33" t="s">
        <v>99</v>
      </c>
      <c r="L1" s="32" t="s">
        <v>104</v>
      </c>
      <c r="M1" s="33" t="s">
        <v>105</v>
      </c>
      <c r="N1" s="32" t="s">
        <v>110</v>
      </c>
      <c r="O1" s="33" t="s">
        <v>111</v>
      </c>
      <c r="P1" s="33" t="s">
        <v>137</v>
      </c>
      <c r="Q1" s="33" t="s">
        <v>138</v>
      </c>
      <c r="R1" s="32" t="s">
        <v>116</v>
      </c>
      <c r="S1" s="32" t="s">
        <v>117</v>
      </c>
      <c r="T1" s="32" t="s">
        <v>122</v>
      </c>
      <c r="U1" s="33" t="s">
        <v>123</v>
      </c>
      <c r="W1" t="s">
        <v>127</v>
      </c>
      <c r="X1" t="s">
        <v>17</v>
      </c>
    </row>
    <row r="2" spans="1:24" ht="15.75" thickTop="1" x14ac:dyDescent="0.25">
      <c r="A2" s="31" t="s">
        <v>4806</v>
      </c>
      <c r="B2" s="31" t="s">
        <v>4805</v>
      </c>
      <c r="D2" s="29">
        <f>MIN(Vertices[Degree])</f>
        <v>0</v>
      </c>
      <c r="E2">
        <f>COUNTIF(Vertices[Degree], "&gt;= " &amp; D2) - COUNTIF(Vertices[Degree], "&gt;=" &amp; D3)</f>
        <v>0</v>
      </c>
      <c r="F2" s="34">
        <f>MIN(Vertices[,,,,])</f>
        <v>0</v>
      </c>
      <c r="G2" s="35">
        <f>COUNTIF(Vertices[,,,,], "&gt;= " &amp; F2) - COUNTIF(Vertices[,,,,], "&gt;=" &amp; F3)</f>
        <v>150</v>
      </c>
      <c r="H2" s="34">
        <f>MIN(Vertices[Out-Degree])</f>
        <v>0</v>
      </c>
      <c r="I2" s="35">
        <f>COUNTIF(Vertices[Out-Degree], "&gt;= " &amp; H2) - COUNTIF(Vertices[Out-Degree], "&gt;=" &amp; H3)</f>
        <v>196</v>
      </c>
      <c r="J2" s="34">
        <f>MIN(Vertices[Betweenness Centrality])</f>
        <v>0</v>
      </c>
      <c r="K2" s="35">
        <f>COUNTIF(Vertices[Betweenness Centrality], "&gt;= " &amp; J2) - COUNTIF(Vertices[Betweenness Centrality], "&gt;=" &amp; J3)</f>
        <v>464</v>
      </c>
      <c r="L2" s="34">
        <f>MIN(Vertices[Closeness Centrality])</f>
        <v>0</v>
      </c>
      <c r="M2" s="35">
        <f>COUNTIF(Vertices[Closeness Centrality], "&gt;= " &amp; L2) - COUNTIF(Vertices[Closeness Centrality], "&gt;=" &amp; L3)</f>
        <v>103</v>
      </c>
      <c r="N2" s="34">
        <f>MIN(Vertices[Eigenvector Centrality])</f>
        <v>0</v>
      </c>
      <c r="O2" s="35">
        <f>COUNTIF(Vertices[Eigenvector Centrality], "&gt;= " &amp; N2) - COUNTIF(Vertices[Eigenvector Centrality], "&gt;=" &amp; N3)</f>
        <v>0</v>
      </c>
      <c r="P2" s="34">
        <f>MIN(Vertices[PageRank])</f>
        <v>0</v>
      </c>
      <c r="Q2" s="35">
        <f>COUNTIF(Vertices[PageRank], "&gt;= " &amp; P2) - COUNTIF(Vertices[PageRank], "&gt;=" &amp; P3)</f>
        <v>0</v>
      </c>
      <c r="R2" s="34">
        <f>MIN(Vertices[Clustering Coefficient])</f>
        <v>0</v>
      </c>
      <c r="S2" s="40">
        <f>COUNTIF(Vertices[Clustering Coefficient], "&gt;= " &amp; R2) - COUNTIF(Vertices[Clustering Coefficient], "&gt;=" &amp; R3)</f>
        <v>0</v>
      </c>
      <c r="T2" s="34">
        <f ca="1">MIN(INDIRECT(DynamicFilterSourceColumnRange))</f>
        <v>39168.447280092594</v>
      </c>
      <c r="U2" s="35">
        <f t="shared" ref="U2:U25" ca="1" si="0">COUNTIF(INDIRECT(DynamicFilterSourceColumnRange), "&gt;= " &amp; T2) - COUNTIF(INDIRECT(DynamicFilterSourceColumnRange), "&gt;=" &amp; T3)</f>
        <v>5</v>
      </c>
      <c r="W2" t="s">
        <v>124</v>
      </c>
      <c r="X2">
        <f>ROWS(HistogramBins[Degree Bin]) - 1</f>
        <v>34</v>
      </c>
    </row>
    <row r="3" spans="1:24" x14ac:dyDescent="0.25">
      <c r="A3" s="99"/>
      <c r="B3" s="99"/>
      <c r="D3" s="29">
        <f t="shared" ref="D3:D35" si="1">D2+($D$36-$D$2)/BinDivisor</f>
        <v>0</v>
      </c>
      <c r="E3">
        <f>COUNTIF(Vertices[Degree], "&gt;= " &amp; D3) - COUNTIF(Vertices[Degree], "&gt;=" &amp; D4)</f>
        <v>0</v>
      </c>
      <c r="F3" s="36">
        <f t="shared" ref="F3:F35" si="2">F2+($F$36-$F$2)/BinDivisor</f>
        <v>0.3235294117647059</v>
      </c>
      <c r="G3" s="37">
        <f>COUNTIF(Vertices[,,,,], "&gt;= " &amp; F3) - COUNTIF(Vertices[,,,,], "&gt;=" &amp; F4)</f>
        <v>0</v>
      </c>
      <c r="H3" s="36">
        <f t="shared" ref="H3:H35" si="3">H2+($H$36-$H$2)/BinDivisor</f>
        <v>0.41176470588235292</v>
      </c>
      <c r="I3" s="37">
        <f>COUNTIF(Vertices[Out-Degree], "&gt;= " &amp; H3) - COUNTIF(Vertices[Out-Degree], "&gt;=" &amp; H4)</f>
        <v>0</v>
      </c>
      <c r="J3" s="36">
        <f t="shared" ref="J3:J35" si="4">J2+($J$36-$J$2)/BinDivisor</f>
        <v>19.852941176470587</v>
      </c>
      <c r="K3" s="37">
        <f>COUNTIF(Vertices[Betweenness Centrality], "&gt;= " &amp; J3) - COUNTIF(Vertices[Betweenness Centrality], "&gt;=" &amp; J4)</f>
        <v>4</v>
      </c>
      <c r="L3" s="36">
        <f t="shared" ref="L3:L35" si="5">L2+($L$36-$L$2)/BinDivisor</f>
        <v>1.1098823529411765E-3</v>
      </c>
      <c r="M3" s="37">
        <f>COUNTIF(Vertices[Closeness Centrality], "&gt;= " &amp; L3) - COUNTIF(Vertices[Closeness Centrality], "&gt;=" &amp; L4)</f>
        <v>146</v>
      </c>
      <c r="N3" s="36">
        <f t="shared" ref="N3:N35" si="6">N2+($N$36-$N$2)/BinDivisor</f>
        <v>0</v>
      </c>
      <c r="O3" s="37">
        <f>COUNTIF(Vertices[Eigenvector Centrality], "&gt;= " &amp; N3) - COUNTIF(Vertices[Eigenvector Centrality], "&gt;=" &amp; N4)</f>
        <v>0</v>
      </c>
      <c r="P3" s="36">
        <f t="shared" ref="P3:P35" si="7">P2+($P$36-$P$2)/BinDivisor</f>
        <v>0</v>
      </c>
      <c r="Q3" s="37">
        <f>COUNTIF(Vertices[PageRank], "&gt;= " &amp; P3) - COUNTIF(Vertices[PageRank], "&gt;=" &amp; P4)</f>
        <v>0</v>
      </c>
      <c r="R3" s="36">
        <f t="shared" ref="R3:R35" si="8">R2+($R$36-$R$2)/BinDivisor</f>
        <v>0</v>
      </c>
      <c r="S3" s="41">
        <f>COUNTIF(Vertices[Clustering Coefficient], "&gt;= " &amp; R3) - COUNTIF(Vertices[Clustering Coefficient], "&gt;=" &amp; R4)</f>
        <v>0</v>
      </c>
      <c r="T3" s="36">
        <f t="shared" ref="T3:T35" ca="1" si="9">T2+($T$36-$T$2)/BinDivisor</f>
        <v>39354.830384667759</v>
      </c>
      <c r="U3" s="37">
        <f t="shared" ca="1" si="0"/>
        <v>2</v>
      </c>
      <c r="W3" t="s">
        <v>125</v>
      </c>
      <c r="X3" t="s">
        <v>85</v>
      </c>
    </row>
    <row r="4" spans="1:24" x14ac:dyDescent="0.25">
      <c r="A4" s="31" t="s">
        <v>145</v>
      </c>
      <c r="B4" s="31">
        <v>482</v>
      </c>
      <c r="D4" s="29">
        <f t="shared" si="1"/>
        <v>0</v>
      </c>
      <c r="E4">
        <f>COUNTIF(Vertices[Degree], "&gt;= " &amp; D4) - COUNTIF(Vertices[Degree], "&gt;=" &amp; D5)</f>
        <v>0</v>
      </c>
      <c r="F4" s="34">
        <f t="shared" si="2"/>
        <v>0.6470588235294118</v>
      </c>
      <c r="G4" s="35">
        <f>COUNTIF(Vertices[,,,,], "&gt;= " &amp; F4) - COUNTIF(Vertices[,,,,], "&gt;=" &amp; F5)</f>
        <v>0</v>
      </c>
      <c r="H4" s="34">
        <f t="shared" si="3"/>
        <v>0.82352941176470584</v>
      </c>
      <c r="I4" s="35">
        <f>COUNTIF(Vertices[Out-Degree], "&gt;= " &amp; H4) - COUNTIF(Vertices[Out-Degree], "&gt;=" &amp; H5)</f>
        <v>225</v>
      </c>
      <c r="J4" s="34">
        <f t="shared" si="4"/>
        <v>39.705882352941174</v>
      </c>
      <c r="K4" s="35">
        <f>COUNTIF(Vertices[Betweenness Centrality], "&gt;= " &amp; J4) - COUNTIF(Vertices[Betweenness Centrality], "&gt;=" &amp; J5)</f>
        <v>5</v>
      </c>
      <c r="L4" s="34">
        <f t="shared" si="5"/>
        <v>2.2197647058823529E-3</v>
      </c>
      <c r="M4" s="35">
        <f>COUNTIF(Vertices[Closeness Centrality], "&gt;= " &amp; L4) - COUNTIF(Vertices[Closeness Centrality], "&gt;=" &amp; L5)</f>
        <v>26</v>
      </c>
      <c r="N4" s="34">
        <f t="shared" si="6"/>
        <v>0</v>
      </c>
      <c r="O4" s="35">
        <f>COUNTIF(Vertices[Eigenvector Centrality], "&gt;= " &amp; N4) - COUNTIF(Vertices[Eigenvector Centrality], "&gt;=" &amp; N5)</f>
        <v>0</v>
      </c>
      <c r="P4" s="34">
        <f t="shared" si="7"/>
        <v>0</v>
      </c>
      <c r="Q4" s="35">
        <f>COUNTIF(Vertices[PageRank], "&gt;= " &amp; P4) - COUNTIF(Vertices[PageRank], "&gt;=" &amp; P5)</f>
        <v>0</v>
      </c>
      <c r="R4" s="34">
        <f t="shared" si="8"/>
        <v>0</v>
      </c>
      <c r="S4" s="40">
        <f>COUNTIF(Vertices[Clustering Coefficient], "&gt;= " &amp; R4) - COUNTIF(Vertices[Clustering Coefficient], "&gt;=" &amp; R5)</f>
        <v>0</v>
      </c>
      <c r="T4" s="34">
        <f t="shared" ca="1" si="9"/>
        <v>39541.213489242924</v>
      </c>
      <c r="U4" s="35">
        <f t="shared" ca="1" si="0"/>
        <v>3</v>
      </c>
      <c r="W4" t="s">
        <v>126</v>
      </c>
      <c r="X4" t="s">
        <v>5078</v>
      </c>
    </row>
    <row r="5" spans="1:24" x14ac:dyDescent="0.25">
      <c r="A5" s="99"/>
      <c r="B5" s="99"/>
      <c r="D5" s="29">
        <f t="shared" si="1"/>
        <v>0</v>
      </c>
      <c r="E5">
        <f>COUNTIF(Vertices[Degree], "&gt;= " &amp; D5) - COUNTIF(Vertices[Degree], "&gt;=" &amp; D6)</f>
        <v>0</v>
      </c>
      <c r="F5" s="36">
        <f t="shared" si="2"/>
        <v>0.97058823529411775</v>
      </c>
      <c r="G5" s="37">
        <f>COUNTIF(Vertices[,,,,], "&gt;= " &amp; F5) - COUNTIF(Vertices[,,,,], "&gt;=" &amp; F6)</f>
        <v>290</v>
      </c>
      <c r="H5" s="36">
        <f t="shared" si="3"/>
        <v>1.2352941176470589</v>
      </c>
      <c r="I5" s="37">
        <f>COUNTIF(Vertices[Out-Degree], "&gt;= " &amp; H5) - COUNTIF(Vertices[Out-Degree], "&gt;=" &amp; H6)</f>
        <v>0</v>
      </c>
      <c r="J5" s="36">
        <f t="shared" si="4"/>
        <v>59.558823529411761</v>
      </c>
      <c r="K5" s="37">
        <f>COUNTIF(Vertices[Betweenness Centrality], "&gt;= " &amp; J5) - COUNTIF(Vertices[Betweenness Centrality], "&gt;=" &amp; J6)</f>
        <v>1</v>
      </c>
      <c r="L5" s="36">
        <f t="shared" si="5"/>
        <v>3.3296470588235292E-3</v>
      </c>
      <c r="M5" s="37">
        <f>COUNTIF(Vertices[Closeness Centrality], "&gt;= " &amp; L5) - COUNTIF(Vertices[Closeness Centrality], "&gt;=" &amp; L6)</f>
        <v>39</v>
      </c>
      <c r="N5" s="36">
        <f t="shared" si="6"/>
        <v>0</v>
      </c>
      <c r="O5" s="37">
        <f>COUNTIF(Vertices[Eigenvector Centrality], "&gt;= " &amp; N5) - COUNTIF(Vertices[Eigenvector Centrality], "&gt;=" &amp; N6)</f>
        <v>0</v>
      </c>
      <c r="P5" s="36">
        <f t="shared" si="7"/>
        <v>0</v>
      </c>
      <c r="Q5" s="37">
        <f>COUNTIF(Vertices[PageRank], "&gt;= " &amp; P5) - COUNTIF(Vertices[PageRank], "&gt;=" &amp; P6)</f>
        <v>0</v>
      </c>
      <c r="R5" s="36">
        <f t="shared" si="8"/>
        <v>0</v>
      </c>
      <c r="S5" s="41">
        <f>COUNTIF(Vertices[Clustering Coefficient], "&gt;= " &amp; R5) - COUNTIF(Vertices[Clustering Coefficient], "&gt;=" &amp; R6)</f>
        <v>0</v>
      </c>
      <c r="T5" s="36">
        <f t="shared" ca="1" si="9"/>
        <v>39727.596593818089</v>
      </c>
      <c r="U5" s="37">
        <f t="shared" ca="1" si="0"/>
        <v>14</v>
      </c>
    </row>
    <row r="6" spans="1:24" x14ac:dyDescent="0.25">
      <c r="A6" s="31" t="s">
        <v>147</v>
      </c>
      <c r="B6" s="31">
        <v>391</v>
      </c>
      <c r="D6" s="29">
        <f t="shared" si="1"/>
        <v>0</v>
      </c>
      <c r="E6">
        <f>COUNTIF(Vertices[Degree], "&gt;= " &amp; D6) - COUNTIF(Vertices[Degree], "&gt;=" &amp; D7)</f>
        <v>0</v>
      </c>
      <c r="F6" s="34">
        <f t="shared" si="2"/>
        <v>1.2941176470588236</v>
      </c>
      <c r="G6" s="35">
        <f>COUNTIF(Vertices[,,,,], "&gt;= " &amp; F6) - COUNTIF(Vertices[,,,,], "&gt;=" &amp; F7)</f>
        <v>0</v>
      </c>
      <c r="H6" s="34">
        <f t="shared" si="3"/>
        <v>1.6470588235294117</v>
      </c>
      <c r="I6" s="35">
        <f>COUNTIF(Vertices[Out-Degree], "&gt;= " &amp; H6) - COUNTIF(Vertices[Out-Degree], "&gt;=" &amp; H7)</f>
        <v>35</v>
      </c>
      <c r="J6" s="34">
        <f t="shared" si="4"/>
        <v>79.411764705882348</v>
      </c>
      <c r="K6" s="35">
        <f>COUNTIF(Vertices[Betweenness Centrality], "&gt;= " &amp; J6) - COUNTIF(Vertices[Betweenness Centrality], "&gt;=" &amp; J7)</f>
        <v>1</v>
      </c>
      <c r="L6" s="34">
        <f t="shared" si="5"/>
        <v>4.4395294117647059E-3</v>
      </c>
      <c r="M6" s="35">
        <f>COUNTIF(Vertices[Closeness Centrality], "&gt;= " &amp; L6) - COUNTIF(Vertices[Closeness Centrality], "&gt;=" &amp; L7)</f>
        <v>29</v>
      </c>
      <c r="N6" s="34">
        <f t="shared" si="6"/>
        <v>0</v>
      </c>
      <c r="O6" s="35">
        <f>COUNTIF(Vertices[Eigenvector Centrality], "&gt;= " &amp; N6) - COUNTIF(Vertices[Eigenvector Centrality], "&gt;=" &amp; N7)</f>
        <v>0</v>
      </c>
      <c r="P6" s="34">
        <f t="shared" si="7"/>
        <v>0</v>
      </c>
      <c r="Q6" s="35">
        <f>COUNTIF(Vertices[PageRank], "&gt;= " &amp; P6) - COUNTIF(Vertices[PageRank], "&gt;=" &amp; P7)</f>
        <v>0</v>
      </c>
      <c r="R6" s="34">
        <f t="shared" si="8"/>
        <v>0</v>
      </c>
      <c r="S6" s="40">
        <f>COUNTIF(Vertices[Clustering Coefficient], "&gt;= " &amp; R6) - COUNTIF(Vertices[Clustering Coefficient], "&gt;=" &amp; R7)</f>
        <v>0</v>
      </c>
      <c r="T6" s="34">
        <f t="shared" ca="1" si="9"/>
        <v>39913.979698393254</v>
      </c>
      <c r="U6" s="35">
        <f t="shared" ca="1" si="0"/>
        <v>35</v>
      </c>
    </row>
    <row r="7" spans="1:24" x14ac:dyDescent="0.25">
      <c r="A7" s="31" t="s">
        <v>148</v>
      </c>
      <c r="B7" s="31">
        <v>107</v>
      </c>
      <c r="D7" s="29">
        <f t="shared" si="1"/>
        <v>0</v>
      </c>
      <c r="E7">
        <f>COUNTIF(Vertices[Degree], "&gt;= " &amp; D7) - COUNTIF(Vertices[Degree], "&gt;=" &amp; D8)</f>
        <v>0</v>
      </c>
      <c r="F7" s="36">
        <f t="shared" si="2"/>
        <v>1.6176470588235294</v>
      </c>
      <c r="G7" s="37">
        <f>COUNTIF(Vertices[,,,,], "&gt;= " &amp; F7) - COUNTIF(Vertices[,,,,], "&gt;=" &amp; F8)</f>
        <v>0</v>
      </c>
      <c r="H7" s="36">
        <f t="shared" si="3"/>
        <v>2.0588235294117645</v>
      </c>
      <c r="I7" s="37">
        <f>COUNTIF(Vertices[Out-Degree], "&gt;= " &amp; H7) - COUNTIF(Vertices[Out-Degree], "&gt;=" &amp; H8)</f>
        <v>0</v>
      </c>
      <c r="J7" s="36">
        <f t="shared" si="4"/>
        <v>99.264705882352928</v>
      </c>
      <c r="K7" s="37">
        <f>COUNTIF(Vertices[Betweenness Centrality], "&gt;= " &amp; J7) - COUNTIF(Vertices[Betweenness Centrality], "&gt;=" &amp; J8)</f>
        <v>1</v>
      </c>
      <c r="L7" s="36">
        <f t="shared" si="5"/>
        <v>5.5494117647058826E-3</v>
      </c>
      <c r="M7" s="37">
        <f>COUNTIF(Vertices[Closeness Centrality], "&gt;= " &amp; L7) - COUNTIF(Vertices[Closeness Centrality], "&gt;=" &amp; L8)</f>
        <v>18</v>
      </c>
      <c r="N7" s="36">
        <f t="shared" si="6"/>
        <v>0</v>
      </c>
      <c r="O7" s="37">
        <f>COUNTIF(Vertices[Eigenvector Centrality], "&gt;= " &amp; N7) - COUNTIF(Vertices[Eigenvector Centrality], "&gt;=" &amp; N8)</f>
        <v>0</v>
      </c>
      <c r="P7" s="36">
        <f t="shared" si="7"/>
        <v>0</v>
      </c>
      <c r="Q7" s="37">
        <f>COUNTIF(Vertices[PageRank], "&gt;= " &amp; P7) - COUNTIF(Vertices[PageRank], "&gt;=" &amp; P8)</f>
        <v>0</v>
      </c>
      <c r="R7" s="36">
        <f t="shared" si="8"/>
        <v>0</v>
      </c>
      <c r="S7" s="41">
        <f>COUNTIF(Vertices[Clustering Coefficient], "&gt;= " &amp; R7) - COUNTIF(Vertices[Clustering Coefficient], "&gt;=" &amp; R8)</f>
        <v>0</v>
      </c>
      <c r="T7" s="36">
        <f t="shared" ca="1" si="9"/>
        <v>40100.362802968419</v>
      </c>
      <c r="U7" s="37">
        <f t="shared" ca="1" si="0"/>
        <v>28</v>
      </c>
    </row>
    <row r="8" spans="1:24" x14ac:dyDescent="0.25">
      <c r="A8" s="31" t="s">
        <v>149</v>
      </c>
      <c r="B8" s="31">
        <v>498</v>
      </c>
      <c r="D8" s="29">
        <f t="shared" si="1"/>
        <v>0</v>
      </c>
      <c r="E8">
        <f>COUNTIF(Vertices[Degree], "&gt;= " &amp; D8) - COUNTIF(Vertices[Degree], "&gt;=" &amp; D9)</f>
        <v>0</v>
      </c>
      <c r="F8" s="34">
        <f t="shared" si="2"/>
        <v>1.9411764705882353</v>
      </c>
      <c r="G8" s="35">
        <f>COUNTIF(Vertices[,,,,], "&gt;= " &amp; F8) - COUNTIF(Vertices[,,,,], "&gt;=" &amp; F9)</f>
        <v>29</v>
      </c>
      <c r="H8" s="34">
        <f t="shared" si="3"/>
        <v>2.4705882352941173</v>
      </c>
      <c r="I8" s="35">
        <f>COUNTIF(Vertices[Out-Degree], "&gt;= " &amp; H8) - COUNTIF(Vertices[Out-Degree], "&gt;=" &amp; H9)</f>
        <v>0</v>
      </c>
      <c r="J8" s="34">
        <f t="shared" si="4"/>
        <v>119.11764705882351</v>
      </c>
      <c r="K8" s="35">
        <f>COUNTIF(Vertices[Betweenness Centrality], "&gt;= " &amp; J8) - COUNTIF(Vertices[Betweenness Centrality], "&gt;=" &amp; J9)</f>
        <v>1</v>
      </c>
      <c r="L8" s="34">
        <f t="shared" si="5"/>
        <v>6.6592941176470593E-3</v>
      </c>
      <c r="M8" s="35">
        <f>COUNTIF(Vertices[Closeness Centrality], "&gt;= " &amp; L8) - COUNTIF(Vertices[Closeness Centrality], "&gt;=" &amp; L9)</f>
        <v>8</v>
      </c>
      <c r="N8" s="34">
        <f t="shared" si="6"/>
        <v>0</v>
      </c>
      <c r="O8" s="35">
        <f>COUNTIF(Vertices[Eigenvector Centrality], "&gt;= " &amp; N8) - COUNTIF(Vertices[Eigenvector Centrality], "&gt;=" &amp; N9)</f>
        <v>0</v>
      </c>
      <c r="P8" s="34">
        <f t="shared" si="7"/>
        <v>0</v>
      </c>
      <c r="Q8" s="35">
        <f>COUNTIF(Vertices[PageRank], "&gt;= " &amp; P8) - COUNTIF(Vertices[PageRank], "&gt;=" &amp; P9)</f>
        <v>0</v>
      </c>
      <c r="R8" s="34">
        <f t="shared" si="8"/>
        <v>0</v>
      </c>
      <c r="S8" s="40">
        <f>COUNTIF(Vertices[Clustering Coefficient], "&gt;= " &amp; R8) - COUNTIF(Vertices[Clustering Coefficient], "&gt;=" &amp; R9)</f>
        <v>0</v>
      </c>
      <c r="T8" s="34">
        <f t="shared" ca="1" si="9"/>
        <v>40286.745907543584</v>
      </c>
      <c r="U8" s="35">
        <f t="shared" ca="1" si="0"/>
        <v>35</v>
      </c>
    </row>
    <row r="9" spans="1:24" x14ac:dyDescent="0.25">
      <c r="A9" s="99"/>
      <c r="B9" s="99"/>
      <c r="D9" s="29">
        <f t="shared" si="1"/>
        <v>0</v>
      </c>
      <c r="E9">
        <f>COUNTIF(Vertices[Degree], "&gt;= " &amp; D9) - COUNTIF(Vertices[Degree], "&gt;=" &amp; D10)</f>
        <v>0</v>
      </c>
      <c r="F9" s="36">
        <f t="shared" si="2"/>
        <v>2.2647058823529411</v>
      </c>
      <c r="G9" s="37">
        <f>COUNTIF(Vertices[,,,,], "&gt;= " &amp; F9) - COUNTIF(Vertices[,,,,], "&gt;=" &amp; F10)</f>
        <v>0</v>
      </c>
      <c r="H9" s="36">
        <f t="shared" si="3"/>
        <v>2.8823529411764701</v>
      </c>
      <c r="I9" s="37">
        <f>COUNTIF(Vertices[Out-Degree], "&gt;= " &amp; H9) - COUNTIF(Vertices[Out-Degree], "&gt;=" &amp; H10)</f>
        <v>12</v>
      </c>
      <c r="J9" s="36">
        <f t="shared" si="4"/>
        <v>138.97058823529409</v>
      </c>
      <c r="K9" s="37">
        <f>COUNTIF(Vertices[Betweenness Centrality], "&gt;= " &amp; J9) - COUNTIF(Vertices[Betweenness Centrality], "&gt;=" &amp; J10)</f>
        <v>0</v>
      </c>
      <c r="L9" s="36">
        <f t="shared" si="5"/>
        <v>7.7691764705882359E-3</v>
      </c>
      <c r="M9" s="37">
        <f>COUNTIF(Vertices[Closeness Centrality], "&gt;= " &amp; L9) - COUNTIF(Vertices[Closeness Centrality], "&gt;=" &amp; L10)</f>
        <v>8</v>
      </c>
      <c r="N9" s="36">
        <f t="shared" si="6"/>
        <v>0</v>
      </c>
      <c r="O9" s="37">
        <f>COUNTIF(Vertices[Eigenvector Centrality], "&gt;= " &amp; N9) - COUNTIF(Vertices[Eigenvector Centrality], "&gt;=" &amp; N10)</f>
        <v>0</v>
      </c>
      <c r="P9" s="36">
        <f t="shared" si="7"/>
        <v>0</v>
      </c>
      <c r="Q9" s="37">
        <f>COUNTIF(Vertices[PageRank], "&gt;= " &amp; P9) - COUNTIF(Vertices[PageRank], "&gt;=" &amp; P10)</f>
        <v>0</v>
      </c>
      <c r="R9" s="36">
        <f t="shared" si="8"/>
        <v>0</v>
      </c>
      <c r="S9" s="41">
        <f>COUNTIF(Vertices[Clustering Coefficient], "&gt;= " &amp; R9) - COUNTIF(Vertices[Clustering Coefficient], "&gt;=" &amp; R10)</f>
        <v>0</v>
      </c>
      <c r="T9" s="36">
        <f t="shared" ca="1" si="9"/>
        <v>40473.129012118749</v>
      </c>
      <c r="U9" s="37">
        <f t="shared" ca="1" si="0"/>
        <v>29</v>
      </c>
    </row>
    <row r="10" spans="1:24" x14ac:dyDescent="0.25">
      <c r="A10" s="31" t="s">
        <v>150</v>
      </c>
      <c r="B10" s="31">
        <v>194</v>
      </c>
      <c r="D10" s="29">
        <f t="shared" si="1"/>
        <v>0</v>
      </c>
      <c r="E10">
        <f>COUNTIF(Vertices[Degree], "&gt;= " &amp; D10) - COUNTIF(Vertices[Degree], "&gt;=" &amp; D11)</f>
        <v>0</v>
      </c>
      <c r="F10" s="34">
        <f t="shared" si="2"/>
        <v>2.5882352941176472</v>
      </c>
      <c r="G10" s="35">
        <f>COUNTIF(Vertices[,,,,], "&gt;= " &amp; F10) - COUNTIF(Vertices[,,,,], "&gt;=" &amp; F11)</f>
        <v>0</v>
      </c>
      <c r="H10" s="34">
        <f t="shared" si="3"/>
        <v>3.2941176470588229</v>
      </c>
      <c r="I10" s="35">
        <f>COUNTIF(Vertices[Out-Degree], "&gt;= " &amp; H10) - COUNTIF(Vertices[Out-Degree], "&gt;=" &amp; H11)</f>
        <v>0</v>
      </c>
      <c r="J10" s="34">
        <f t="shared" si="4"/>
        <v>158.82352941176467</v>
      </c>
      <c r="K10" s="35">
        <f>COUNTIF(Vertices[Betweenness Centrality], "&gt;= " &amp; J10) - COUNTIF(Vertices[Betweenness Centrality], "&gt;=" &amp; J11)</f>
        <v>1</v>
      </c>
      <c r="L10" s="34">
        <f t="shared" si="5"/>
        <v>8.8790588235294118E-3</v>
      </c>
      <c r="M10" s="35">
        <f>COUNTIF(Vertices[Closeness Centrality], "&gt;= " &amp; L10) - COUNTIF(Vertices[Closeness Centrality], "&gt;=" &amp; L11)</f>
        <v>18</v>
      </c>
      <c r="N10" s="34">
        <f t="shared" si="6"/>
        <v>0</v>
      </c>
      <c r="O10" s="35">
        <f>COUNTIF(Vertices[Eigenvector Centrality], "&gt;= " &amp; N10) - COUNTIF(Vertices[Eigenvector Centrality], "&gt;=" &amp; N11)</f>
        <v>0</v>
      </c>
      <c r="P10" s="34">
        <f t="shared" si="7"/>
        <v>0</v>
      </c>
      <c r="Q10" s="35">
        <f>COUNTIF(Vertices[PageRank], "&gt;= " &amp; P10) - COUNTIF(Vertices[PageRank], "&gt;=" &amp; P11)</f>
        <v>0</v>
      </c>
      <c r="R10" s="34">
        <f t="shared" si="8"/>
        <v>0</v>
      </c>
      <c r="S10" s="40">
        <f>COUNTIF(Vertices[Clustering Coefficient], "&gt;= " &amp; R10) - COUNTIF(Vertices[Clustering Coefficient], "&gt;=" &amp; R11)</f>
        <v>0</v>
      </c>
      <c r="T10" s="34">
        <f t="shared" ca="1" si="9"/>
        <v>40659.512116693913</v>
      </c>
      <c r="U10" s="35">
        <f t="shared" ca="1" si="0"/>
        <v>19</v>
      </c>
    </row>
    <row r="11" spans="1:24" x14ac:dyDescent="0.25">
      <c r="A11" s="99"/>
      <c r="B11" s="99"/>
      <c r="D11" s="29">
        <f t="shared" si="1"/>
        <v>0</v>
      </c>
      <c r="E11">
        <f>COUNTIF(Vertices[Degree], "&gt;= " &amp; D11) - COUNTIF(Vertices[Degree], "&gt;=" &amp; D12)</f>
        <v>0</v>
      </c>
      <c r="F11" s="36">
        <f t="shared" si="2"/>
        <v>2.9117647058823533</v>
      </c>
      <c r="G11" s="37">
        <f>COUNTIF(Vertices[,,,,], "&gt;= " &amp; F11) - COUNTIF(Vertices[,,,,], "&gt;=" &amp; F12)</f>
        <v>5</v>
      </c>
      <c r="H11" s="36">
        <f t="shared" si="3"/>
        <v>3.7058823529411757</v>
      </c>
      <c r="I11" s="37">
        <f>COUNTIF(Vertices[Out-Degree], "&gt;= " &amp; H11) - COUNTIF(Vertices[Out-Degree], "&gt;=" &amp; H12)</f>
        <v>8</v>
      </c>
      <c r="J11" s="36">
        <f t="shared" si="4"/>
        <v>178.67647058823525</v>
      </c>
      <c r="K11" s="37">
        <f>COUNTIF(Vertices[Betweenness Centrality], "&gt;= " &amp; J11) - COUNTIF(Vertices[Betweenness Centrality], "&gt;=" &amp; J12)</f>
        <v>1</v>
      </c>
      <c r="L11" s="36">
        <f t="shared" si="5"/>
        <v>9.9889411764705876E-3</v>
      </c>
      <c r="M11" s="37">
        <f>COUNTIF(Vertices[Closeness Centrality], "&gt;= " &amp; L11) - COUNTIF(Vertices[Closeness Centrality], "&gt;=" &amp; L12)</f>
        <v>9</v>
      </c>
      <c r="N11" s="36">
        <f t="shared" si="6"/>
        <v>0</v>
      </c>
      <c r="O11" s="37">
        <f>COUNTIF(Vertices[Eigenvector Centrality], "&gt;= " &amp; N11) - COUNTIF(Vertices[Eigenvector Centrality], "&gt;=" &amp; N12)</f>
        <v>0</v>
      </c>
      <c r="P11" s="36">
        <f t="shared" si="7"/>
        <v>0</v>
      </c>
      <c r="Q11" s="37">
        <f>COUNTIF(Vertices[PageRank], "&gt;= " &amp; P11) - COUNTIF(Vertices[PageRank], "&gt;=" &amp; P12)</f>
        <v>0</v>
      </c>
      <c r="R11" s="36">
        <f t="shared" si="8"/>
        <v>0</v>
      </c>
      <c r="S11" s="41">
        <f>COUNTIF(Vertices[Clustering Coefficient], "&gt;= " &amp; R11) - COUNTIF(Vertices[Clustering Coefficient], "&gt;=" &amp; R12)</f>
        <v>0</v>
      </c>
      <c r="T11" s="36">
        <f t="shared" ca="1" si="9"/>
        <v>40845.895221269078</v>
      </c>
      <c r="U11" s="37">
        <f t="shared" ca="1" si="0"/>
        <v>30</v>
      </c>
    </row>
    <row r="12" spans="1:24" x14ac:dyDescent="0.25">
      <c r="A12" s="31" t="s">
        <v>169</v>
      </c>
      <c r="B12" s="31">
        <v>6.8965517241379309E-3</v>
      </c>
      <c r="D12" s="29">
        <f t="shared" si="1"/>
        <v>0</v>
      </c>
      <c r="E12">
        <f>COUNTIF(Vertices[Degree], "&gt;= " &amp; D12) - COUNTIF(Vertices[Degree], "&gt;=" &amp; D13)</f>
        <v>0</v>
      </c>
      <c r="F12" s="34">
        <f t="shared" si="2"/>
        <v>3.2352941176470593</v>
      </c>
      <c r="G12" s="35">
        <f>COUNTIF(Vertices[,,,,], "&gt;= " &amp; F12) - COUNTIF(Vertices[,,,,], "&gt;=" &amp; F13)</f>
        <v>0</v>
      </c>
      <c r="H12" s="34">
        <f t="shared" si="3"/>
        <v>4.117647058823529</v>
      </c>
      <c r="I12" s="35">
        <f>COUNTIF(Vertices[Out-Degree], "&gt;= " &amp; H12) - COUNTIF(Vertices[Out-Degree], "&gt;=" &amp; H13)</f>
        <v>0</v>
      </c>
      <c r="J12" s="34">
        <f t="shared" si="4"/>
        <v>198.52941176470583</v>
      </c>
      <c r="K12" s="35">
        <f>COUNTIF(Vertices[Betweenness Centrality], "&gt;= " &amp; J12) - COUNTIF(Vertices[Betweenness Centrality], "&gt;=" &amp; J13)</f>
        <v>1</v>
      </c>
      <c r="L12" s="34">
        <f t="shared" si="5"/>
        <v>1.1098823529411763E-2</v>
      </c>
      <c r="M12" s="35">
        <f>COUNTIF(Vertices[Closeness Centrality], "&gt;= " &amp; L12) - COUNTIF(Vertices[Closeness Centrality], "&gt;=" &amp; L13)</f>
        <v>8</v>
      </c>
      <c r="N12" s="34">
        <f t="shared" si="6"/>
        <v>0</v>
      </c>
      <c r="O12" s="35">
        <f>COUNTIF(Vertices[Eigenvector Centrality], "&gt;= " &amp; N12) - COUNTIF(Vertices[Eigenvector Centrality], "&gt;=" &amp; N13)</f>
        <v>0</v>
      </c>
      <c r="P12" s="34">
        <f t="shared" si="7"/>
        <v>0</v>
      </c>
      <c r="Q12" s="35">
        <f>COUNTIF(Vertices[PageRank], "&gt;= " &amp; P12) - COUNTIF(Vertices[PageRank], "&gt;=" &amp; P13)</f>
        <v>0</v>
      </c>
      <c r="R12" s="34">
        <f t="shared" si="8"/>
        <v>0</v>
      </c>
      <c r="S12" s="40">
        <f>COUNTIF(Vertices[Clustering Coefficient], "&gt;= " &amp; R12) - COUNTIF(Vertices[Clustering Coefficient], "&gt;=" &amp; R13)</f>
        <v>0</v>
      </c>
      <c r="T12" s="34">
        <f t="shared" ca="1" si="9"/>
        <v>41032.278325844243</v>
      </c>
      <c r="U12" s="35">
        <f t="shared" ca="1" si="0"/>
        <v>20</v>
      </c>
    </row>
    <row r="13" spans="1:24" x14ac:dyDescent="0.25">
      <c r="A13" s="31" t="s">
        <v>170</v>
      </c>
      <c r="B13" s="31">
        <v>1.3698630136986301E-2</v>
      </c>
      <c r="D13" s="29">
        <f t="shared" si="1"/>
        <v>0</v>
      </c>
      <c r="E13">
        <f>COUNTIF(Vertices[Degree], "&gt;= " &amp; D13) - COUNTIF(Vertices[Degree], "&gt;=" &amp; D14)</f>
        <v>0</v>
      </c>
      <c r="F13" s="36">
        <f t="shared" si="2"/>
        <v>3.5588235294117654</v>
      </c>
      <c r="G13" s="37">
        <f>COUNTIF(Vertices[,,,,], "&gt;= " &amp; F13) - COUNTIF(Vertices[,,,,], "&gt;=" &amp; F14)</f>
        <v>0</v>
      </c>
      <c r="H13" s="36">
        <f t="shared" si="3"/>
        <v>4.5294117647058822</v>
      </c>
      <c r="I13" s="37">
        <f>COUNTIF(Vertices[Out-Degree], "&gt;= " &amp; H13) - COUNTIF(Vertices[Out-Degree], "&gt;=" &amp; H14)</f>
        <v>0</v>
      </c>
      <c r="J13" s="36">
        <f t="shared" si="4"/>
        <v>218.38235294117641</v>
      </c>
      <c r="K13" s="37">
        <f>COUNTIF(Vertices[Betweenness Centrality], "&gt;= " &amp; J13) - COUNTIF(Vertices[Betweenness Centrality], "&gt;=" &amp; J14)</f>
        <v>0</v>
      </c>
      <c r="L13" s="36">
        <f t="shared" si="5"/>
        <v>1.2208705882352939E-2</v>
      </c>
      <c r="M13" s="37">
        <f>COUNTIF(Vertices[Closeness Centrality], "&gt;= " &amp; L13) - COUNTIF(Vertices[Closeness Centrality], "&gt;=" &amp; L14)</f>
        <v>1</v>
      </c>
      <c r="N13" s="36">
        <f t="shared" si="6"/>
        <v>0</v>
      </c>
      <c r="O13" s="37">
        <f>COUNTIF(Vertices[Eigenvector Centrality], "&gt;= " &amp; N13) - COUNTIF(Vertices[Eigenvector Centrality], "&gt;=" &amp; N14)</f>
        <v>0</v>
      </c>
      <c r="P13" s="36">
        <f t="shared" si="7"/>
        <v>0</v>
      </c>
      <c r="Q13" s="37">
        <f>COUNTIF(Vertices[PageRank], "&gt;= " &amp; P13) - COUNTIF(Vertices[PageRank], "&gt;=" &amp; P14)</f>
        <v>0</v>
      </c>
      <c r="R13" s="36">
        <f t="shared" si="8"/>
        <v>0</v>
      </c>
      <c r="S13" s="41">
        <f>COUNTIF(Vertices[Clustering Coefficient], "&gt;= " &amp; R13) - COUNTIF(Vertices[Clustering Coefficient], "&gt;=" &amp; R14)</f>
        <v>0</v>
      </c>
      <c r="T13" s="36">
        <f t="shared" ca="1" si="9"/>
        <v>41218.661430419408</v>
      </c>
      <c r="U13" s="37">
        <f t="shared" ca="1" si="0"/>
        <v>19</v>
      </c>
    </row>
    <row r="14" spans="1:24" x14ac:dyDescent="0.25">
      <c r="A14" s="99"/>
      <c r="B14" s="99"/>
      <c r="D14" s="29">
        <f t="shared" si="1"/>
        <v>0</v>
      </c>
      <c r="E14">
        <f>COUNTIF(Vertices[Degree], "&gt;= " &amp; D14) - COUNTIF(Vertices[Degree], "&gt;=" &amp; D15)</f>
        <v>0</v>
      </c>
      <c r="F14" s="34">
        <f t="shared" si="2"/>
        <v>3.8823529411764715</v>
      </c>
      <c r="G14" s="35">
        <f>COUNTIF(Vertices[,,,,], "&gt;= " &amp; F14) - COUNTIF(Vertices[,,,,], "&gt;=" &amp; F15)</f>
        <v>2</v>
      </c>
      <c r="H14" s="34">
        <f t="shared" si="3"/>
        <v>4.9411764705882355</v>
      </c>
      <c r="I14" s="35">
        <f>COUNTIF(Vertices[Out-Degree], "&gt;= " &amp; H14) - COUNTIF(Vertices[Out-Degree], "&gt;=" &amp; H15)</f>
        <v>2</v>
      </c>
      <c r="J14" s="34">
        <f t="shared" si="4"/>
        <v>238.23529411764699</v>
      </c>
      <c r="K14" s="35">
        <f>COUNTIF(Vertices[Betweenness Centrality], "&gt;= " &amp; J14) - COUNTIF(Vertices[Betweenness Centrality], "&gt;=" &amp; J15)</f>
        <v>0</v>
      </c>
      <c r="L14" s="34">
        <f t="shared" si="5"/>
        <v>1.3318588235294115E-2</v>
      </c>
      <c r="M14" s="35">
        <f>COUNTIF(Vertices[Closeness Centrality], "&gt;= " &amp; L14) - COUNTIF(Vertices[Closeness Centrality], "&gt;=" &amp; L15)</f>
        <v>4</v>
      </c>
      <c r="N14" s="34">
        <f t="shared" si="6"/>
        <v>0</v>
      </c>
      <c r="O14" s="35">
        <f>COUNTIF(Vertices[Eigenvector Centrality], "&gt;= " &amp; N14) - COUNTIF(Vertices[Eigenvector Centrality], "&gt;=" &amp; N15)</f>
        <v>0</v>
      </c>
      <c r="P14" s="34">
        <f t="shared" si="7"/>
        <v>0</v>
      </c>
      <c r="Q14" s="35">
        <f>COUNTIF(Vertices[PageRank], "&gt;= " &amp; P14) - COUNTIF(Vertices[PageRank], "&gt;=" &amp; P15)</f>
        <v>0</v>
      </c>
      <c r="R14" s="34">
        <f t="shared" si="8"/>
        <v>0</v>
      </c>
      <c r="S14" s="40">
        <f>COUNTIF(Vertices[Clustering Coefficient], "&gt;= " &amp; R14) - COUNTIF(Vertices[Clustering Coefficient], "&gt;=" &amp; R15)</f>
        <v>0</v>
      </c>
      <c r="T14" s="34">
        <f t="shared" ca="1" si="9"/>
        <v>41405.044534994573</v>
      </c>
      <c r="U14" s="35">
        <f t="shared" ca="1" si="0"/>
        <v>15</v>
      </c>
    </row>
    <row r="15" spans="1:24" x14ac:dyDescent="0.25">
      <c r="A15" s="31" t="s">
        <v>151</v>
      </c>
      <c r="B15" s="31">
        <v>215</v>
      </c>
      <c r="D15" s="29">
        <f t="shared" si="1"/>
        <v>0</v>
      </c>
      <c r="E15">
        <f>COUNTIF(Vertices[Degree], "&gt;= " &amp; D15) - COUNTIF(Vertices[Degree], "&gt;=" &amp; D16)</f>
        <v>0</v>
      </c>
      <c r="F15" s="36">
        <f t="shared" si="2"/>
        <v>4.2058823529411775</v>
      </c>
      <c r="G15" s="37">
        <f>COUNTIF(Vertices[,,,,], "&gt;= " &amp; F15) - COUNTIF(Vertices[,,,,], "&gt;=" &amp; F16)</f>
        <v>0</v>
      </c>
      <c r="H15" s="36">
        <f t="shared" si="3"/>
        <v>5.3529411764705888</v>
      </c>
      <c r="I15" s="37">
        <f>COUNTIF(Vertices[Out-Degree], "&gt;= " &amp; H15) - COUNTIF(Vertices[Out-Degree], "&gt;=" &amp; H16)</f>
        <v>0</v>
      </c>
      <c r="J15" s="36">
        <f t="shared" si="4"/>
        <v>258.08823529411757</v>
      </c>
      <c r="K15" s="37">
        <f>COUNTIF(Vertices[Betweenness Centrality], "&gt;= " &amp; J15) - COUNTIF(Vertices[Betweenness Centrality], "&gt;=" &amp; J16)</f>
        <v>0</v>
      </c>
      <c r="L15" s="36">
        <f t="shared" si="5"/>
        <v>1.4428470588235291E-2</v>
      </c>
      <c r="M15" s="37">
        <f>COUNTIF(Vertices[Closeness Centrality], "&gt;= " &amp; L15) - COUNTIF(Vertices[Closeness Centrality], "&gt;=" &amp; L16)</f>
        <v>26</v>
      </c>
      <c r="N15" s="36">
        <f t="shared" si="6"/>
        <v>0</v>
      </c>
      <c r="O15" s="37">
        <f>COUNTIF(Vertices[Eigenvector Centrality], "&gt;= " &amp; N15) - COUNTIF(Vertices[Eigenvector Centrality], "&gt;=" &amp; N16)</f>
        <v>0</v>
      </c>
      <c r="P15" s="36">
        <f t="shared" si="7"/>
        <v>0</v>
      </c>
      <c r="Q15" s="37">
        <f>COUNTIF(Vertices[PageRank], "&gt;= " &amp; P15) - COUNTIF(Vertices[PageRank], "&gt;=" &amp; P16)</f>
        <v>0</v>
      </c>
      <c r="R15" s="36">
        <f t="shared" si="8"/>
        <v>0</v>
      </c>
      <c r="S15" s="41">
        <f>COUNTIF(Vertices[Clustering Coefficient], "&gt;= " &amp; R15) - COUNTIF(Vertices[Clustering Coefficient], "&gt;=" &amp; R16)</f>
        <v>0</v>
      </c>
      <c r="T15" s="36">
        <f t="shared" ca="1" si="9"/>
        <v>41591.427639569738</v>
      </c>
      <c r="U15" s="37">
        <f t="shared" ca="1" si="0"/>
        <v>11</v>
      </c>
    </row>
    <row r="16" spans="1:24" x14ac:dyDescent="0.25">
      <c r="A16" s="31" t="s">
        <v>152</v>
      </c>
      <c r="B16" s="31">
        <v>103</v>
      </c>
      <c r="D16" s="29">
        <f t="shared" si="1"/>
        <v>0</v>
      </c>
      <c r="E16">
        <f>COUNTIF(Vertices[Degree], "&gt;= " &amp; D16) - COUNTIF(Vertices[Degree], "&gt;=" &amp; D17)</f>
        <v>0</v>
      </c>
      <c r="F16" s="34">
        <f t="shared" si="2"/>
        <v>4.5294117647058831</v>
      </c>
      <c r="G16" s="35">
        <f>COUNTIF(Vertices[,,,,], "&gt;= " &amp; F16) - COUNTIF(Vertices[,,,,], "&gt;=" &amp; F17)</f>
        <v>0</v>
      </c>
      <c r="H16" s="34">
        <f t="shared" si="3"/>
        <v>5.764705882352942</v>
      </c>
      <c r="I16" s="35">
        <f>COUNTIF(Vertices[Out-Degree], "&gt;= " &amp; H16) - COUNTIF(Vertices[Out-Degree], "&gt;=" &amp; H17)</f>
        <v>0</v>
      </c>
      <c r="J16" s="34">
        <f t="shared" si="4"/>
        <v>277.94117647058818</v>
      </c>
      <c r="K16" s="35">
        <f>COUNTIF(Vertices[Betweenness Centrality], "&gt;= " &amp; J16) - COUNTIF(Vertices[Betweenness Centrality], "&gt;=" &amp; J17)</f>
        <v>0</v>
      </c>
      <c r="L16" s="34">
        <f t="shared" si="5"/>
        <v>1.5538352941176467E-2</v>
      </c>
      <c r="M16" s="35">
        <f>COUNTIF(Vertices[Closeness Centrality], "&gt;= " &amp; L16) - COUNTIF(Vertices[Closeness Centrality], "&gt;=" &amp; L17)</f>
        <v>0</v>
      </c>
      <c r="N16" s="34">
        <f t="shared" si="6"/>
        <v>0</v>
      </c>
      <c r="O16" s="35">
        <f>COUNTIF(Vertices[Eigenvector Centrality], "&gt;= " &amp; N16) - COUNTIF(Vertices[Eigenvector Centrality], "&gt;=" &amp; N17)</f>
        <v>0</v>
      </c>
      <c r="P16" s="34">
        <f t="shared" si="7"/>
        <v>0</v>
      </c>
      <c r="Q16" s="35">
        <f>COUNTIF(Vertices[PageRank], "&gt;= " &amp; P16) - COUNTIF(Vertices[PageRank], "&gt;=" &amp; P17)</f>
        <v>0</v>
      </c>
      <c r="R16" s="34">
        <f t="shared" si="8"/>
        <v>0</v>
      </c>
      <c r="S16" s="40">
        <f>COUNTIF(Vertices[Clustering Coefficient], "&gt;= " &amp; R16) - COUNTIF(Vertices[Clustering Coefficient], "&gt;=" &amp; R17)</f>
        <v>0</v>
      </c>
      <c r="T16" s="34">
        <f t="shared" ca="1" si="9"/>
        <v>41777.810744144903</v>
      </c>
      <c r="U16" s="35">
        <f t="shared" ca="1" si="0"/>
        <v>11</v>
      </c>
    </row>
    <row r="17" spans="1:21" x14ac:dyDescent="0.25">
      <c r="A17" s="31" t="s">
        <v>153</v>
      </c>
      <c r="B17" s="31">
        <v>31</v>
      </c>
      <c r="D17" s="29">
        <f t="shared" si="1"/>
        <v>0</v>
      </c>
      <c r="E17">
        <f>COUNTIF(Vertices[Degree], "&gt;= " &amp; D17) - COUNTIF(Vertices[Degree], "&gt;=" &amp; D18)</f>
        <v>0</v>
      </c>
      <c r="F17" s="36">
        <f t="shared" si="2"/>
        <v>4.8529411764705888</v>
      </c>
      <c r="G17" s="37">
        <f>COUNTIF(Vertices[,,,,], "&gt;= " &amp; F17) - COUNTIF(Vertices[,,,,], "&gt;=" &amp; F18)</f>
        <v>0</v>
      </c>
      <c r="H17" s="36">
        <f t="shared" si="3"/>
        <v>6.1764705882352953</v>
      </c>
      <c r="I17" s="37">
        <f>COUNTIF(Vertices[Out-Degree], "&gt;= " &amp; H17) - COUNTIF(Vertices[Out-Degree], "&gt;=" &amp; H18)</f>
        <v>0</v>
      </c>
      <c r="J17" s="36">
        <f t="shared" si="4"/>
        <v>297.79411764705878</v>
      </c>
      <c r="K17" s="37">
        <f>COUNTIF(Vertices[Betweenness Centrality], "&gt;= " &amp; J17) - COUNTIF(Vertices[Betweenness Centrality], "&gt;=" &amp; J18)</f>
        <v>0</v>
      </c>
      <c r="L17" s="36">
        <f t="shared" si="5"/>
        <v>1.6648235294117644E-2</v>
      </c>
      <c r="M17" s="37">
        <f>COUNTIF(Vertices[Closeness Centrality], "&gt;= " &amp; L17) - COUNTIF(Vertices[Closeness Centrality], "&gt;=" &amp; L18)</f>
        <v>4</v>
      </c>
      <c r="N17" s="36">
        <f t="shared" si="6"/>
        <v>0</v>
      </c>
      <c r="O17" s="37">
        <f>COUNTIF(Vertices[Eigenvector Centrality], "&gt;= " &amp; N17) - COUNTIF(Vertices[Eigenvector Centrality], "&gt;=" &amp; N18)</f>
        <v>0</v>
      </c>
      <c r="P17" s="36">
        <f t="shared" si="7"/>
        <v>0</v>
      </c>
      <c r="Q17" s="37">
        <f>COUNTIF(Vertices[PageRank], "&gt;= " &amp; P17) - COUNTIF(Vertices[PageRank], "&gt;=" &amp; P18)</f>
        <v>0</v>
      </c>
      <c r="R17" s="36">
        <f t="shared" si="8"/>
        <v>0</v>
      </c>
      <c r="S17" s="41">
        <f>COUNTIF(Vertices[Clustering Coefficient], "&gt;= " &amp; R17) - COUNTIF(Vertices[Clustering Coefficient], "&gt;=" &amp; R18)</f>
        <v>0</v>
      </c>
      <c r="T17" s="36">
        <f t="shared" ca="1" si="9"/>
        <v>41964.193848720068</v>
      </c>
      <c r="U17" s="37">
        <f t="shared" ca="1" si="0"/>
        <v>14</v>
      </c>
    </row>
    <row r="18" spans="1:21" x14ac:dyDescent="0.25">
      <c r="A18" s="31" t="s">
        <v>154</v>
      </c>
      <c r="B18" s="31">
        <v>48</v>
      </c>
      <c r="D18" s="29">
        <f t="shared" si="1"/>
        <v>0</v>
      </c>
      <c r="E18">
        <f>COUNTIF(Vertices[Degree], "&gt;= " &amp; D18) - COUNTIF(Vertices[Degree], "&gt;=" &amp; D19)</f>
        <v>0</v>
      </c>
      <c r="F18" s="34">
        <f t="shared" si="2"/>
        <v>5.1764705882352944</v>
      </c>
      <c r="G18" s="35">
        <f>COUNTIF(Vertices[,,,,], "&gt;= " &amp; F18) - COUNTIF(Vertices[,,,,], "&gt;=" &amp; F19)</f>
        <v>0</v>
      </c>
      <c r="H18" s="34">
        <f t="shared" si="3"/>
        <v>6.5882352941176485</v>
      </c>
      <c r="I18" s="35">
        <f>COUNTIF(Vertices[Out-Degree], "&gt;= " &amp; H18) - COUNTIF(Vertices[Out-Degree], "&gt;=" &amp; H19)</f>
        <v>0</v>
      </c>
      <c r="J18" s="34">
        <f t="shared" si="4"/>
        <v>317.64705882352939</v>
      </c>
      <c r="K18" s="35">
        <f>COUNTIF(Vertices[Betweenness Centrality], "&gt;= " &amp; J18) - COUNTIF(Vertices[Betweenness Centrality], "&gt;=" &amp; J19)</f>
        <v>0</v>
      </c>
      <c r="L18" s="34">
        <f t="shared" si="5"/>
        <v>1.775811764705882E-2</v>
      </c>
      <c r="M18" s="35">
        <f>COUNTIF(Vertices[Closeness Centrality], "&gt;= " &amp; L18) - COUNTIF(Vertices[Closeness Centrality], "&gt;=" &amp; L19)</f>
        <v>4</v>
      </c>
      <c r="N18" s="34">
        <f t="shared" si="6"/>
        <v>0</v>
      </c>
      <c r="O18" s="35">
        <f>COUNTIF(Vertices[Eigenvector Centrality], "&gt;= " &amp; N18) - COUNTIF(Vertices[Eigenvector Centrality], "&gt;=" &amp; N19)</f>
        <v>0</v>
      </c>
      <c r="P18" s="34">
        <f t="shared" si="7"/>
        <v>0</v>
      </c>
      <c r="Q18" s="35">
        <f>COUNTIF(Vertices[PageRank], "&gt;= " &amp; P18) - COUNTIF(Vertices[PageRank], "&gt;=" &amp; P19)</f>
        <v>0</v>
      </c>
      <c r="R18" s="34">
        <f t="shared" si="8"/>
        <v>0</v>
      </c>
      <c r="S18" s="40">
        <f>COUNTIF(Vertices[Clustering Coefficient], "&gt;= " &amp; R18) - COUNTIF(Vertices[Clustering Coefficient], "&gt;=" &amp; R19)</f>
        <v>0</v>
      </c>
      <c r="T18" s="34">
        <f t="shared" ca="1" si="9"/>
        <v>42150.576953295233</v>
      </c>
      <c r="U18" s="35">
        <f t="shared" ca="1" si="0"/>
        <v>9</v>
      </c>
    </row>
    <row r="19" spans="1:21" x14ac:dyDescent="0.25">
      <c r="A19" s="99"/>
      <c r="B19" s="99"/>
      <c r="D19" s="29">
        <f t="shared" si="1"/>
        <v>0</v>
      </c>
      <c r="E19">
        <f>COUNTIF(Vertices[Degree], "&gt;= " &amp; D19) - COUNTIF(Vertices[Degree], "&gt;=" &amp; D20)</f>
        <v>0</v>
      </c>
      <c r="F19" s="36">
        <f t="shared" si="2"/>
        <v>5.5</v>
      </c>
      <c r="G19" s="37">
        <f>COUNTIF(Vertices[,,,,], "&gt;= " &amp; F19) - COUNTIF(Vertices[,,,,], "&gt;=" &amp; F20)</f>
        <v>0</v>
      </c>
      <c r="H19" s="36">
        <f t="shared" si="3"/>
        <v>7.0000000000000018</v>
      </c>
      <c r="I19" s="37">
        <f>COUNTIF(Vertices[Out-Degree], "&gt;= " &amp; H19) - COUNTIF(Vertices[Out-Degree], "&gt;=" &amp; H20)</f>
        <v>0</v>
      </c>
      <c r="J19" s="36">
        <f t="shared" si="4"/>
        <v>337.5</v>
      </c>
      <c r="K19" s="37">
        <f>COUNTIF(Vertices[Betweenness Centrality], "&gt;= " &amp; J19) - COUNTIF(Vertices[Betweenness Centrality], "&gt;=" &amp; J20)</f>
        <v>0</v>
      </c>
      <c r="L19" s="36">
        <f t="shared" si="5"/>
        <v>1.8867999999999996E-2</v>
      </c>
      <c r="M19" s="37">
        <f>COUNTIF(Vertices[Closeness Centrality], "&gt;= " &amp; L19) - COUNTIF(Vertices[Closeness Centrality], "&gt;=" &amp; L20)</f>
        <v>5</v>
      </c>
      <c r="N19" s="36">
        <f t="shared" si="6"/>
        <v>0</v>
      </c>
      <c r="O19" s="37">
        <f>COUNTIF(Vertices[Eigenvector Centrality], "&gt;= " &amp; N19) - COUNTIF(Vertices[Eigenvector Centrality], "&gt;=" &amp; N20)</f>
        <v>0</v>
      </c>
      <c r="P19" s="36">
        <f t="shared" si="7"/>
        <v>0</v>
      </c>
      <c r="Q19" s="37">
        <f>COUNTIF(Vertices[PageRank], "&gt;= " &amp; P19) - COUNTIF(Vertices[PageRank], "&gt;=" &amp; P20)</f>
        <v>0</v>
      </c>
      <c r="R19" s="36">
        <f t="shared" si="8"/>
        <v>0</v>
      </c>
      <c r="S19" s="41">
        <f>COUNTIF(Vertices[Clustering Coefficient], "&gt;= " &amp; R19) - COUNTIF(Vertices[Clustering Coefficient], "&gt;=" &amp; R20)</f>
        <v>0</v>
      </c>
      <c r="T19" s="36">
        <f t="shared" ca="1" si="9"/>
        <v>42336.960057870398</v>
      </c>
      <c r="U19" s="37">
        <f t="shared" ca="1" si="0"/>
        <v>10</v>
      </c>
    </row>
    <row r="20" spans="1:21" x14ac:dyDescent="0.25">
      <c r="A20" s="31" t="s">
        <v>155</v>
      </c>
      <c r="B20" s="31">
        <v>4</v>
      </c>
      <c r="D20" s="29">
        <f t="shared" si="1"/>
        <v>0</v>
      </c>
      <c r="E20">
        <f>COUNTIF(Vertices[Degree], "&gt;= " &amp; D20) - COUNTIF(Vertices[Degree], "&gt;=" &amp; D21)</f>
        <v>0</v>
      </c>
      <c r="F20" s="34">
        <f t="shared" si="2"/>
        <v>5.8235294117647056</v>
      </c>
      <c r="G20" s="35">
        <f>COUNTIF(Vertices[,,,,], "&gt;= " &amp; F20) - COUNTIF(Vertices[,,,,], "&gt;=" &amp; F21)</f>
        <v>0</v>
      </c>
      <c r="H20" s="34">
        <f t="shared" si="3"/>
        <v>7.411764705882355</v>
      </c>
      <c r="I20" s="35">
        <f>COUNTIF(Vertices[Out-Degree], "&gt;= " &amp; H20) - COUNTIF(Vertices[Out-Degree], "&gt;=" &amp; H21)</f>
        <v>0</v>
      </c>
      <c r="J20" s="34">
        <f t="shared" si="4"/>
        <v>357.35294117647061</v>
      </c>
      <c r="K20" s="35">
        <f>COUNTIF(Vertices[Betweenness Centrality], "&gt;= " &amp; J20) - COUNTIF(Vertices[Betweenness Centrality], "&gt;=" &amp; J21)</f>
        <v>0</v>
      </c>
      <c r="L20" s="34">
        <f t="shared" si="5"/>
        <v>1.9977882352941172E-2</v>
      </c>
      <c r="M20" s="35">
        <f>COUNTIF(Vertices[Closeness Centrality], "&gt;= " &amp; L20) - COUNTIF(Vertices[Closeness Centrality], "&gt;=" &amp; L21)</f>
        <v>2</v>
      </c>
      <c r="N20" s="34">
        <f t="shared" si="6"/>
        <v>0</v>
      </c>
      <c r="O20" s="35">
        <f>COUNTIF(Vertices[Eigenvector Centrality], "&gt;= " &amp; N20) - COUNTIF(Vertices[Eigenvector Centrality], "&gt;=" &amp; N21)</f>
        <v>0</v>
      </c>
      <c r="P20" s="34">
        <f t="shared" si="7"/>
        <v>0</v>
      </c>
      <c r="Q20" s="35">
        <f>COUNTIF(Vertices[PageRank], "&gt;= " &amp; P20) - COUNTIF(Vertices[PageRank], "&gt;=" &amp; P21)</f>
        <v>0</v>
      </c>
      <c r="R20" s="34">
        <f t="shared" si="8"/>
        <v>0</v>
      </c>
      <c r="S20" s="40">
        <f>COUNTIF(Vertices[Clustering Coefficient], "&gt;= " &amp; R20) - COUNTIF(Vertices[Clustering Coefficient], "&gt;=" &amp; R21)</f>
        <v>0</v>
      </c>
      <c r="T20" s="34">
        <f t="shared" ca="1" si="9"/>
        <v>42523.343162445562</v>
      </c>
      <c r="U20" s="35">
        <f t="shared" ca="1" si="0"/>
        <v>3</v>
      </c>
    </row>
    <row r="21" spans="1:21" x14ac:dyDescent="0.25">
      <c r="A21" s="31" t="s">
        <v>156</v>
      </c>
      <c r="B21" s="31">
        <v>1.8018339999999999</v>
      </c>
      <c r="D21" s="29">
        <f t="shared" si="1"/>
        <v>0</v>
      </c>
      <c r="E21">
        <f>COUNTIF(Vertices[Degree], "&gt;= " &amp; D21) - COUNTIF(Vertices[Degree], "&gt;=" &amp; D22)</f>
        <v>0</v>
      </c>
      <c r="F21" s="36">
        <f t="shared" si="2"/>
        <v>6.1470588235294112</v>
      </c>
      <c r="G21" s="37">
        <f>COUNTIF(Vertices[,,,,], "&gt;= " &amp; F21) - COUNTIF(Vertices[,,,,], "&gt;=" &amp; F22)</f>
        <v>0</v>
      </c>
      <c r="H21" s="36">
        <f t="shared" si="3"/>
        <v>7.8235294117647083</v>
      </c>
      <c r="I21" s="37">
        <f>COUNTIF(Vertices[Out-Degree], "&gt;= " &amp; H21) - COUNTIF(Vertices[Out-Degree], "&gt;=" &amp; H22)</f>
        <v>0</v>
      </c>
      <c r="J21" s="36">
        <f t="shared" si="4"/>
        <v>377.20588235294122</v>
      </c>
      <c r="K21" s="37">
        <f>COUNTIF(Vertices[Betweenness Centrality], "&gt;= " &amp; J21) - COUNTIF(Vertices[Betweenness Centrality], "&gt;=" &amp; J22)</f>
        <v>0</v>
      </c>
      <c r="L21" s="36">
        <f t="shared" si="5"/>
        <v>2.1087764705882348E-2</v>
      </c>
      <c r="M21" s="37">
        <f>COUNTIF(Vertices[Closeness Centrality], "&gt;= " &amp; L21) - COUNTIF(Vertices[Closeness Centrality], "&gt;=" &amp; L22)</f>
        <v>11</v>
      </c>
      <c r="N21" s="36">
        <f t="shared" si="6"/>
        <v>0</v>
      </c>
      <c r="O21" s="37">
        <f>COUNTIF(Vertices[Eigenvector Centrality], "&gt;= " &amp; N21) - COUNTIF(Vertices[Eigenvector Centrality], "&gt;=" &amp; N22)</f>
        <v>0</v>
      </c>
      <c r="P21" s="36">
        <f t="shared" si="7"/>
        <v>0</v>
      </c>
      <c r="Q21" s="37">
        <f>COUNTIF(Vertices[PageRank], "&gt;= " &amp; P21) - COUNTIF(Vertices[PageRank], "&gt;=" &amp; P22)</f>
        <v>0</v>
      </c>
      <c r="R21" s="36">
        <f t="shared" si="8"/>
        <v>0</v>
      </c>
      <c r="S21" s="41">
        <f>COUNTIF(Vertices[Clustering Coefficient], "&gt;= " &amp; R21) - COUNTIF(Vertices[Clustering Coefficient], "&gt;=" &amp; R22)</f>
        <v>0</v>
      </c>
      <c r="T21" s="36">
        <f t="shared" ca="1" si="9"/>
        <v>42709.726267020727</v>
      </c>
      <c r="U21" s="37">
        <f t="shared" ca="1" si="0"/>
        <v>11</v>
      </c>
    </row>
    <row r="22" spans="1:21" x14ac:dyDescent="0.25">
      <c r="A22" s="99"/>
      <c r="B22" s="99"/>
      <c r="D22" s="29">
        <f t="shared" si="1"/>
        <v>0</v>
      </c>
      <c r="E22">
        <f>COUNTIF(Vertices[Degree], "&gt;= " &amp; D22) - COUNTIF(Vertices[Degree], "&gt;=" &amp; D23)</f>
        <v>0</v>
      </c>
      <c r="F22" s="34">
        <f t="shared" si="2"/>
        <v>6.4705882352941169</v>
      </c>
      <c r="G22" s="35">
        <f>COUNTIF(Vertices[,,,,], "&gt;= " &amp; F22) - COUNTIF(Vertices[,,,,], "&gt;=" &amp; F23)</f>
        <v>0</v>
      </c>
      <c r="H22" s="34">
        <f t="shared" si="3"/>
        <v>8.2352941176470615</v>
      </c>
      <c r="I22" s="35">
        <f>COUNTIF(Vertices[Out-Degree], "&gt;= " &amp; H22) - COUNTIF(Vertices[Out-Degree], "&gt;=" &amp; H23)</f>
        <v>0</v>
      </c>
      <c r="J22" s="34">
        <f t="shared" si="4"/>
        <v>397.05882352941182</v>
      </c>
      <c r="K22" s="35">
        <f>COUNTIF(Vertices[Betweenness Centrality], "&gt;= " &amp; J22) - COUNTIF(Vertices[Betweenness Centrality], "&gt;=" &amp; J23)</f>
        <v>0</v>
      </c>
      <c r="L22" s="34">
        <f t="shared" si="5"/>
        <v>2.2197647058823523E-2</v>
      </c>
      <c r="M22" s="35">
        <f>COUNTIF(Vertices[Closeness Centrality], "&gt;= " &amp; L22) - COUNTIF(Vertices[Closeness Centrality], "&gt;=" &amp; L23)</f>
        <v>0</v>
      </c>
      <c r="N22" s="34">
        <f t="shared" si="6"/>
        <v>0</v>
      </c>
      <c r="O22" s="35">
        <f>COUNTIF(Vertices[Eigenvector Centrality], "&gt;= " &amp; N22) - COUNTIF(Vertices[Eigenvector Centrality], "&gt;=" &amp; N23)</f>
        <v>0</v>
      </c>
      <c r="P22" s="34">
        <f t="shared" si="7"/>
        <v>0</v>
      </c>
      <c r="Q22" s="35">
        <f>COUNTIF(Vertices[PageRank], "&gt;= " &amp; P22) - COUNTIF(Vertices[PageRank], "&gt;=" &amp; P23)</f>
        <v>0</v>
      </c>
      <c r="R22" s="34">
        <f t="shared" si="8"/>
        <v>0</v>
      </c>
      <c r="S22" s="40">
        <f>COUNTIF(Vertices[Clustering Coefficient], "&gt;= " &amp; R22) - COUNTIF(Vertices[Clustering Coefficient], "&gt;=" &amp; R23)</f>
        <v>0</v>
      </c>
      <c r="T22" s="34">
        <f t="shared" ca="1" si="9"/>
        <v>42896.109371595892</v>
      </c>
      <c r="U22" s="35">
        <f t="shared" ca="1" si="0"/>
        <v>12</v>
      </c>
    </row>
    <row r="23" spans="1:21" x14ac:dyDescent="0.25">
      <c r="A23" s="31" t="s">
        <v>157</v>
      </c>
      <c r="B23" s="31">
        <v>1.2594784379016744E-3</v>
      </c>
      <c r="D23" s="29">
        <f t="shared" si="1"/>
        <v>0</v>
      </c>
      <c r="E23">
        <f>COUNTIF(Vertices[Degree], "&gt;= " &amp; D23) - COUNTIF(Vertices[Degree], "&gt;=" &amp; D24)</f>
        <v>0</v>
      </c>
      <c r="F23" s="36">
        <f t="shared" si="2"/>
        <v>6.7941176470588225</v>
      </c>
      <c r="G23" s="37">
        <f>COUNTIF(Vertices[,,,,], "&gt;= " &amp; F23) - COUNTIF(Vertices[,,,,], "&gt;=" &amp; F24)</f>
        <v>1</v>
      </c>
      <c r="H23" s="36">
        <f t="shared" si="3"/>
        <v>8.6470588235294148</v>
      </c>
      <c r="I23" s="37">
        <f>COUNTIF(Vertices[Out-Degree], "&gt;= " &amp; H23) - COUNTIF(Vertices[Out-Degree], "&gt;=" &amp; H24)</f>
        <v>1</v>
      </c>
      <c r="J23" s="36">
        <f t="shared" si="4"/>
        <v>416.91176470588243</v>
      </c>
      <c r="K23" s="37">
        <f>COUNTIF(Vertices[Betweenness Centrality], "&gt;= " &amp; J23) - COUNTIF(Vertices[Betweenness Centrality], "&gt;=" &amp; J24)</f>
        <v>0</v>
      </c>
      <c r="L23" s="36">
        <f t="shared" si="5"/>
        <v>2.3307529411764699E-2</v>
      </c>
      <c r="M23" s="37">
        <f>COUNTIF(Vertices[Closeness Centrality], "&gt;= " &amp; L23) - COUNTIF(Vertices[Closeness Centrality], "&gt;=" &amp; L24)</f>
        <v>4</v>
      </c>
      <c r="N23" s="36">
        <f t="shared" si="6"/>
        <v>0</v>
      </c>
      <c r="O23" s="37">
        <f>COUNTIF(Vertices[Eigenvector Centrality], "&gt;= " &amp; N23) - COUNTIF(Vertices[Eigenvector Centrality], "&gt;=" &amp; N24)</f>
        <v>0</v>
      </c>
      <c r="P23" s="36">
        <f t="shared" si="7"/>
        <v>0</v>
      </c>
      <c r="Q23" s="37">
        <f>COUNTIF(Vertices[PageRank], "&gt;= " &amp; P23) - COUNTIF(Vertices[PageRank], "&gt;=" &amp; P24)</f>
        <v>0</v>
      </c>
      <c r="R23" s="36">
        <f t="shared" si="8"/>
        <v>0</v>
      </c>
      <c r="S23" s="41">
        <f>COUNTIF(Vertices[Clustering Coefficient], "&gt;= " &amp; R23) - COUNTIF(Vertices[Clustering Coefficient], "&gt;=" &amp; R24)</f>
        <v>0</v>
      </c>
      <c r="T23" s="36">
        <f t="shared" ca="1" si="9"/>
        <v>43082.492476171057</v>
      </c>
      <c r="U23" s="37">
        <f t="shared" ca="1" si="0"/>
        <v>9</v>
      </c>
    </row>
    <row r="24" spans="1:21" x14ac:dyDescent="0.25">
      <c r="A24" s="31" t="s">
        <v>4807</v>
      </c>
      <c r="B24" s="31" t="s">
        <v>4823</v>
      </c>
      <c r="D24" s="29">
        <f t="shared" si="1"/>
        <v>0</v>
      </c>
      <c r="E24">
        <f>COUNTIF(Vertices[Degree], "&gt;= " &amp; D24) - COUNTIF(Vertices[Degree], "&gt;=" &amp; D25)</f>
        <v>0</v>
      </c>
      <c r="F24" s="34">
        <f t="shared" si="2"/>
        <v>7.1176470588235281</v>
      </c>
      <c r="G24" s="35">
        <f>COUNTIF(Vertices[,,,,], "&gt;= " &amp; F24) - COUNTIF(Vertices[,,,,], "&gt;=" &amp; F25)</f>
        <v>0</v>
      </c>
      <c r="H24" s="34">
        <f t="shared" si="3"/>
        <v>9.058823529411768</v>
      </c>
      <c r="I24" s="35">
        <f>COUNTIF(Vertices[Out-Degree], "&gt;= " &amp; H24) - COUNTIF(Vertices[Out-Degree], "&gt;=" &amp; H25)</f>
        <v>0</v>
      </c>
      <c r="J24" s="34">
        <f t="shared" si="4"/>
        <v>436.76470588235304</v>
      </c>
      <c r="K24" s="35">
        <f>COUNTIF(Vertices[Betweenness Centrality], "&gt;= " &amp; J24) - COUNTIF(Vertices[Betweenness Centrality], "&gt;=" &amp; J25)</f>
        <v>0</v>
      </c>
      <c r="L24" s="34">
        <f t="shared" si="5"/>
        <v>2.4417411764705875E-2</v>
      </c>
      <c r="M24" s="35">
        <f>COUNTIF(Vertices[Closeness Centrality], "&gt;= " &amp; L24) - COUNTIF(Vertices[Closeness Centrality], "&gt;=" &amp; L25)</f>
        <v>2</v>
      </c>
      <c r="N24" s="34">
        <f t="shared" si="6"/>
        <v>0</v>
      </c>
      <c r="O24" s="35">
        <f>COUNTIF(Vertices[Eigenvector Centrality], "&gt;= " &amp; N24) - COUNTIF(Vertices[Eigenvector Centrality], "&gt;=" &amp; N25)</f>
        <v>0</v>
      </c>
      <c r="P24" s="34">
        <f t="shared" si="7"/>
        <v>0</v>
      </c>
      <c r="Q24" s="35">
        <f>COUNTIF(Vertices[PageRank], "&gt;= " &amp; P24) - COUNTIF(Vertices[PageRank], "&gt;=" &amp; P25)</f>
        <v>0</v>
      </c>
      <c r="R24" s="34">
        <f t="shared" si="8"/>
        <v>0</v>
      </c>
      <c r="S24" s="40">
        <f>COUNTIF(Vertices[Clustering Coefficient], "&gt;= " &amp; R24) - COUNTIF(Vertices[Clustering Coefficient], "&gt;=" &amp; R25)</f>
        <v>0</v>
      </c>
      <c r="T24" s="34">
        <f t="shared" ca="1" si="9"/>
        <v>43268.875580746222</v>
      </c>
      <c r="U24" s="35">
        <f t="shared" ca="1" si="0"/>
        <v>9</v>
      </c>
    </row>
    <row r="25" spans="1:21" x14ac:dyDescent="0.25">
      <c r="A25" s="99"/>
      <c r="B25" s="99"/>
      <c r="D25" s="29">
        <f t="shared" si="1"/>
        <v>0</v>
      </c>
      <c r="E25">
        <f>COUNTIF(Vertices[Degree], "&gt;= " &amp; D25) - COUNTIF(Vertices[Degree], "&gt;=" &amp; D26)</f>
        <v>0</v>
      </c>
      <c r="F25" s="36">
        <f t="shared" si="2"/>
        <v>7.4411764705882337</v>
      </c>
      <c r="G25" s="37">
        <f>COUNTIF(Vertices[,,,,], "&gt;= " &amp; F25) - COUNTIF(Vertices[,,,,], "&gt;=" &amp; F26)</f>
        <v>0</v>
      </c>
      <c r="H25" s="36">
        <f t="shared" si="3"/>
        <v>9.4705882352941213</v>
      </c>
      <c r="I25" s="37">
        <f>COUNTIF(Vertices[Out-Degree], "&gt;= " &amp; H25) - COUNTIF(Vertices[Out-Degree], "&gt;=" &amp; H26)</f>
        <v>0</v>
      </c>
      <c r="J25" s="36">
        <f t="shared" si="4"/>
        <v>456.61764705882365</v>
      </c>
      <c r="K25" s="37">
        <f>COUNTIF(Vertices[Betweenness Centrality], "&gt;= " &amp; J25) - COUNTIF(Vertices[Betweenness Centrality], "&gt;=" &amp; J26)</f>
        <v>0</v>
      </c>
      <c r="L25" s="36">
        <f t="shared" si="5"/>
        <v>2.5527294117647051E-2</v>
      </c>
      <c r="M25" s="37">
        <f>COUNTIF(Vertices[Closeness Centrality], "&gt;= " &amp; L25) - COUNTIF(Vertices[Closeness Centrality], "&gt;=" &amp; L26)</f>
        <v>4</v>
      </c>
      <c r="N25" s="36">
        <f t="shared" si="6"/>
        <v>0</v>
      </c>
      <c r="O25" s="37">
        <f>COUNTIF(Vertices[Eigenvector Centrality], "&gt;= " &amp; N25) - COUNTIF(Vertices[Eigenvector Centrality], "&gt;=" &amp; N26)</f>
        <v>0</v>
      </c>
      <c r="P25" s="36">
        <f t="shared" si="7"/>
        <v>0</v>
      </c>
      <c r="Q25" s="37">
        <f>COUNTIF(Vertices[PageRank], "&gt;= " &amp; P25) - COUNTIF(Vertices[PageRank], "&gt;=" &amp; P26)</f>
        <v>0</v>
      </c>
      <c r="R25" s="36">
        <f t="shared" si="8"/>
        <v>0</v>
      </c>
      <c r="S25" s="41">
        <f>COUNTIF(Vertices[Clustering Coefficient], "&gt;= " &amp; R25) - COUNTIF(Vertices[Clustering Coefficient], "&gt;=" &amp; R26)</f>
        <v>0</v>
      </c>
      <c r="T25" s="36">
        <f t="shared" ca="1" si="9"/>
        <v>43455.258685321387</v>
      </c>
      <c r="U25" s="37">
        <f t="shared" ca="1" si="0"/>
        <v>7</v>
      </c>
    </row>
    <row r="26" spans="1:21" x14ac:dyDescent="0.25">
      <c r="A26" s="31" t="s">
        <v>4808</v>
      </c>
      <c r="B26" s="31" t="s">
        <v>4824</v>
      </c>
      <c r="D26" s="29">
        <f t="shared" si="1"/>
        <v>0</v>
      </c>
      <c r="E26">
        <f>COUNTIF(Vertices[Degree], "&gt;= " &amp; D26) - COUNTIF(Vertices[Degree], "&gt;=" &amp; D27)</f>
        <v>0</v>
      </c>
      <c r="F26" s="34">
        <f t="shared" si="2"/>
        <v>7.7647058823529393</v>
      </c>
      <c r="G26" s="35">
        <f>COUNTIF(Vertices[,,,,], "&gt;= " &amp; F26) - COUNTIF(Vertices[,,,,], "&gt;=" &amp; F27)</f>
        <v>4</v>
      </c>
      <c r="H26" s="34">
        <f t="shared" si="3"/>
        <v>9.8823529411764746</v>
      </c>
      <c r="I26" s="35">
        <f>COUNTIF(Vertices[Out-Degree], "&gt;= " &amp; H26) - COUNTIF(Vertices[Out-Degree], "&gt;=" &amp; H27)</f>
        <v>0</v>
      </c>
      <c r="J26" s="34">
        <f t="shared" si="4"/>
        <v>476.47058823529426</v>
      </c>
      <c r="K26" s="35">
        <f>COUNTIF(Vertices[Betweenness Centrality], "&gt;= " &amp; J26) - COUNTIF(Vertices[Betweenness Centrality], "&gt;=" &amp; J27)</f>
        <v>0</v>
      </c>
      <c r="L26" s="34">
        <f t="shared" si="5"/>
        <v>2.6637176470588227E-2</v>
      </c>
      <c r="M26" s="35">
        <f>COUNTIF(Vertices[Closeness Centrality], "&gt;= " &amp; L26) - COUNTIF(Vertices[Closeness Centrality], "&gt;=" &amp; L27)</f>
        <v>0</v>
      </c>
      <c r="N26" s="34">
        <f t="shared" si="6"/>
        <v>0</v>
      </c>
      <c r="O26" s="35">
        <f>COUNTIF(Vertices[Eigenvector Centrality], "&gt;= " &amp; N26) - COUNTIF(Vertices[Eigenvector Centrality], "&gt;=" &amp; N27)</f>
        <v>0</v>
      </c>
      <c r="P26" s="34">
        <f t="shared" si="7"/>
        <v>0</v>
      </c>
      <c r="Q26" s="35">
        <f>COUNTIF(Vertices[PageRank], "&gt;= " &amp; P26) - COUNTIF(Vertices[PageRank], "&gt;=" &amp; P27)</f>
        <v>0</v>
      </c>
      <c r="R26" s="34">
        <f t="shared" si="8"/>
        <v>0</v>
      </c>
      <c r="S26" s="40">
        <f>COUNTIF(Vertices[Clustering Coefficient], "&gt;= " &amp; R26) - COUNTIF(Vertices[Clustering Coefficient], "&gt;=" &amp; R27)</f>
        <v>0</v>
      </c>
      <c r="T26" s="34">
        <f t="shared" ca="1" si="9"/>
        <v>43641.641789896552</v>
      </c>
      <c r="U26" s="35">
        <f t="shared" ref="U26:U35" ca="1" si="10">COUNTIF(INDIRECT(DynamicFilterSourceColumnRange), "&gt;= " &amp; T26) - COUNTIF(INDIRECT(DynamicFilterSourceColumnRange), "&gt;=" &amp; T27)</f>
        <v>8</v>
      </c>
    </row>
    <row r="27" spans="1:21" x14ac:dyDescent="0.25">
      <c r="A27" s="99"/>
      <c r="B27" s="99"/>
      <c r="D27" s="29">
        <f t="shared" si="1"/>
        <v>0</v>
      </c>
      <c r="E27">
        <f>COUNTIF(Vertices[Degree], "&gt;= " &amp; D27) - COUNTIF(Vertices[Degree], "&gt;=" &amp; D28)</f>
        <v>0</v>
      </c>
      <c r="F27" s="36">
        <f t="shared" si="2"/>
        <v>8.088235294117645</v>
      </c>
      <c r="G27" s="37">
        <f>COUNTIF(Vertices[,,,,], "&gt;= " &amp; F27) - COUNTIF(Vertices[,,,,], "&gt;=" &amp; F28)</f>
        <v>0</v>
      </c>
      <c r="H27" s="36">
        <f t="shared" si="3"/>
        <v>10.294117647058828</v>
      </c>
      <c r="I27" s="37">
        <f>COUNTIF(Vertices[Out-Degree], "&gt;= " &amp; H27) - COUNTIF(Vertices[Out-Degree], "&gt;=" &amp; H28)</f>
        <v>0</v>
      </c>
      <c r="J27" s="36">
        <f t="shared" si="4"/>
        <v>496.32352941176487</v>
      </c>
      <c r="K27" s="37">
        <f>COUNTIF(Vertices[Betweenness Centrality], "&gt;= " &amp; J27) - COUNTIF(Vertices[Betweenness Centrality], "&gt;=" &amp; J28)</f>
        <v>0</v>
      </c>
      <c r="L27" s="36">
        <f t="shared" si="5"/>
        <v>2.7747058823529402E-2</v>
      </c>
      <c r="M27" s="37">
        <f>COUNTIF(Vertices[Closeness Centrality], "&gt;= " &amp; L27) - COUNTIF(Vertices[Closeness Centrality], "&gt;=" &amp; L28)</f>
        <v>0</v>
      </c>
      <c r="N27" s="36">
        <f t="shared" si="6"/>
        <v>0</v>
      </c>
      <c r="O27" s="37">
        <f>COUNTIF(Vertices[Eigenvector Centrality], "&gt;= " &amp; N27) - COUNTIF(Vertices[Eigenvector Centrality], "&gt;=" &amp; N28)</f>
        <v>0</v>
      </c>
      <c r="P27" s="36">
        <f t="shared" si="7"/>
        <v>0</v>
      </c>
      <c r="Q27" s="37">
        <f>COUNTIF(Vertices[PageRank], "&gt;= " &amp; P27) - COUNTIF(Vertices[PageRank], "&gt;=" &amp; P28)</f>
        <v>0</v>
      </c>
      <c r="R27" s="36">
        <f t="shared" si="8"/>
        <v>0</v>
      </c>
      <c r="S27" s="41">
        <f>COUNTIF(Vertices[Clustering Coefficient], "&gt;= " &amp; R27) - COUNTIF(Vertices[Clustering Coefficient], "&gt;=" &amp; R28)</f>
        <v>0</v>
      </c>
      <c r="T27" s="36">
        <f t="shared" ca="1" si="9"/>
        <v>43828.024894471717</v>
      </c>
      <c r="U27" s="37">
        <f t="shared" ca="1" si="10"/>
        <v>11</v>
      </c>
    </row>
    <row r="28" spans="1:21" x14ac:dyDescent="0.25">
      <c r="A28" s="31" t="s">
        <v>4809</v>
      </c>
      <c r="B28" s="31" t="s">
        <v>85</v>
      </c>
      <c r="D28" s="29">
        <f t="shared" si="1"/>
        <v>0</v>
      </c>
      <c r="E28">
        <f>COUNTIF(Vertices[Degree], "&gt;= " &amp; D28) - COUNTIF(Vertices[Degree], "&gt;=" &amp; D29)</f>
        <v>0</v>
      </c>
      <c r="F28" s="34">
        <f t="shared" si="2"/>
        <v>8.4117647058823515</v>
      </c>
      <c r="G28" s="35">
        <f>COUNTIF(Vertices[,,,,], "&gt;= " &amp; F28) - COUNTIF(Vertices[,,,,], "&gt;=" &amp; F29)</f>
        <v>0</v>
      </c>
      <c r="H28" s="34">
        <f t="shared" si="3"/>
        <v>10.705882352941181</v>
      </c>
      <c r="I28" s="35">
        <f>COUNTIF(Vertices[Out-Degree], "&gt;= " &amp; H28) - COUNTIF(Vertices[Out-Degree], "&gt;=" &amp; H29)</f>
        <v>0</v>
      </c>
      <c r="J28" s="34">
        <f t="shared" si="4"/>
        <v>516.17647058823547</v>
      </c>
      <c r="K28" s="35">
        <f>COUNTIF(Vertices[Betweenness Centrality], "&gt;= " &amp; J28) - COUNTIF(Vertices[Betweenness Centrality], "&gt;=" &amp; J29)</f>
        <v>1</v>
      </c>
      <c r="L28" s="34">
        <f t="shared" si="5"/>
        <v>2.8856941176470578E-2</v>
      </c>
      <c r="M28" s="35">
        <f>COUNTIF(Vertices[Closeness Centrality], "&gt;= " &amp; L28) - COUNTIF(Vertices[Closeness Centrality], "&gt;=" &amp; L29)</f>
        <v>1</v>
      </c>
      <c r="N28" s="34">
        <f t="shared" si="6"/>
        <v>0</v>
      </c>
      <c r="O28" s="35">
        <f>COUNTIF(Vertices[Eigenvector Centrality], "&gt;= " &amp; N28) - COUNTIF(Vertices[Eigenvector Centrality], "&gt;=" &amp; N29)</f>
        <v>0</v>
      </c>
      <c r="P28" s="34">
        <f t="shared" si="7"/>
        <v>0</v>
      </c>
      <c r="Q28" s="35">
        <f>COUNTIF(Vertices[PageRank], "&gt;= " &amp; P28) - COUNTIF(Vertices[PageRank], "&gt;=" &amp; P29)</f>
        <v>0</v>
      </c>
      <c r="R28" s="34">
        <f t="shared" si="8"/>
        <v>0</v>
      </c>
      <c r="S28" s="40">
        <f>COUNTIF(Vertices[Clustering Coefficient], "&gt;= " &amp; R28) - COUNTIF(Vertices[Clustering Coefficient], "&gt;=" &amp; R29)</f>
        <v>0</v>
      </c>
      <c r="T28" s="34">
        <f t="shared" ca="1" si="9"/>
        <v>44014.407999046882</v>
      </c>
      <c r="U28" s="35">
        <f t="shared" ca="1" si="10"/>
        <v>17</v>
      </c>
    </row>
    <row r="29" spans="1:21" x14ac:dyDescent="0.25">
      <c r="A29" s="31" t="s">
        <v>4810</v>
      </c>
      <c r="B29" s="31" t="s">
        <v>85</v>
      </c>
      <c r="D29" s="29">
        <f t="shared" si="1"/>
        <v>0</v>
      </c>
      <c r="E29">
        <f>COUNTIF(Vertices[Degree], "&gt;= " &amp; D29) - COUNTIF(Vertices[Degree], "&gt;=" &amp; D30)</f>
        <v>0</v>
      </c>
      <c r="F29" s="36">
        <f t="shared" si="2"/>
        <v>8.735294117647058</v>
      </c>
      <c r="G29" s="37">
        <f>COUNTIF(Vertices[,,,,], "&gt;= " &amp; F29) - COUNTIF(Vertices[,,,,], "&gt;=" &amp; F30)</f>
        <v>0</v>
      </c>
      <c r="H29" s="36">
        <f t="shared" si="3"/>
        <v>11.117647058823534</v>
      </c>
      <c r="I29" s="37">
        <f>COUNTIF(Vertices[Out-Degree], "&gt;= " &amp; H29) - COUNTIF(Vertices[Out-Degree], "&gt;=" &amp; H30)</f>
        <v>0</v>
      </c>
      <c r="J29" s="36">
        <f t="shared" si="4"/>
        <v>536.02941176470608</v>
      </c>
      <c r="K29" s="37">
        <f>COUNTIF(Vertices[Betweenness Centrality], "&gt;= " &amp; J29) - COUNTIF(Vertices[Betweenness Centrality], "&gt;=" &amp; J30)</f>
        <v>0</v>
      </c>
      <c r="L29" s="36">
        <f t="shared" si="5"/>
        <v>2.9966823529411754E-2</v>
      </c>
      <c r="M29" s="37">
        <f>COUNTIF(Vertices[Closeness Centrality], "&gt;= " &amp; L29) - COUNTIF(Vertices[Closeness Centrality], "&gt;=" &amp; L30)</f>
        <v>0</v>
      </c>
      <c r="N29" s="36">
        <f t="shared" si="6"/>
        <v>0</v>
      </c>
      <c r="O29" s="37">
        <f>COUNTIF(Vertices[Eigenvector Centrality], "&gt;= " &amp; N29) - COUNTIF(Vertices[Eigenvector Centrality], "&gt;=" &amp; N30)</f>
        <v>0</v>
      </c>
      <c r="P29" s="36">
        <f t="shared" si="7"/>
        <v>0</v>
      </c>
      <c r="Q29" s="37">
        <f>COUNTIF(Vertices[PageRank], "&gt;= " &amp; P29) - COUNTIF(Vertices[PageRank], "&gt;=" &amp; P30)</f>
        <v>0</v>
      </c>
      <c r="R29" s="36">
        <f t="shared" si="8"/>
        <v>0</v>
      </c>
      <c r="S29" s="41">
        <f>COUNTIF(Vertices[Clustering Coefficient], "&gt;= " &amp; R29) - COUNTIF(Vertices[Clustering Coefficient], "&gt;=" &amp; R30)</f>
        <v>0</v>
      </c>
      <c r="T29" s="36">
        <f t="shared" ca="1" si="9"/>
        <v>44200.791103622047</v>
      </c>
      <c r="U29" s="37">
        <f t="shared" ca="1" si="10"/>
        <v>9</v>
      </c>
    </row>
    <row r="30" spans="1:21" x14ac:dyDescent="0.25">
      <c r="A30" s="99"/>
      <c r="B30" s="99"/>
      <c r="D30" s="29">
        <f t="shared" si="1"/>
        <v>0</v>
      </c>
      <c r="E30">
        <f>COUNTIF(Vertices[Degree], "&gt;= " &amp; D30) - COUNTIF(Vertices[Degree], "&gt;=" &amp; D31)</f>
        <v>0</v>
      </c>
      <c r="F30" s="34">
        <f t="shared" si="2"/>
        <v>9.0588235294117645</v>
      </c>
      <c r="G30" s="35">
        <f>COUNTIF(Vertices[,,,,], "&gt;= " &amp; F30) - COUNTIF(Vertices[,,,,], "&gt;=" &amp; F31)</f>
        <v>0</v>
      </c>
      <c r="H30" s="34">
        <f t="shared" si="3"/>
        <v>11.529411764705888</v>
      </c>
      <c r="I30" s="35">
        <f>COUNTIF(Vertices[Out-Degree], "&gt;= " &amp; H30) - COUNTIF(Vertices[Out-Degree], "&gt;=" &amp; H31)</f>
        <v>0</v>
      </c>
      <c r="J30" s="34">
        <f t="shared" si="4"/>
        <v>555.88235294117669</v>
      </c>
      <c r="K30" s="35">
        <f>COUNTIF(Vertices[Betweenness Centrality], "&gt;= " &amp; J30) - COUNTIF(Vertices[Betweenness Centrality], "&gt;=" &amp; J31)</f>
        <v>0</v>
      </c>
      <c r="L30" s="34">
        <f t="shared" si="5"/>
        <v>3.107670588235293E-2</v>
      </c>
      <c r="M30" s="35">
        <f>COUNTIF(Vertices[Closeness Centrality], "&gt;= " &amp; L30) - COUNTIF(Vertices[Closeness Centrality], "&gt;=" &amp; L31)</f>
        <v>0</v>
      </c>
      <c r="N30" s="34">
        <f t="shared" si="6"/>
        <v>0</v>
      </c>
      <c r="O30" s="35">
        <f>COUNTIF(Vertices[Eigenvector Centrality], "&gt;= " &amp; N30) - COUNTIF(Vertices[Eigenvector Centrality], "&gt;=" &amp; N31)</f>
        <v>0</v>
      </c>
      <c r="P30" s="34">
        <f t="shared" si="7"/>
        <v>0</v>
      </c>
      <c r="Q30" s="35">
        <f>COUNTIF(Vertices[PageRank], "&gt;= " &amp; P30) - COUNTIF(Vertices[PageRank], "&gt;=" &amp; P31)</f>
        <v>0</v>
      </c>
      <c r="R30" s="34">
        <f t="shared" si="8"/>
        <v>0</v>
      </c>
      <c r="S30" s="40">
        <f>COUNTIF(Vertices[Clustering Coefficient], "&gt;= " &amp; R30) - COUNTIF(Vertices[Clustering Coefficient], "&gt;=" &amp; R31)</f>
        <v>0</v>
      </c>
      <c r="T30" s="34">
        <f t="shared" ca="1" si="9"/>
        <v>44387.174208197212</v>
      </c>
      <c r="U30" s="35">
        <f t="shared" ca="1" si="10"/>
        <v>12</v>
      </c>
    </row>
    <row r="31" spans="1:21" x14ac:dyDescent="0.25">
      <c r="A31" s="31" t="s">
        <v>4811</v>
      </c>
      <c r="B31" s="31" t="s">
        <v>4825</v>
      </c>
      <c r="D31" s="29">
        <f t="shared" si="1"/>
        <v>0</v>
      </c>
      <c r="E31">
        <f>COUNTIF(Vertices[Degree], "&gt;= " &amp; D31) - COUNTIF(Vertices[Degree], "&gt;=" &amp; D32)</f>
        <v>0</v>
      </c>
      <c r="F31" s="36">
        <f t="shared" si="2"/>
        <v>9.382352941176471</v>
      </c>
      <c r="G31" s="37">
        <f>COUNTIF(Vertices[,,,,], "&gt;= " &amp; F31) - COUNTIF(Vertices[,,,,], "&gt;=" &amp; F32)</f>
        <v>0</v>
      </c>
      <c r="H31" s="36">
        <f t="shared" si="3"/>
        <v>11.941176470588241</v>
      </c>
      <c r="I31" s="37">
        <f>COUNTIF(Vertices[Out-Degree], "&gt;= " &amp; H31) - COUNTIF(Vertices[Out-Degree], "&gt;=" &amp; H32)</f>
        <v>1</v>
      </c>
      <c r="J31" s="36">
        <f t="shared" si="4"/>
        <v>575.7352941176473</v>
      </c>
      <c r="K31" s="37">
        <f>COUNTIF(Vertices[Betweenness Centrality], "&gt;= " &amp; J31) - COUNTIF(Vertices[Betweenness Centrality], "&gt;=" &amp; J32)</f>
        <v>0</v>
      </c>
      <c r="L31" s="36">
        <f t="shared" si="5"/>
        <v>3.2186588235294106E-2</v>
      </c>
      <c r="M31" s="37">
        <f>COUNTIF(Vertices[Closeness Centrality], "&gt;= " &amp; L31) - COUNTIF(Vertices[Closeness Centrality], "&gt;=" &amp; L32)</f>
        <v>1</v>
      </c>
      <c r="N31" s="36">
        <f t="shared" si="6"/>
        <v>0</v>
      </c>
      <c r="O31" s="37">
        <f>COUNTIF(Vertices[Eigenvector Centrality], "&gt;= " &amp; N31) - COUNTIF(Vertices[Eigenvector Centrality], "&gt;=" &amp; N32)</f>
        <v>0</v>
      </c>
      <c r="P31" s="36">
        <f t="shared" si="7"/>
        <v>0</v>
      </c>
      <c r="Q31" s="37">
        <f>COUNTIF(Vertices[PageRank], "&gt;= " &amp; P31) - COUNTIF(Vertices[PageRank], "&gt;=" &amp; P32)</f>
        <v>0</v>
      </c>
      <c r="R31" s="36">
        <f t="shared" si="8"/>
        <v>0</v>
      </c>
      <c r="S31" s="41">
        <f>COUNTIF(Vertices[Clustering Coefficient], "&gt;= " &amp; R31) - COUNTIF(Vertices[Clustering Coefficient], "&gt;=" &amp; R32)</f>
        <v>0</v>
      </c>
      <c r="T31" s="36">
        <f t="shared" ca="1" si="9"/>
        <v>44573.557312772376</v>
      </c>
      <c r="U31" s="37">
        <f t="shared" ca="1" si="10"/>
        <v>19</v>
      </c>
    </row>
    <row r="32" spans="1:21" x14ac:dyDescent="0.25">
      <c r="A32" s="31" t="s">
        <v>4812</v>
      </c>
      <c r="B32" s="31" t="s">
        <v>4826</v>
      </c>
      <c r="D32" s="29">
        <f t="shared" si="1"/>
        <v>0</v>
      </c>
      <c r="E32">
        <f>COUNTIF(Vertices[Degree], "&gt;= " &amp; D32) - COUNTIF(Vertices[Degree], "&gt;=" &amp; D33)</f>
        <v>0</v>
      </c>
      <c r="F32" s="34">
        <f t="shared" si="2"/>
        <v>9.7058823529411775</v>
      </c>
      <c r="G32" s="35">
        <f>COUNTIF(Vertices[,,,,], "&gt;= " &amp; F32) - COUNTIF(Vertices[,,,,], "&gt;=" &amp; F33)</f>
        <v>0</v>
      </c>
      <c r="H32" s="34">
        <f t="shared" si="3"/>
        <v>12.352941176470594</v>
      </c>
      <c r="I32" s="35">
        <f>COUNTIF(Vertices[Out-Degree], "&gt;= " &amp; H32) - COUNTIF(Vertices[Out-Degree], "&gt;=" &amp; H33)</f>
        <v>0</v>
      </c>
      <c r="J32" s="34">
        <f t="shared" si="4"/>
        <v>595.58823529411791</v>
      </c>
      <c r="K32" s="35">
        <f>COUNTIF(Vertices[Betweenness Centrality], "&gt;= " &amp; J32) - COUNTIF(Vertices[Betweenness Centrality], "&gt;=" &amp; J33)</f>
        <v>0</v>
      </c>
      <c r="L32" s="34">
        <f t="shared" si="5"/>
        <v>3.3296470588235282E-2</v>
      </c>
      <c r="M32" s="35">
        <f>COUNTIF(Vertices[Closeness Centrality], "&gt;= " &amp; L32) - COUNTIF(Vertices[Closeness Centrality], "&gt;=" &amp; L33)</f>
        <v>0</v>
      </c>
      <c r="N32" s="34">
        <f t="shared" si="6"/>
        <v>0</v>
      </c>
      <c r="O32" s="35">
        <f>COUNTIF(Vertices[Eigenvector Centrality], "&gt;= " &amp; N32) - COUNTIF(Vertices[Eigenvector Centrality], "&gt;=" &amp; N33)</f>
        <v>0</v>
      </c>
      <c r="P32" s="34">
        <f t="shared" si="7"/>
        <v>0</v>
      </c>
      <c r="Q32" s="35">
        <f>COUNTIF(Vertices[PageRank], "&gt;= " &amp; P32) - COUNTIF(Vertices[PageRank], "&gt;=" &amp; P33)</f>
        <v>0</v>
      </c>
      <c r="R32" s="34">
        <f t="shared" si="8"/>
        <v>0</v>
      </c>
      <c r="S32" s="40">
        <f>COUNTIF(Vertices[Clustering Coefficient], "&gt;= " &amp; R32) - COUNTIF(Vertices[Clustering Coefficient], "&gt;=" &amp; R33)</f>
        <v>0</v>
      </c>
      <c r="T32" s="34">
        <f t="shared" ca="1" si="9"/>
        <v>44759.940417347541</v>
      </c>
      <c r="U32" s="35">
        <f t="shared" ca="1" si="10"/>
        <v>14</v>
      </c>
    </row>
    <row r="33" spans="1:21" x14ac:dyDescent="0.25">
      <c r="A33" s="31" t="s">
        <v>4813</v>
      </c>
      <c r="B33" s="31" t="s">
        <v>4827</v>
      </c>
      <c r="D33" s="29">
        <f t="shared" si="1"/>
        <v>0</v>
      </c>
      <c r="E33">
        <f>COUNTIF(Vertices[Degree], "&gt;= " &amp; D33) - COUNTIF(Vertices[Degree], "&gt;=" &amp; D34)</f>
        <v>0</v>
      </c>
      <c r="F33" s="36">
        <f t="shared" si="2"/>
        <v>10.029411764705884</v>
      </c>
      <c r="G33" s="37">
        <f>COUNTIF(Vertices[,,,,], "&gt;= " &amp; F33) - COUNTIF(Vertices[,,,,], "&gt;=" &amp; F34)</f>
        <v>0</v>
      </c>
      <c r="H33" s="36">
        <f t="shared" si="3"/>
        <v>12.764705882352947</v>
      </c>
      <c r="I33" s="37">
        <f>COUNTIF(Vertices[Out-Degree], "&gt;= " &amp; H33) - COUNTIF(Vertices[Out-Degree], "&gt;=" &amp; H34)</f>
        <v>1</v>
      </c>
      <c r="J33" s="36">
        <f t="shared" si="4"/>
        <v>615.44117647058852</v>
      </c>
      <c r="K33" s="37">
        <f>COUNTIF(Vertices[Betweenness Centrality], "&gt;= " &amp; J33) - COUNTIF(Vertices[Betweenness Centrality], "&gt;=" &amp; J34)</f>
        <v>0</v>
      </c>
      <c r="L33" s="36">
        <f t="shared" si="5"/>
        <v>3.4406352941176457E-2</v>
      </c>
      <c r="M33" s="37">
        <f>COUNTIF(Vertices[Closeness Centrality], "&gt;= " &amp; L33) - COUNTIF(Vertices[Closeness Centrality], "&gt;=" &amp; L34)</f>
        <v>0</v>
      </c>
      <c r="N33" s="36">
        <f t="shared" si="6"/>
        <v>0</v>
      </c>
      <c r="O33" s="37">
        <f>COUNTIF(Vertices[Eigenvector Centrality], "&gt;= " &amp; N33) - COUNTIF(Vertices[Eigenvector Centrality], "&gt;=" &amp; N34)</f>
        <v>0</v>
      </c>
      <c r="P33" s="36">
        <f t="shared" si="7"/>
        <v>0</v>
      </c>
      <c r="Q33" s="37">
        <f>COUNTIF(Vertices[PageRank], "&gt;= " &amp; P33) - COUNTIF(Vertices[PageRank], "&gt;=" &amp; P34)</f>
        <v>0</v>
      </c>
      <c r="R33" s="36">
        <f t="shared" si="8"/>
        <v>0</v>
      </c>
      <c r="S33" s="41">
        <f>COUNTIF(Vertices[Clustering Coefficient], "&gt;= " &amp; R33) - COUNTIF(Vertices[Clustering Coefficient], "&gt;=" &amp; R34)</f>
        <v>0</v>
      </c>
      <c r="T33" s="36">
        <f t="shared" ca="1" si="9"/>
        <v>44946.323521922706</v>
      </c>
      <c r="U33" s="37">
        <f t="shared" ca="1" si="10"/>
        <v>14</v>
      </c>
    </row>
    <row r="34" spans="1:21" x14ac:dyDescent="0.25">
      <c r="A34" s="31" t="s">
        <v>4814</v>
      </c>
      <c r="B34" s="31" t="s">
        <v>4828</v>
      </c>
      <c r="D34" s="29">
        <f t="shared" si="1"/>
        <v>0</v>
      </c>
      <c r="E34">
        <f>COUNTIF(Vertices[Degree], "&gt;= " &amp; D34) - COUNTIF(Vertices[Degree], "&gt;=" &amp; D35)</f>
        <v>0</v>
      </c>
      <c r="F34" s="34">
        <f t="shared" si="2"/>
        <v>10.352941176470591</v>
      </c>
      <c r="G34" s="35">
        <f>COUNTIF(Vertices[,,,,], "&gt;= " &amp; F34) - COUNTIF(Vertices[,,,,], "&gt;=" &amp; F35)</f>
        <v>0</v>
      </c>
      <c r="H34" s="34">
        <f t="shared" si="3"/>
        <v>13.176470588235301</v>
      </c>
      <c r="I34" s="35">
        <f>COUNTIF(Vertices[Out-Degree], "&gt;= " &amp; H34) - COUNTIF(Vertices[Out-Degree], "&gt;=" &amp; H35)</f>
        <v>0</v>
      </c>
      <c r="J34" s="34">
        <f t="shared" si="4"/>
        <v>635.29411764705912</v>
      </c>
      <c r="K34" s="35">
        <f>COUNTIF(Vertices[Betweenness Centrality], "&gt;= " &amp; J34) - COUNTIF(Vertices[Betweenness Centrality], "&gt;=" &amp; J35)</f>
        <v>0</v>
      </c>
      <c r="L34" s="34">
        <f t="shared" si="5"/>
        <v>3.5516235294117633E-2</v>
      </c>
      <c r="M34" s="35">
        <f>COUNTIF(Vertices[Closeness Centrality], "&gt;= " &amp; L34) - COUNTIF(Vertices[Closeness Centrality], "&gt;=" &amp; L35)</f>
        <v>0</v>
      </c>
      <c r="N34" s="34">
        <f t="shared" si="6"/>
        <v>0</v>
      </c>
      <c r="O34" s="35">
        <f>COUNTIF(Vertices[Eigenvector Centrality], "&gt;= " &amp; N34) - COUNTIF(Vertices[Eigenvector Centrality], "&gt;=" &amp; N35)</f>
        <v>0</v>
      </c>
      <c r="P34" s="34">
        <f t="shared" si="7"/>
        <v>0</v>
      </c>
      <c r="Q34" s="35">
        <f>COUNTIF(Vertices[PageRank], "&gt;= " &amp; P34) - COUNTIF(Vertices[PageRank], "&gt;=" &amp; P35)</f>
        <v>0</v>
      </c>
      <c r="R34" s="34">
        <f t="shared" si="8"/>
        <v>0</v>
      </c>
      <c r="S34" s="40">
        <f>COUNTIF(Vertices[Clustering Coefficient], "&gt;= " &amp; R34) - COUNTIF(Vertices[Clustering Coefficient], "&gt;=" &amp; R35)</f>
        <v>0</v>
      </c>
      <c r="T34" s="34">
        <f t="shared" ca="1" si="9"/>
        <v>45132.706626497871</v>
      </c>
      <c r="U34" s="35">
        <f t="shared" ca="1" si="10"/>
        <v>3</v>
      </c>
    </row>
    <row r="35" spans="1:21" x14ac:dyDescent="0.25">
      <c r="A35" s="31" t="s">
        <v>4815</v>
      </c>
      <c r="B35" s="31" t="s">
        <v>85</v>
      </c>
      <c r="D35" s="29">
        <f t="shared" si="1"/>
        <v>0</v>
      </c>
      <c r="E35">
        <f>COUNTIF(Vertices[Degree], "&gt;= " &amp; D35) - COUNTIF(Vertices[Degree], "&gt;=" &amp; D36)</f>
        <v>0</v>
      </c>
      <c r="F35" s="36">
        <f t="shared" si="2"/>
        <v>10.676470588235297</v>
      </c>
      <c r="G35" s="37">
        <f>COUNTIF(Vertices[,,,,], "&gt;= " &amp; F35) - COUNTIF(Vertices[,,,,], "&gt;=" &amp; F36)</f>
        <v>0</v>
      </c>
      <c r="H35" s="36">
        <f t="shared" si="3"/>
        <v>13.588235294117654</v>
      </c>
      <c r="I35" s="37">
        <f>COUNTIF(Vertices[Out-Degree], "&gt;= " &amp; H35) - COUNTIF(Vertices[Out-Degree], "&gt;=" &amp; H36)</f>
        <v>0</v>
      </c>
      <c r="J35" s="36">
        <f t="shared" si="4"/>
        <v>655.14705882352973</v>
      </c>
      <c r="K35" s="37">
        <f>COUNTIF(Vertices[Betweenness Centrality], "&gt;= " &amp; J35) - COUNTIF(Vertices[Betweenness Centrality], "&gt;=" &amp; J36)</f>
        <v>0</v>
      </c>
      <c r="L35" s="36">
        <f t="shared" si="5"/>
        <v>3.6626117647058809E-2</v>
      </c>
      <c r="M35" s="37">
        <f>COUNTIF(Vertices[Closeness Centrality], "&gt;= " &amp; L35) - COUNTIF(Vertices[Closeness Centrality], "&gt;=" &amp; L36)</f>
        <v>0</v>
      </c>
      <c r="N35" s="36">
        <f t="shared" si="6"/>
        <v>0</v>
      </c>
      <c r="O35" s="37">
        <f>COUNTIF(Vertices[Eigenvector Centrality], "&gt;= " &amp; N35) - COUNTIF(Vertices[Eigenvector Centrality], "&gt;=" &amp; N36)</f>
        <v>0</v>
      </c>
      <c r="P35" s="36">
        <f t="shared" si="7"/>
        <v>0</v>
      </c>
      <c r="Q35" s="37">
        <f>COUNTIF(Vertices[PageRank], "&gt;= " &amp; P35) - COUNTIF(Vertices[PageRank], "&gt;=" &amp; P36)</f>
        <v>0</v>
      </c>
      <c r="R35" s="36">
        <f t="shared" si="8"/>
        <v>0</v>
      </c>
      <c r="S35" s="41">
        <f>COUNTIF(Vertices[Clustering Coefficient], "&gt;= " &amp; R35) - COUNTIF(Vertices[Clustering Coefficient], "&gt;=" &amp; R36)</f>
        <v>0</v>
      </c>
      <c r="T35" s="36">
        <f t="shared" ca="1" si="9"/>
        <v>45319.089731073036</v>
      </c>
      <c r="U35" s="37">
        <f t="shared" ca="1" si="10"/>
        <v>14</v>
      </c>
    </row>
    <row r="36" spans="1:21" x14ac:dyDescent="0.25">
      <c r="A36" s="31" t="s">
        <v>4816</v>
      </c>
      <c r="B36" s="31" t="s">
        <v>85</v>
      </c>
      <c r="D36" s="29">
        <f>MAX(Vertices[Degree])</f>
        <v>0</v>
      </c>
      <c r="E36">
        <f>COUNTIF(Vertices[Degree], "&gt;= " &amp; D36) - COUNTIF(Vertices[Degree], "&gt;=" &amp;#REF!)</f>
        <v>0</v>
      </c>
      <c r="F36" s="38">
        <f>MAX(Vertices[,,,,])</f>
        <v>11</v>
      </c>
      <c r="G36" s="39">
        <f>COUNTIF(Vertices[,,,,], "&gt;= " &amp; F36) - COUNTIF(Vertices[,,,,], "&gt;=" &amp;#REF!)</f>
        <v>1</v>
      </c>
      <c r="H36" s="38">
        <f>MAX(Vertices[Out-Degree])</f>
        <v>14</v>
      </c>
      <c r="I36" s="39">
        <f>COUNTIF(Vertices[Out-Degree], "&gt;= " &amp; H36) - COUNTIF(Vertices[Out-Degree], "&gt;=" &amp;#REF!)</f>
        <v>1</v>
      </c>
      <c r="J36" s="38">
        <f>MAX(Vertices[Betweenness Centrality])</f>
        <v>675</v>
      </c>
      <c r="K36" s="39">
        <f>COUNTIF(Vertices[Betweenness Centrality], "&gt;= " &amp; J36) - COUNTIF(Vertices[Betweenness Centrality], "&gt;=" &amp;#REF!)</f>
        <v>1</v>
      </c>
      <c r="L36" s="38">
        <f>MAX(Vertices[Closeness Centrality])</f>
        <v>3.7735999999999999E-2</v>
      </c>
      <c r="M36" s="39">
        <f>COUNTIF(Vertices[Closeness Centrality], "&gt;= " &amp; L36) - COUNTIF(Vertices[Closeness Centrality], "&gt;=" &amp;#REF!)</f>
        <v>1</v>
      </c>
      <c r="N36" s="38">
        <f>MAX(Vertices[Eigenvector Centrality])</f>
        <v>0</v>
      </c>
      <c r="O36" s="39">
        <f>COUNTIF(Vertices[Eigenvector Centrality], "&gt;= " &amp; N36) - COUNTIF(Vertices[Eigenvector Centrality], "&gt;=" &amp;#REF!)</f>
        <v>0</v>
      </c>
      <c r="P36" s="38">
        <f>MAX(Vertices[PageRank])</f>
        <v>0</v>
      </c>
      <c r="Q36" s="39">
        <f>COUNTIF(Vertices[PageRank], "&gt;= " &amp; P36) - COUNTIF(Vertices[PageRank], "&gt;=" &amp;#REF!)</f>
        <v>0</v>
      </c>
      <c r="R36" s="38">
        <f>MAX(Vertices[Clustering Coefficient])</f>
        <v>0</v>
      </c>
      <c r="S36" s="42">
        <f>COUNTIF(Vertices[Clustering Coefficient], "&gt;= " &amp; R36) - COUNTIF(Vertices[Clustering Coefficient], "&gt;=" &amp;#REF!)</f>
        <v>0</v>
      </c>
      <c r="T36" s="38">
        <f ca="1">MAX(INDIRECT(DynamicFilterSourceColumnRange))</f>
        <v>45505.47283564815</v>
      </c>
      <c r="U36" s="39">
        <f ca="1">COUNTIF(INDIRECT(DynamicFilterSourceColumnRange), "&gt;= " &amp; T36) - COUNTIF(INDIRECT(DynamicFilterSourceColumnRange), "&gt;=" &amp;#REF!)</f>
        <v>1</v>
      </c>
    </row>
    <row r="37" spans="1:21" x14ac:dyDescent="0.25">
      <c r="A37" s="31" t="s">
        <v>4817</v>
      </c>
      <c r="B37" s="31" t="s">
        <v>85</v>
      </c>
    </row>
    <row r="38" spans="1:21" x14ac:dyDescent="0.25">
      <c r="A38" s="31" t="s">
        <v>4818</v>
      </c>
      <c r="B38" s="31" t="s">
        <v>85</v>
      </c>
    </row>
    <row r="39" spans="1:21" x14ac:dyDescent="0.25">
      <c r="A39" s="31" t="s">
        <v>4819</v>
      </c>
      <c r="B39" s="31" t="s">
        <v>85</v>
      </c>
    </row>
    <row r="40" spans="1:21" x14ac:dyDescent="0.25">
      <c r="A40" s="31" t="s">
        <v>21</v>
      </c>
      <c r="B40" s="31" t="s">
        <v>85</v>
      </c>
    </row>
    <row r="41" spans="1:21" x14ac:dyDescent="0.25">
      <c r="A41" s="31" t="s">
        <v>4820</v>
      </c>
      <c r="B41" s="31" t="s">
        <v>85</v>
      </c>
    </row>
    <row r="42" spans="1:21" x14ac:dyDescent="0.25">
      <c r="A42" s="31" t="s">
        <v>4821</v>
      </c>
      <c r="B42" s="31" t="s">
        <v>85</v>
      </c>
    </row>
    <row r="43" spans="1:21" x14ac:dyDescent="0.25">
      <c r="A43" s="31" t="s">
        <v>4822</v>
      </c>
      <c r="B43" s="31" t="s">
        <v>85</v>
      </c>
    </row>
    <row r="60" spans="1:2" x14ac:dyDescent="0.25">
      <c r="A60" t="s">
        <v>162</v>
      </c>
      <c r="B60" t="s">
        <v>17</v>
      </c>
    </row>
    <row r="61" spans="1:2" x14ac:dyDescent="0.25">
      <c r="A61" s="30"/>
      <c r="B61" s="30"/>
    </row>
    <row r="74" spans="1:2" x14ac:dyDescent="0.25">
      <c r="A74" s="30" t="s">
        <v>81</v>
      </c>
      <c r="B74" s="43" t="str">
        <f>IF(COUNT(Vertices[Degree])&gt;0, D2, NoMetricMessage)</f>
        <v>Not Available</v>
      </c>
    </row>
    <row r="75" spans="1:2" x14ac:dyDescent="0.25">
      <c r="A75" s="30" t="s">
        <v>82</v>
      </c>
      <c r="B75" s="43" t="str">
        <f>IF(COUNT(Vertices[Degree])&gt;0, D36, NoMetricMessage)</f>
        <v>Not Available</v>
      </c>
    </row>
    <row r="76" spans="1:2" x14ac:dyDescent="0.25">
      <c r="A76" s="30" t="s">
        <v>83</v>
      </c>
      <c r="B76" s="44" t="str">
        <f>IFERROR(AVERAGE(Vertices[Degree]),NoMetricMessage)</f>
        <v>Not Available</v>
      </c>
    </row>
    <row r="77" spans="1:2" x14ac:dyDescent="0.25">
      <c r="A77" s="30" t="s">
        <v>84</v>
      </c>
      <c r="B77" s="44" t="str">
        <f>IFERROR(MEDIAN(Vertices[Degree]),NoMetricMessage)</f>
        <v>Not Available</v>
      </c>
    </row>
    <row r="88" spans="1:2" x14ac:dyDescent="0.25">
      <c r="A88" s="30" t="s">
        <v>88</v>
      </c>
      <c r="B88" s="43">
        <f>IF(COUNT(Vertices[,,,,])&gt;0, F2, NoMetricMessage)</f>
        <v>0</v>
      </c>
    </row>
    <row r="89" spans="1:2" x14ac:dyDescent="0.25">
      <c r="A89" s="30" t="s">
        <v>89</v>
      </c>
      <c r="B89" s="43">
        <f>IF(COUNT(Vertices[,,,,])&gt;0, F36, NoMetricMessage)</f>
        <v>11</v>
      </c>
    </row>
    <row r="90" spans="1:2" x14ac:dyDescent="0.25">
      <c r="A90" s="30" t="s">
        <v>90</v>
      </c>
      <c r="B90" s="44">
        <f>IFERROR(AVERAGE(Vertices[,,,,]),NoMetricMessage)</f>
        <v>0.87344398340248963</v>
      </c>
    </row>
    <row r="91" spans="1:2" x14ac:dyDescent="0.25">
      <c r="A91" s="30" t="s">
        <v>91</v>
      </c>
      <c r="B91" s="44">
        <f>IFERROR(MEDIAN(Vertices[,,,,]),NoMetricMessage)</f>
        <v>1</v>
      </c>
    </row>
    <row r="102" spans="1:2" x14ac:dyDescent="0.25">
      <c r="A102" s="30" t="s">
        <v>94</v>
      </c>
      <c r="B102" s="43">
        <f>IF(COUNT(Vertices[Out-Degree])&gt;0, H2, NoMetricMessage)</f>
        <v>0</v>
      </c>
    </row>
    <row r="103" spans="1:2" x14ac:dyDescent="0.25">
      <c r="A103" s="30" t="s">
        <v>95</v>
      </c>
      <c r="B103" s="43">
        <f>IF(COUNT(Vertices[Out-Degree])&gt;0, H36, NoMetricMessage)</f>
        <v>14</v>
      </c>
    </row>
    <row r="104" spans="1:2" x14ac:dyDescent="0.25">
      <c r="A104" s="30" t="s">
        <v>96</v>
      </c>
      <c r="B104" s="44">
        <f>IFERROR(AVERAGE(Vertices[Out-Degree]),NoMetricMessage)</f>
        <v>0.87344398340248963</v>
      </c>
    </row>
    <row r="105" spans="1:2" x14ac:dyDescent="0.25">
      <c r="A105" s="30" t="s">
        <v>97</v>
      </c>
      <c r="B105" s="44">
        <f>IFERROR(MEDIAN(Vertices[Out-Degree]),NoMetricMessage)</f>
        <v>1</v>
      </c>
    </row>
    <row r="116" spans="1:2" x14ac:dyDescent="0.25">
      <c r="A116" s="30" t="s">
        <v>100</v>
      </c>
      <c r="B116" s="44">
        <f>IF(COUNT(Vertices[Betweenness Centrality])&gt;0, J2, NoMetricMessage)</f>
        <v>0</v>
      </c>
    </row>
    <row r="117" spans="1:2" x14ac:dyDescent="0.25">
      <c r="A117" s="30" t="s">
        <v>101</v>
      </c>
      <c r="B117" s="44">
        <f>IF(COUNT(Vertices[Betweenness Centrality])&gt;0, J36, NoMetricMessage)</f>
        <v>675</v>
      </c>
    </row>
    <row r="118" spans="1:2" x14ac:dyDescent="0.25">
      <c r="A118" s="30" t="s">
        <v>102</v>
      </c>
      <c r="B118" s="44">
        <f>IFERROR(AVERAGE(Vertices[Betweenness Centrality]),NoMetricMessage)</f>
        <v>5.7095435684647331</v>
      </c>
    </row>
    <row r="119" spans="1:2" x14ac:dyDescent="0.25">
      <c r="A119" s="30" t="s">
        <v>103</v>
      </c>
      <c r="B119" s="44">
        <f>IFERROR(MEDIAN(Vertices[Betweenness Centrality]),NoMetricMessage)</f>
        <v>0</v>
      </c>
    </row>
    <row r="130" spans="1:2" x14ac:dyDescent="0.25">
      <c r="A130" s="30" t="s">
        <v>106</v>
      </c>
      <c r="B130" s="44">
        <f>IF(COUNT(Vertices[Closeness Centrality])&gt;0, L2, NoMetricMessage)</f>
        <v>0</v>
      </c>
    </row>
    <row r="131" spans="1:2" x14ac:dyDescent="0.25">
      <c r="A131" s="30" t="s">
        <v>107</v>
      </c>
      <c r="B131" s="44">
        <f>IF(COUNT(Vertices[Closeness Centrality])&gt;0, L36, NoMetricMessage)</f>
        <v>3.7735999999999999E-2</v>
      </c>
    </row>
    <row r="132" spans="1:2" x14ac:dyDescent="0.25">
      <c r="A132" s="30" t="s">
        <v>108</v>
      </c>
      <c r="B132" s="44">
        <f>IFERROR(AVERAGE(Vertices[Closeness Centrality]),NoMetricMessage)</f>
        <v>5.3572178423236484E-3</v>
      </c>
    </row>
    <row r="133" spans="1:2" x14ac:dyDescent="0.25">
      <c r="A133" s="30" t="s">
        <v>109</v>
      </c>
      <c r="B133" s="44">
        <f>IFERROR(MEDIAN(Vertices[Closeness Centrality]),NoMetricMessage)</f>
        <v>2.0960000000000002E-3</v>
      </c>
    </row>
    <row r="144" spans="1:2" x14ac:dyDescent="0.25">
      <c r="A144" s="30" t="s">
        <v>112</v>
      </c>
      <c r="B144" s="44" t="str">
        <f>IF(COUNT(Vertices[Eigenvector Centrality])&gt;0, N2, NoMetricMessage)</f>
        <v>Not Available</v>
      </c>
    </row>
    <row r="145" spans="1:2" x14ac:dyDescent="0.25">
      <c r="A145" s="30" t="s">
        <v>113</v>
      </c>
      <c r="B145" s="44" t="str">
        <f>IF(COUNT(Vertices[Eigenvector Centrality])&gt;0, N36, NoMetricMessage)</f>
        <v>Not Available</v>
      </c>
    </row>
    <row r="146" spans="1:2" x14ac:dyDescent="0.25">
      <c r="A146" s="30" t="s">
        <v>114</v>
      </c>
      <c r="B146" s="44" t="str">
        <f>IFERROR(AVERAGE(Vertices[Eigenvector Centrality]),NoMetricMessage)</f>
        <v>Not Available</v>
      </c>
    </row>
    <row r="147" spans="1:2" x14ac:dyDescent="0.25">
      <c r="A147" s="30" t="s">
        <v>115</v>
      </c>
      <c r="B147" s="44" t="str">
        <f>IFERROR(MEDIAN(Vertices[Eigenvector Centrality]),NoMetricMessage)</f>
        <v>Not Available</v>
      </c>
    </row>
    <row r="158" spans="1:2" x14ac:dyDescent="0.25">
      <c r="A158" s="30" t="s">
        <v>139</v>
      </c>
      <c r="B158" s="44" t="str">
        <f>IF(COUNT(Vertices[PageRank])&gt;0, P2, NoMetricMessage)</f>
        <v>Not Available</v>
      </c>
    </row>
    <row r="159" spans="1:2" x14ac:dyDescent="0.25">
      <c r="A159" s="30" t="s">
        <v>140</v>
      </c>
      <c r="B159" s="44" t="str">
        <f>IF(COUNT(Vertices[PageRank])&gt;0, P36, NoMetricMessage)</f>
        <v>Not Available</v>
      </c>
    </row>
    <row r="160" spans="1:2" x14ac:dyDescent="0.25">
      <c r="A160" s="30" t="s">
        <v>141</v>
      </c>
      <c r="B160" s="44" t="str">
        <f>IFERROR(AVERAGE(Vertices[PageRank]),NoMetricMessage)</f>
        <v>Not Available</v>
      </c>
    </row>
    <row r="161" spans="1:2" x14ac:dyDescent="0.25">
      <c r="A161" s="30" t="s">
        <v>142</v>
      </c>
      <c r="B161" s="44" t="str">
        <f>IFERROR(MEDIAN(Vertices[PageRank]),NoMetricMessage)</f>
        <v>Not Available</v>
      </c>
    </row>
    <row r="172" spans="1:2" x14ac:dyDescent="0.25">
      <c r="A172" s="30" t="s">
        <v>118</v>
      </c>
      <c r="B172" s="44" t="str">
        <f>IF(COUNT(Vertices[Clustering Coefficient])&gt;0, R2, NoMetricMessage)</f>
        <v>Not Available</v>
      </c>
    </row>
    <row r="173" spans="1:2" x14ac:dyDescent="0.25">
      <c r="A173" s="30" t="s">
        <v>119</v>
      </c>
      <c r="B173" s="44" t="str">
        <f>IF(COUNT(Vertices[Clustering Coefficient])&gt;0, R36, NoMetricMessage)</f>
        <v>Not Available</v>
      </c>
    </row>
    <row r="174" spans="1:2" x14ac:dyDescent="0.25">
      <c r="A174" s="30" t="s">
        <v>120</v>
      </c>
      <c r="B174" s="44" t="str">
        <f>IFERROR(AVERAGE(Vertices[Clustering Coefficient]),NoMetricMessage)</f>
        <v>Not Available</v>
      </c>
    </row>
    <row r="175" spans="1:2" x14ac:dyDescent="0.25">
      <c r="A175" s="30" t="s">
        <v>121</v>
      </c>
      <c r="B175" s="44" t="str">
        <f>IFERROR(MEDIAN(Vertices[Clustering Coefficient]),NoMetricMessage)</f>
        <v>Not Available</v>
      </c>
    </row>
  </sheetData>
  <dataConsolidate/>
  <pageMargins left="0.7" right="0.7" top="0.75" bottom="0.75" header="0.3" footer="0.3"/>
  <pageSetup orientation="portrait"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R23"/>
  <sheetViews>
    <sheetView workbookViewId="0">
      <selection activeCell="A2" sqref="A2"/>
    </sheetView>
  </sheetViews>
  <sheetFormatPr baseColWidth="10" defaultColWidth="9.140625"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3" customFormat="1" ht="36" customHeight="1" x14ac:dyDescent="0.25">
      <c r="A1" s="4" t="s">
        <v>6</v>
      </c>
      <c r="B1" s="4" t="s">
        <v>130</v>
      </c>
      <c r="C1" s="3" t="s">
        <v>7</v>
      </c>
      <c r="D1" s="3" t="s">
        <v>9</v>
      </c>
      <c r="E1" s="3" t="s">
        <v>163</v>
      </c>
      <c r="F1" s="4" t="s">
        <v>168</v>
      </c>
      <c r="G1" s="3" t="s">
        <v>14</v>
      </c>
      <c r="H1" s="3" t="s">
        <v>67</v>
      </c>
      <c r="J1" s="3" t="s">
        <v>18</v>
      </c>
      <c r="K1" s="3" t="s">
        <v>17</v>
      </c>
      <c r="M1" s="3" t="s">
        <v>22</v>
      </c>
      <c r="N1" s="3" t="s">
        <v>23</v>
      </c>
      <c r="O1" s="3" t="s">
        <v>24</v>
      </c>
      <c r="P1" s="3" t="s">
        <v>25</v>
      </c>
    </row>
    <row r="2" spans="1:18" x14ac:dyDescent="0.25">
      <c r="A2" s="1" t="s">
        <v>51</v>
      </c>
      <c r="B2" s="1" t="s">
        <v>131</v>
      </c>
      <c r="C2" t="s">
        <v>54</v>
      </c>
      <c r="D2" t="s">
        <v>55</v>
      </c>
      <c r="E2" t="s">
        <v>55</v>
      </c>
      <c r="F2" s="1" t="s">
        <v>51</v>
      </c>
      <c r="G2" t="s">
        <v>65</v>
      </c>
      <c r="H2" t="s">
        <v>158</v>
      </c>
      <c r="J2" t="s">
        <v>19</v>
      </c>
      <c r="K2">
        <v>108</v>
      </c>
      <c r="M2" t="s">
        <v>5077</v>
      </c>
      <c r="N2" t="s">
        <v>176</v>
      </c>
      <c r="O2">
        <v>45504</v>
      </c>
      <c r="P2">
        <v>45511.146493055603</v>
      </c>
    </row>
    <row r="3" spans="1:18" x14ac:dyDescent="0.25">
      <c r="A3" s="1" t="s">
        <v>52</v>
      </c>
      <c r="B3" s="1" t="s">
        <v>132</v>
      </c>
      <c r="C3" t="s">
        <v>52</v>
      </c>
      <c r="D3" t="s">
        <v>56</v>
      </c>
      <c r="E3" t="s">
        <v>56</v>
      </c>
      <c r="F3" s="1" t="s">
        <v>52</v>
      </c>
      <c r="G3" t="s">
        <v>66</v>
      </c>
      <c r="H3" t="s">
        <v>68</v>
      </c>
      <c r="J3" t="s">
        <v>30</v>
      </c>
      <c r="K3" t="s">
        <v>4805</v>
      </c>
      <c r="M3" t="s">
        <v>5077</v>
      </c>
      <c r="N3" t="s">
        <v>179</v>
      </c>
      <c r="O3">
        <v>0</v>
      </c>
      <c r="P3">
        <v>10531</v>
      </c>
    </row>
    <row r="4" spans="1:18" x14ac:dyDescent="0.25">
      <c r="A4" s="1" t="s">
        <v>53</v>
      </c>
      <c r="B4" s="1" t="s">
        <v>133</v>
      </c>
      <c r="C4" t="s">
        <v>53</v>
      </c>
      <c r="D4" t="s">
        <v>57</v>
      </c>
      <c r="E4" t="s">
        <v>57</v>
      </c>
      <c r="F4" s="1" t="s">
        <v>53</v>
      </c>
      <c r="G4">
        <v>0</v>
      </c>
      <c r="H4" t="s">
        <v>69</v>
      </c>
      <c r="J4" t="s">
        <v>78</v>
      </c>
      <c r="M4" t="s">
        <v>5077</v>
      </c>
      <c r="N4" t="s">
        <v>180</v>
      </c>
      <c r="O4">
        <v>0</v>
      </c>
      <c r="P4">
        <v>106385</v>
      </c>
    </row>
    <row r="5" spans="1:18" ht="409.5" x14ac:dyDescent="0.25">
      <c r="A5">
        <v>1</v>
      </c>
      <c r="B5" s="1" t="s">
        <v>134</v>
      </c>
      <c r="C5" t="s">
        <v>51</v>
      </c>
      <c r="D5" t="s">
        <v>58</v>
      </c>
      <c r="E5" t="s">
        <v>58</v>
      </c>
      <c r="F5">
        <v>1</v>
      </c>
      <c r="G5">
        <v>1</v>
      </c>
      <c r="H5" t="s">
        <v>70</v>
      </c>
      <c r="J5" t="s">
        <v>171</v>
      </c>
      <c r="K5" s="7" t="s">
        <v>5079</v>
      </c>
      <c r="M5" t="s">
        <v>5077</v>
      </c>
      <c r="N5" t="s">
        <v>181</v>
      </c>
      <c r="O5">
        <v>0</v>
      </c>
      <c r="P5">
        <v>881</v>
      </c>
    </row>
    <row r="6" spans="1:18" x14ac:dyDescent="0.25">
      <c r="A6">
        <v>0</v>
      </c>
      <c r="B6" s="1" t="s">
        <v>135</v>
      </c>
      <c r="C6">
        <v>1</v>
      </c>
      <c r="D6" t="s">
        <v>59</v>
      </c>
      <c r="E6" t="s">
        <v>59</v>
      </c>
      <c r="F6">
        <v>0</v>
      </c>
      <c r="H6" t="s">
        <v>71</v>
      </c>
      <c r="J6" t="s">
        <v>172</v>
      </c>
      <c r="K6">
        <v>2</v>
      </c>
      <c r="M6" t="s">
        <v>5077</v>
      </c>
      <c r="N6" t="s">
        <v>182</v>
      </c>
      <c r="O6">
        <v>0</v>
      </c>
      <c r="P6">
        <v>488</v>
      </c>
      <c r="R6" t="s">
        <v>128</v>
      </c>
    </row>
    <row r="7" spans="1:18" x14ac:dyDescent="0.25">
      <c r="A7">
        <v>2</v>
      </c>
      <c r="B7">
        <v>1</v>
      </c>
      <c r="C7">
        <v>0</v>
      </c>
      <c r="D7" t="s">
        <v>60</v>
      </c>
      <c r="E7" t="s">
        <v>60</v>
      </c>
      <c r="F7">
        <v>2</v>
      </c>
      <c r="H7" t="s">
        <v>72</v>
      </c>
      <c r="J7" t="s">
        <v>173</v>
      </c>
      <c r="K7" t="s">
        <v>4835</v>
      </c>
      <c r="M7" t="s">
        <v>5077</v>
      </c>
      <c r="N7" t="s">
        <v>183</v>
      </c>
      <c r="O7">
        <v>1</v>
      </c>
      <c r="P7">
        <v>1625328</v>
      </c>
    </row>
    <row r="8" spans="1:18" ht="409.5" x14ac:dyDescent="0.25">
      <c r="A8"/>
      <c r="B8">
        <v>2</v>
      </c>
      <c r="C8">
        <v>2</v>
      </c>
      <c r="D8" t="s">
        <v>61</v>
      </c>
      <c r="E8" t="s">
        <v>61</v>
      </c>
      <c r="H8" t="s">
        <v>73</v>
      </c>
      <c r="J8" t="s">
        <v>174</v>
      </c>
      <c r="K8" s="7" t="s">
        <v>5076</v>
      </c>
      <c r="M8" t="s">
        <v>5077</v>
      </c>
      <c r="N8" t="s">
        <v>193</v>
      </c>
      <c r="O8">
        <v>45504</v>
      </c>
      <c r="P8">
        <v>45511.146493055603</v>
      </c>
    </row>
    <row r="9" spans="1:18" ht="409.5" x14ac:dyDescent="0.25">
      <c r="A9"/>
      <c r="B9">
        <v>3</v>
      </c>
      <c r="C9">
        <v>4</v>
      </c>
      <c r="D9" t="s">
        <v>62</v>
      </c>
      <c r="E9" t="s">
        <v>62</v>
      </c>
      <c r="H9" t="s">
        <v>74</v>
      </c>
      <c r="J9" t="s">
        <v>4836</v>
      </c>
      <c r="K9" s="7" t="s">
        <v>5080</v>
      </c>
      <c r="M9" t="s">
        <v>5077</v>
      </c>
      <c r="N9" t="s">
        <v>194</v>
      </c>
      <c r="O9">
        <v>45504</v>
      </c>
      <c r="P9">
        <v>45511</v>
      </c>
    </row>
    <row r="10" spans="1:18" x14ac:dyDescent="0.25">
      <c r="A10"/>
      <c r="B10">
        <v>4</v>
      </c>
      <c r="D10" t="s">
        <v>63</v>
      </c>
      <c r="E10" t="s">
        <v>63</v>
      </c>
      <c r="H10" t="s">
        <v>75</v>
      </c>
      <c r="M10" t="s">
        <v>145</v>
      </c>
      <c r="N10" t="s">
        <v>45</v>
      </c>
      <c r="O10">
        <v>1.5</v>
      </c>
      <c r="P10">
        <v>10</v>
      </c>
    </row>
    <row r="11" spans="1:18" x14ac:dyDescent="0.25">
      <c r="A11"/>
      <c r="B11">
        <v>5</v>
      </c>
      <c r="D11" t="s">
        <v>46</v>
      </c>
      <c r="E11">
        <v>1</v>
      </c>
      <c r="H11" t="s">
        <v>76</v>
      </c>
      <c r="M11" t="s">
        <v>145</v>
      </c>
      <c r="N11" t="s">
        <v>15</v>
      </c>
      <c r="O11">
        <v>153</v>
      </c>
      <c r="P11">
        <v>9845.68359375</v>
      </c>
    </row>
    <row r="12" spans="1:18" x14ac:dyDescent="0.25">
      <c r="A12"/>
      <c r="B12"/>
      <c r="D12" t="s">
        <v>64</v>
      </c>
      <c r="E12">
        <v>2</v>
      </c>
      <c r="H12">
        <v>0</v>
      </c>
      <c r="M12" t="s">
        <v>145</v>
      </c>
      <c r="N12" t="s">
        <v>16</v>
      </c>
      <c r="O12">
        <v>208</v>
      </c>
      <c r="P12">
        <v>9756.0791015625</v>
      </c>
    </row>
    <row r="13" spans="1:18" x14ac:dyDescent="0.25">
      <c r="A13"/>
      <c r="B13"/>
      <c r="D13">
        <v>1</v>
      </c>
      <c r="E13">
        <v>3</v>
      </c>
      <c r="H13">
        <v>1</v>
      </c>
      <c r="M13" t="s">
        <v>145</v>
      </c>
      <c r="N13" t="s">
        <v>32</v>
      </c>
      <c r="O13">
        <v>0</v>
      </c>
      <c r="P13">
        <v>11</v>
      </c>
    </row>
    <row r="14" spans="1:18" x14ac:dyDescent="0.25">
      <c r="D14">
        <v>2</v>
      </c>
      <c r="E14">
        <v>4</v>
      </c>
      <c r="H14">
        <v>2</v>
      </c>
      <c r="M14" t="s">
        <v>145</v>
      </c>
      <c r="N14" t="s">
        <v>33</v>
      </c>
      <c r="O14">
        <v>0</v>
      </c>
      <c r="P14">
        <v>14</v>
      </c>
    </row>
    <row r="15" spans="1:18" x14ac:dyDescent="0.25">
      <c r="D15">
        <v>3</v>
      </c>
      <c r="E15">
        <v>5</v>
      </c>
      <c r="H15">
        <v>3</v>
      </c>
      <c r="M15" t="s">
        <v>145</v>
      </c>
      <c r="N15" t="s">
        <v>34</v>
      </c>
      <c r="O15">
        <v>0</v>
      </c>
      <c r="P15">
        <v>675</v>
      </c>
    </row>
    <row r="16" spans="1:18" x14ac:dyDescent="0.25">
      <c r="D16">
        <v>4</v>
      </c>
      <c r="E16">
        <v>6</v>
      </c>
      <c r="H16">
        <v>4</v>
      </c>
      <c r="M16" t="s">
        <v>145</v>
      </c>
      <c r="N16" t="s">
        <v>35</v>
      </c>
      <c r="O16">
        <v>0</v>
      </c>
      <c r="P16">
        <v>3.7735999999999999E-2</v>
      </c>
    </row>
    <row r="17" spans="4:16" x14ac:dyDescent="0.25">
      <c r="D17">
        <v>5</v>
      </c>
      <c r="E17">
        <v>7</v>
      </c>
      <c r="H17">
        <v>5</v>
      </c>
      <c r="M17" t="s">
        <v>145</v>
      </c>
      <c r="N17" t="s">
        <v>2650</v>
      </c>
      <c r="O17">
        <v>0</v>
      </c>
      <c r="P17">
        <v>220174727</v>
      </c>
    </row>
    <row r="18" spans="4:16" x14ac:dyDescent="0.25">
      <c r="D18">
        <v>6</v>
      </c>
      <c r="E18">
        <v>8</v>
      </c>
      <c r="H18">
        <v>6</v>
      </c>
      <c r="M18" t="s">
        <v>145</v>
      </c>
      <c r="N18" t="s">
        <v>2651</v>
      </c>
      <c r="O18">
        <v>0</v>
      </c>
      <c r="P18">
        <v>201138</v>
      </c>
    </row>
    <row r="19" spans="4:16" x14ac:dyDescent="0.25">
      <c r="D19">
        <v>7</v>
      </c>
      <c r="E19">
        <v>9</v>
      </c>
      <c r="H19">
        <v>7</v>
      </c>
      <c r="M19" t="s">
        <v>145</v>
      </c>
      <c r="N19" t="s">
        <v>2652</v>
      </c>
      <c r="O19">
        <v>18</v>
      </c>
      <c r="P19">
        <v>1469900</v>
      </c>
    </row>
    <row r="20" spans="4:16" x14ac:dyDescent="0.25">
      <c r="D20">
        <v>8</v>
      </c>
      <c r="H20">
        <v>8</v>
      </c>
      <c r="M20" t="s">
        <v>145</v>
      </c>
      <c r="N20" t="s">
        <v>2653</v>
      </c>
      <c r="O20">
        <v>0</v>
      </c>
      <c r="P20">
        <v>162304</v>
      </c>
    </row>
    <row r="21" spans="4:16" x14ac:dyDescent="0.25">
      <c r="D21">
        <v>9</v>
      </c>
      <c r="H21">
        <v>9</v>
      </c>
      <c r="M21" t="s">
        <v>145</v>
      </c>
      <c r="N21" t="s">
        <v>2654</v>
      </c>
      <c r="O21">
        <v>0</v>
      </c>
      <c r="P21">
        <v>739695</v>
      </c>
    </row>
    <row r="22" spans="4:16" x14ac:dyDescent="0.25">
      <c r="D22">
        <v>10</v>
      </c>
      <c r="M22" t="s">
        <v>145</v>
      </c>
      <c r="N22" t="s">
        <v>2655</v>
      </c>
      <c r="O22">
        <v>0</v>
      </c>
      <c r="P22">
        <v>824769</v>
      </c>
    </row>
    <row r="23" spans="4:16" x14ac:dyDescent="0.25">
      <c r="D23">
        <v>11</v>
      </c>
      <c r="M23" t="s">
        <v>145</v>
      </c>
      <c r="N23" t="s">
        <v>2657</v>
      </c>
      <c r="O23">
        <v>39168</v>
      </c>
      <c r="P23">
        <v>45505.472835648201</v>
      </c>
    </row>
  </sheetData>
  <dataConsolidate/>
  <pageMargins left="0.7" right="0.7" top="0.75" bottom="0.75" header="0.3" footer="0.3"/>
  <pageSetup orientation="portrait" horizontalDpi="0" verticalDpi="0"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93F7E-EC78-4EED-9165-23894A614DDF}">
  <dimension ref="A1:B7"/>
  <sheetViews>
    <sheetView topLeftCell="H1" workbookViewId="0"/>
  </sheetViews>
  <sheetFormatPr baseColWidth="10" defaultRowHeight="15" x14ac:dyDescent="0.25"/>
  <cols>
    <col min="1" max="1" width="6.5703125" bestFit="1" customWidth="1"/>
    <col min="2" max="2" width="8.42578125" bestFit="1" customWidth="1"/>
  </cols>
  <sheetData>
    <row r="1" spans="1:2" ht="15" customHeight="1" x14ac:dyDescent="0.25">
      <c r="A1" s="7" t="s">
        <v>4829</v>
      </c>
      <c r="B1" s="7" t="s">
        <v>17</v>
      </c>
    </row>
    <row r="2" spans="1:2" x14ac:dyDescent="0.25">
      <c r="A2" t="s">
        <v>4830</v>
      </c>
    </row>
    <row r="3" spans="1:2" x14ac:dyDescent="0.25">
      <c r="A3" t="s">
        <v>4831</v>
      </c>
    </row>
    <row r="4" spans="1:2" x14ac:dyDescent="0.25">
      <c r="A4" t="s">
        <v>4832</v>
      </c>
    </row>
    <row r="5" spans="1:2" x14ac:dyDescent="0.25">
      <c r="A5" t="s">
        <v>4833</v>
      </c>
    </row>
    <row r="6" spans="1:2" x14ac:dyDescent="0.25">
      <c r="A6" t="s">
        <v>4834</v>
      </c>
    </row>
    <row r="7" spans="1:2" x14ac:dyDescent="0.25">
      <c r="A7" t="s">
        <v>2667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FAC00CA3-776A-44A2-903E-F441F1F0F43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13</vt:i4>
      </vt:variant>
    </vt:vector>
  </HeadingPairs>
  <TitlesOfParts>
    <vt:vector size="21" baseType="lpstr">
      <vt:lpstr>Edges</vt:lpstr>
      <vt:lpstr>Vertices</vt:lpstr>
      <vt:lpstr>Do Not Delete</vt:lpstr>
      <vt:lpstr>Groups</vt:lpstr>
      <vt:lpstr>Group Vertices</vt:lpstr>
      <vt:lpstr>Overall Metrics</vt:lpstr>
      <vt:lpstr>Misc</vt:lpstr>
      <vt:lpstr>Export Options</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Rocio VP</dc:creator>
  <cp:lastModifiedBy>Rocío Vargas Poblete</cp:lastModifiedBy>
  <dcterms:created xsi:type="dcterms:W3CDTF">2008-01-30T00:41:58Z</dcterms:created>
  <dcterms:modified xsi:type="dcterms:W3CDTF">2025-06-04T00:07:07Z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