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Users\Victor\Documents\1. VICTOR\4. DATA ANALYSIS PROJECT\4. GITHUB\"/>
    </mc:Choice>
  </mc:AlternateContent>
  <xr:revisionPtr revIDLastSave="0" documentId="13_ncr:1_{132E0E77-E6B6-4F1D-8F96-2858A40E5B34}" xr6:coauthVersionLast="47" xr6:coauthVersionMax="47" xr10:uidLastSave="{00000000-0000-0000-0000-000000000000}"/>
  <bookViews>
    <workbookView xWindow="-90" yWindow="-90" windowWidth="19380" windowHeight="10260" xr2:uid="{55292679-A1ED-4AEB-98F9-BA93AAE4181B}"/>
  </bookViews>
  <sheets>
    <sheet name="SHEET" sheetId="10" r:id="rId1"/>
    <sheet name="DATABASE" sheetId="6" r:id="rId2"/>
    <sheet name="1ST CA BROADSHEET" sheetId="9" r:id="rId3"/>
    <sheet name="HALF TERM REPORT" sheetId="8" r:id="rId4"/>
    <sheet name="FINAL BROADSHEET" sheetId="5" r:id="rId5"/>
    <sheet name="EXAM REPORT" sheetId="2" r:id="rId6"/>
  </sheets>
  <definedNames>
    <definedName name="cell1">DATABASE!$AW$6</definedName>
    <definedName name="cell10">DATABASE!$AW$15</definedName>
    <definedName name="cell11">DATABASE!$AW$16</definedName>
    <definedName name="cell12">DATABASE!$AW$17</definedName>
    <definedName name="cell13">DATABASE!$AW$18</definedName>
    <definedName name="cell14">DATABASE!$AW$19</definedName>
    <definedName name="cell15">DATABASE!$AW$20</definedName>
    <definedName name="cell16">DATABASE!$AW$21</definedName>
    <definedName name="cell17">DATABASE!$AW$22</definedName>
    <definedName name="cell18">DATABASE!$AW$23</definedName>
    <definedName name="cell19">DATABASE!$AW$24</definedName>
    <definedName name="cell2">DATABASE!$AW$7</definedName>
    <definedName name="cell20">DATABASE!$AW$25</definedName>
    <definedName name="cell21">DATABASE!$AW$26</definedName>
    <definedName name="cell22">DATABASE!$AW$27</definedName>
    <definedName name="cell23">DATABASE!$AW$28</definedName>
    <definedName name="cell24">DATABASE!$AW$29</definedName>
    <definedName name="cell25">DATABASE!$AW$30</definedName>
    <definedName name="cell26">DATABASE!$AW$31</definedName>
    <definedName name="cell27">DATABASE!$AW$32</definedName>
    <definedName name="cell28">DATABASE!$AW$33</definedName>
    <definedName name="cell29">DATABASE!$AW$34</definedName>
    <definedName name="cell3">DATABASE!$AW$8</definedName>
    <definedName name="cell30">DATABASE!$AW$35</definedName>
    <definedName name="cell31">DATABASE!$AW$36</definedName>
    <definedName name="cell32">DATABASE!$AW$37</definedName>
    <definedName name="cell33">DATABASE!$AW$38</definedName>
    <definedName name="cell34">DATABASE!$AW$39</definedName>
    <definedName name="cell35">DATABASE!$AW$40</definedName>
    <definedName name="cell36">DATABASE!$AW$41</definedName>
    <definedName name="cell37">DATABASE!$AW$42</definedName>
    <definedName name="cell38">DATABASE!$AW$43</definedName>
    <definedName name="cell39">DATABASE!$AW$44</definedName>
    <definedName name="cell4">DATABASE!$AW$9</definedName>
    <definedName name="cell40">DATABASE!$AW$45</definedName>
    <definedName name="cell41">DATABASE!$AW$46</definedName>
    <definedName name="cell42">DATABASE!$AW$47</definedName>
    <definedName name="cell43">DATABASE!$AW$48</definedName>
    <definedName name="cell44">DATABASE!$AW$49</definedName>
    <definedName name="cell45">DATABASE!$AW$50</definedName>
    <definedName name="cell46">DATABASE!$AW$51</definedName>
    <definedName name="cell47">DATABASE!$AW$52</definedName>
    <definedName name="cell48">DATABASE!$AW$53</definedName>
    <definedName name="cell49">DATABASE!$AW$54</definedName>
    <definedName name="cell5">DATABASE!$AW$10</definedName>
    <definedName name="cell50">DATABASE!$AW$55</definedName>
    <definedName name="cell6">DATABASE!$AW$11</definedName>
    <definedName name="cell7">DATABASE!$AW$12</definedName>
    <definedName name="cell8">DATABASE!$AW$13</definedName>
    <definedName name="cell9">DATABASE!$AW$14</definedName>
    <definedName name="LearnersPicture">INDIRECT('HALF TERM REPORT'!$Y$25)</definedName>
    <definedName name="LearnersPictureExam">INDIRECT('EXAM REPORT'!$Y$25)</definedName>
    <definedName name="_xlnm.Print_Area" localSheetId="2">'1ST CA BROADSHEET'!$A$1:$T$31</definedName>
    <definedName name="_xlnm.Print_Area" localSheetId="5">'EXAM REPORT'!$A$1:$P$75</definedName>
    <definedName name="_xlnm.Print_Area" localSheetId="4">'FINAL BROADSHEET'!$A$1:$T$31</definedName>
    <definedName name="_xlnm.Print_Area" localSheetId="3">'HALF TERM REPORT'!$A$1:$P$75</definedName>
  </definedNames>
  <calcPr calcId="191029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1" i="2" l="1"/>
  <c r="J40" i="2"/>
  <c r="Y25" i="2"/>
  <c r="J52" i="8"/>
  <c r="J41" i="8"/>
  <c r="Y25" i="8"/>
  <c r="G13" i="6"/>
  <c r="AQ29" i="6" l="1"/>
  <c r="AQ30" i="6"/>
  <c r="AQ31" i="6"/>
  <c r="M34" i="5" s="1"/>
  <c r="AQ32" i="6"/>
  <c r="M35" i="5" s="1"/>
  <c r="AQ33" i="6"/>
  <c r="AQ34" i="6"/>
  <c r="AQ35" i="6"/>
  <c r="M38" i="5" s="1"/>
  <c r="AQ36" i="6"/>
  <c r="M39" i="5" s="1"/>
  <c r="AQ37" i="6"/>
  <c r="AQ38" i="6"/>
  <c r="AQ39" i="6"/>
  <c r="M42" i="5" s="1"/>
  <c r="AQ40" i="6"/>
  <c r="M43" i="5" s="1"/>
  <c r="AQ41" i="6"/>
  <c r="AQ42" i="6"/>
  <c r="AQ43" i="6"/>
  <c r="M46" i="5" s="1"/>
  <c r="AQ44" i="6"/>
  <c r="M47" i="5" s="1"/>
  <c r="AQ45" i="6"/>
  <c r="AQ46" i="6"/>
  <c r="AQ47" i="6"/>
  <c r="AQ48" i="6"/>
  <c r="M51" i="5" s="1"/>
  <c r="AQ49" i="6"/>
  <c r="AQ50" i="6"/>
  <c r="AQ51" i="6"/>
  <c r="M54" i="5" s="1"/>
  <c r="AQ52" i="6"/>
  <c r="M55" i="5" s="1"/>
  <c r="AQ53" i="6"/>
  <c r="AQ54" i="6"/>
  <c r="AQ55" i="6"/>
  <c r="M58" i="5" s="1"/>
  <c r="AM29" i="6"/>
  <c r="L32" i="5" s="1"/>
  <c r="AM30" i="6"/>
  <c r="AM31" i="6"/>
  <c r="AM32" i="6"/>
  <c r="AM33" i="6"/>
  <c r="AM34" i="6"/>
  <c r="AM35" i="6"/>
  <c r="L38" i="5" s="1"/>
  <c r="AM36" i="6"/>
  <c r="L39" i="5" s="1"/>
  <c r="AM37" i="6"/>
  <c r="L40" i="5" s="1"/>
  <c r="AM38" i="6"/>
  <c r="AM39" i="6"/>
  <c r="AM40" i="6"/>
  <c r="AM41" i="6"/>
  <c r="AM42" i="6"/>
  <c r="AM43" i="6"/>
  <c r="L46" i="5" s="1"/>
  <c r="AM44" i="6"/>
  <c r="L47" i="5" s="1"/>
  <c r="AM45" i="6"/>
  <c r="L48" i="5" s="1"/>
  <c r="AM46" i="6"/>
  <c r="AM47" i="6"/>
  <c r="AM48" i="6"/>
  <c r="AM49" i="6"/>
  <c r="AM50" i="6"/>
  <c r="AM51" i="6"/>
  <c r="L54" i="5" s="1"/>
  <c r="AM52" i="6"/>
  <c r="L55" i="5" s="1"/>
  <c r="AM53" i="6"/>
  <c r="L56" i="5" s="1"/>
  <c r="AM54" i="6"/>
  <c r="AM55" i="6"/>
  <c r="AI29" i="6"/>
  <c r="AI30" i="6"/>
  <c r="AI31" i="6"/>
  <c r="AI32" i="6"/>
  <c r="AI33" i="6"/>
  <c r="AI34" i="6"/>
  <c r="K37" i="5" s="1"/>
  <c r="AI35" i="6"/>
  <c r="K38" i="5" s="1"/>
  <c r="AI36" i="6"/>
  <c r="K39" i="5" s="1"/>
  <c r="AI37" i="6"/>
  <c r="AI38" i="6"/>
  <c r="AI39" i="6"/>
  <c r="AI40" i="6"/>
  <c r="AI41" i="6"/>
  <c r="K44" i="5" s="1"/>
  <c r="AI42" i="6"/>
  <c r="K45" i="5" s="1"/>
  <c r="AI43" i="6"/>
  <c r="K46" i="5" s="1"/>
  <c r="AI44" i="6"/>
  <c r="K47" i="5" s="1"/>
  <c r="AI45" i="6"/>
  <c r="AI46" i="6"/>
  <c r="AI47" i="6"/>
  <c r="AI48" i="6"/>
  <c r="AI49" i="6"/>
  <c r="K52" i="5" s="1"/>
  <c r="AI50" i="6"/>
  <c r="K53" i="5" s="1"/>
  <c r="AI51" i="6"/>
  <c r="K54" i="5" s="1"/>
  <c r="AI52" i="6"/>
  <c r="K55" i="5" s="1"/>
  <c r="AI53" i="6"/>
  <c r="AI54" i="6"/>
  <c r="AI55" i="6"/>
  <c r="AE29" i="6"/>
  <c r="AE30" i="6"/>
  <c r="J33" i="5" s="1"/>
  <c r="AE31" i="6"/>
  <c r="J34" i="5" s="1"/>
  <c r="AE32" i="6"/>
  <c r="AE33" i="6"/>
  <c r="AE34" i="6"/>
  <c r="AE35" i="6"/>
  <c r="J38" i="5" s="1"/>
  <c r="AE36" i="6"/>
  <c r="J39" i="5" s="1"/>
  <c r="AE37" i="6"/>
  <c r="AE38" i="6"/>
  <c r="AE39" i="6"/>
  <c r="J42" i="5" s="1"/>
  <c r="AE40" i="6"/>
  <c r="AE41" i="6"/>
  <c r="AE42" i="6"/>
  <c r="AE43" i="6"/>
  <c r="J46" i="5" s="1"/>
  <c r="AE44" i="6"/>
  <c r="J47" i="5" s="1"/>
  <c r="AE45" i="6"/>
  <c r="AE46" i="6"/>
  <c r="J49" i="5" s="1"/>
  <c r="AE47" i="6"/>
  <c r="J50" i="5" s="1"/>
  <c r="AE48" i="6"/>
  <c r="AE49" i="6"/>
  <c r="AE50" i="6"/>
  <c r="AE51" i="6"/>
  <c r="J54" i="5" s="1"/>
  <c r="AE52" i="6"/>
  <c r="J55" i="5" s="1"/>
  <c r="AE53" i="6"/>
  <c r="AE54" i="6"/>
  <c r="J57" i="5" s="1"/>
  <c r="AE55" i="6"/>
  <c r="J58" i="5" s="1"/>
  <c r="AA29" i="6"/>
  <c r="AA30" i="6"/>
  <c r="AA31" i="6"/>
  <c r="AA32" i="6"/>
  <c r="AA33" i="6"/>
  <c r="AA34" i="6"/>
  <c r="AA35" i="6"/>
  <c r="I38" i="5" s="1"/>
  <c r="AA36" i="6"/>
  <c r="I39" i="5" s="1"/>
  <c r="AA37" i="6"/>
  <c r="AA38" i="6"/>
  <c r="AA39" i="6"/>
  <c r="AA40" i="6"/>
  <c r="AA41" i="6"/>
  <c r="AA42" i="6"/>
  <c r="AA43" i="6"/>
  <c r="I46" i="5" s="1"/>
  <c r="AA44" i="6"/>
  <c r="I47" i="5" s="1"/>
  <c r="AA45" i="6"/>
  <c r="AA46" i="6"/>
  <c r="AA47" i="6"/>
  <c r="AA48" i="6"/>
  <c r="AA49" i="6"/>
  <c r="AA50" i="6"/>
  <c r="AA51" i="6"/>
  <c r="I54" i="5" s="1"/>
  <c r="AA52" i="6"/>
  <c r="I55" i="5" s="1"/>
  <c r="AA53" i="6"/>
  <c r="AA54" i="6"/>
  <c r="AA55" i="6"/>
  <c r="W29" i="6"/>
  <c r="W30" i="6"/>
  <c r="W31" i="6"/>
  <c r="W32" i="6"/>
  <c r="H35" i="5" s="1"/>
  <c r="W33" i="6"/>
  <c r="H36" i="5" s="1"/>
  <c r="W34" i="6"/>
  <c r="H37" i="5" s="1"/>
  <c r="W35" i="6"/>
  <c r="H38" i="5" s="1"/>
  <c r="W36" i="6"/>
  <c r="H39" i="5" s="1"/>
  <c r="W37" i="6"/>
  <c r="W38" i="6"/>
  <c r="W39" i="6"/>
  <c r="W40" i="6"/>
  <c r="H43" i="5" s="1"/>
  <c r="W41" i="6"/>
  <c r="H44" i="5" s="1"/>
  <c r="W42" i="6"/>
  <c r="H45" i="5" s="1"/>
  <c r="W43" i="6"/>
  <c r="H46" i="5" s="1"/>
  <c r="W44" i="6"/>
  <c r="H47" i="5" s="1"/>
  <c r="W45" i="6"/>
  <c r="W46" i="6"/>
  <c r="W47" i="6"/>
  <c r="W48" i="6"/>
  <c r="W49" i="6"/>
  <c r="H52" i="5" s="1"/>
  <c r="W50" i="6"/>
  <c r="H53" i="5" s="1"/>
  <c r="W51" i="6"/>
  <c r="H54" i="5" s="1"/>
  <c r="W52" i="6"/>
  <c r="H55" i="5" s="1"/>
  <c r="W53" i="6"/>
  <c r="W54" i="6"/>
  <c r="W55" i="6"/>
  <c r="S29" i="6"/>
  <c r="G32" i="5" s="1"/>
  <c r="S30" i="6"/>
  <c r="G33" i="5" s="1"/>
  <c r="S31" i="6"/>
  <c r="S32" i="6"/>
  <c r="S33" i="6"/>
  <c r="S34" i="6"/>
  <c r="S35" i="6"/>
  <c r="S36" i="6"/>
  <c r="G39" i="5" s="1"/>
  <c r="S37" i="6"/>
  <c r="G40" i="5" s="1"/>
  <c r="S38" i="6"/>
  <c r="G41" i="5" s="1"/>
  <c r="S39" i="6"/>
  <c r="S40" i="6"/>
  <c r="S41" i="6"/>
  <c r="S42" i="6"/>
  <c r="S43" i="6"/>
  <c r="S44" i="6"/>
  <c r="G47" i="5" s="1"/>
  <c r="S45" i="6"/>
  <c r="G48" i="5" s="1"/>
  <c r="S46" i="6"/>
  <c r="G49" i="5" s="1"/>
  <c r="S47" i="6"/>
  <c r="S48" i="6"/>
  <c r="S49" i="6"/>
  <c r="S50" i="6"/>
  <c r="S51" i="6"/>
  <c r="S52" i="6"/>
  <c r="G55" i="5" s="1"/>
  <c r="S53" i="6"/>
  <c r="G56" i="5" s="1"/>
  <c r="S54" i="6"/>
  <c r="G57" i="5" s="1"/>
  <c r="S55" i="6"/>
  <c r="O29" i="6"/>
  <c r="O30" i="6"/>
  <c r="O31" i="6"/>
  <c r="O32" i="6"/>
  <c r="O33" i="6"/>
  <c r="O34" i="6"/>
  <c r="F37" i="5" s="1"/>
  <c r="O35" i="6"/>
  <c r="F38" i="5" s="1"/>
  <c r="O36" i="6"/>
  <c r="F39" i="5" s="1"/>
  <c r="O37" i="6"/>
  <c r="O38" i="6"/>
  <c r="O39" i="6"/>
  <c r="O40" i="6"/>
  <c r="O41" i="6"/>
  <c r="O42" i="6"/>
  <c r="F45" i="5" s="1"/>
  <c r="O43" i="6"/>
  <c r="F46" i="5" s="1"/>
  <c r="O44" i="6"/>
  <c r="F47" i="5" s="1"/>
  <c r="O45" i="6"/>
  <c r="O46" i="6"/>
  <c r="O47" i="6"/>
  <c r="O48" i="6"/>
  <c r="O49" i="6"/>
  <c r="O50" i="6"/>
  <c r="F53" i="5" s="1"/>
  <c r="O51" i="6"/>
  <c r="F54" i="5" s="1"/>
  <c r="O52" i="6"/>
  <c r="F55" i="5" s="1"/>
  <c r="O53" i="6"/>
  <c r="O54" i="6"/>
  <c r="O55" i="6"/>
  <c r="K29" i="6"/>
  <c r="K30" i="6"/>
  <c r="K31" i="6"/>
  <c r="K32" i="6"/>
  <c r="E35" i="5" s="1"/>
  <c r="K33" i="6"/>
  <c r="K34" i="6"/>
  <c r="K35" i="6"/>
  <c r="E38" i="5" s="1"/>
  <c r="K36" i="6"/>
  <c r="E39" i="5" s="1"/>
  <c r="K37" i="6"/>
  <c r="K38" i="6"/>
  <c r="K39" i="6"/>
  <c r="E42" i="5" s="1"/>
  <c r="K40" i="6"/>
  <c r="E43" i="5" s="1"/>
  <c r="K41" i="6"/>
  <c r="K42" i="6"/>
  <c r="K43" i="6"/>
  <c r="E46" i="5" s="1"/>
  <c r="K44" i="6"/>
  <c r="E47" i="5" s="1"/>
  <c r="K45" i="6"/>
  <c r="K46" i="6"/>
  <c r="K47" i="6"/>
  <c r="E50" i="5" s="1"/>
  <c r="K48" i="6"/>
  <c r="E51" i="5" s="1"/>
  <c r="K49" i="6"/>
  <c r="K50" i="6"/>
  <c r="K51" i="6"/>
  <c r="E54" i="5" s="1"/>
  <c r="K52" i="6"/>
  <c r="E55" i="5" s="1"/>
  <c r="K53" i="6"/>
  <c r="K54" i="6"/>
  <c r="K55" i="6"/>
  <c r="E58" i="5" s="1"/>
  <c r="G29" i="6"/>
  <c r="D32" i="5" s="1"/>
  <c r="G30" i="6"/>
  <c r="G31" i="6"/>
  <c r="G32" i="6"/>
  <c r="G33" i="6"/>
  <c r="G34" i="6"/>
  <c r="G35" i="6"/>
  <c r="G36" i="6"/>
  <c r="D39" i="5" s="1"/>
  <c r="G37" i="6"/>
  <c r="D40" i="5" s="1"/>
  <c r="G38" i="6"/>
  <c r="G39" i="6"/>
  <c r="G40" i="6"/>
  <c r="G41" i="6"/>
  <c r="G42" i="6"/>
  <c r="G43" i="6"/>
  <c r="G44" i="6"/>
  <c r="D47" i="5" s="1"/>
  <c r="G45" i="6"/>
  <c r="G46" i="6"/>
  <c r="G47" i="6"/>
  <c r="G48" i="6"/>
  <c r="G49" i="6"/>
  <c r="G50" i="6"/>
  <c r="G51" i="6"/>
  <c r="G52" i="6"/>
  <c r="G53" i="6"/>
  <c r="G54" i="6"/>
  <c r="G55" i="6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G6" i="6"/>
  <c r="D9" i="5" s="1"/>
  <c r="C58" i="9"/>
  <c r="B58" i="9"/>
  <c r="C57" i="9"/>
  <c r="B57" i="9"/>
  <c r="C56" i="9"/>
  <c r="B56" i="9"/>
  <c r="C55" i="9"/>
  <c r="B55" i="9"/>
  <c r="C54" i="9"/>
  <c r="B54" i="9"/>
  <c r="C53" i="9"/>
  <c r="B53" i="9"/>
  <c r="C52" i="9"/>
  <c r="B52" i="9"/>
  <c r="C51" i="9"/>
  <c r="B51" i="9"/>
  <c r="C50" i="9"/>
  <c r="B50" i="9"/>
  <c r="C49" i="9"/>
  <c r="B49" i="9"/>
  <c r="C48" i="9"/>
  <c r="B48" i="9"/>
  <c r="C47" i="9"/>
  <c r="B47" i="9"/>
  <c r="C46" i="9"/>
  <c r="B46" i="9"/>
  <c r="C45" i="9"/>
  <c r="B45" i="9"/>
  <c r="C44" i="9"/>
  <c r="B44" i="9"/>
  <c r="C43" i="9"/>
  <c r="B43" i="9"/>
  <c r="C42" i="9"/>
  <c r="B42" i="9"/>
  <c r="C41" i="9"/>
  <c r="B41" i="9"/>
  <c r="C40" i="9"/>
  <c r="B40" i="9"/>
  <c r="C39" i="9"/>
  <c r="B39" i="9"/>
  <c r="C38" i="9"/>
  <c r="B38" i="9"/>
  <c r="C37" i="9"/>
  <c r="B37" i="9"/>
  <c r="C36" i="9"/>
  <c r="B36" i="9"/>
  <c r="C35" i="9"/>
  <c r="B35" i="9"/>
  <c r="C34" i="9"/>
  <c r="B34" i="9"/>
  <c r="C33" i="9"/>
  <c r="B33" i="9"/>
  <c r="C32" i="9"/>
  <c r="B32" i="9"/>
  <c r="C31" i="9"/>
  <c r="B31" i="9"/>
  <c r="C30" i="9"/>
  <c r="B30" i="9"/>
  <c r="C29" i="9"/>
  <c r="B29" i="9"/>
  <c r="C28" i="9"/>
  <c r="B28" i="9"/>
  <c r="C27" i="9"/>
  <c r="B27" i="9"/>
  <c r="C26" i="9"/>
  <c r="B26" i="9"/>
  <c r="C25" i="9"/>
  <c r="B25" i="9"/>
  <c r="C24" i="9"/>
  <c r="B24" i="9"/>
  <c r="C23" i="9"/>
  <c r="B23" i="9"/>
  <c r="C22" i="9"/>
  <c r="B22" i="9"/>
  <c r="C21" i="9"/>
  <c r="B21" i="9"/>
  <c r="C20" i="9"/>
  <c r="B20" i="9"/>
  <c r="C19" i="9"/>
  <c r="B19" i="9"/>
  <c r="C18" i="9"/>
  <c r="B18" i="9"/>
  <c r="C17" i="9"/>
  <c r="B17" i="9"/>
  <c r="C16" i="9"/>
  <c r="B16" i="9"/>
  <c r="C15" i="9"/>
  <c r="B15" i="9"/>
  <c r="C14" i="9"/>
  <c r="B14" i="9"/>
  <c r="C13" i="9"/>
  <c r="B13" i="9"/>
  <c r="C12" i="9"/>
  <c r="B12" i="9"/>
  <c r="C11" i="9"/>
  <c r="B11" i="9"/>
  <c r="C10" i="9"/>
  <c r="B10" i="9"/>
  <c r="C9" i="9"/>
  <c r="B9" i="9"/>
  <c r="D31" i="8"/>
  <c r="G31" i="8" s="1"/>
  <c r="H31" i="8" s="1"/>
  <c r="D30" i="8"/>
  <c r="G30" i="8" s="1"/>
  <c r="H30" i="8" s="1"/>
  <c r="D29" i="8"/>
  <c r="G29" i="8" s="1"/>
  <c r="H29" i="8" s="1"/>
  <c r="D28" i="8"/>
  <c r="G28" i="8" s="1"/>
  <c r="H28" i="8" s="1"/>
  <c r="D27" i="8"/>
  <c r="G27" i="8" s="1"/>
  <c r="H27" i="8" s="1"/>
  <c r="D26" i="8"/>
  <c r="G26" i="8" s="1"/>
  <c r="H26" i="8" s="1"/>
  <c r="D25" i="8"/>
  <c r="G25" i="8" s="1"/>
  <c r="H25" i="8" s="1"/>
  <c r="D24" i="8"/>
  <c r="G24" i="8" s="1"/>
  <c r="H24" i="8" s="1"/>
  <c r="D23" i="8"/>
  <c r="G23" i="8" s="1"/>
  <c r="H23" i="8" s="1"/>
  <c r="D22" i="8"/>
  <c r="G22" i="8" s="1"/>
  <c r="G36" i="8"/>
  <c r="G35" i="8"/>
  <c r="J17" i="8"/>
  <c r="D17" i="8"/>
  <c r="J15" i="8"/>
  <c r="D15" i="8"/>
  <c r="G35" i="2"/>
  <c r="G34" i="2"/>
  <c r="E30" i="2"/>
  <c r="E29" i="2"/>
  <c r="E28" i="2"/>
  <c r="E27" i="2"/>
  <c r="E26" i="2"/>
  <c r="E25" i="2"/>
  <c r="E24" i="2"/>
  <c r="E23" i="2"/>
  <c r="E22" i="2"/>
  <c r="D30" i="2"/>
  <c r="D29" i="2"/>
  <c r="D28" i="2"/>
  <c r="D27" i="2"/>
  <c r="D26" i="2"/>
  <c r="D25" i="2"/>
  <c r="D24" i="2"/>
  <c r="D23" i="2"/>
  <c r="D22" i="2"/>
  <c r="E21" i="2"/>
  <c r="D21" i="2"/>
  <c r="J15" i="2"/>
  <c r="J17" i="2"/>
  <c r="D17" i="2"/>
  <c r="D15" i="2"/>
  <c r="M32" i="5"/>
  <c r="M33" i="5"/>
  <c r="M36" i="5"/>
  <c r="M37" i="5"/>
  <c r="M40" i="5"/>
  <c r="M41" i="5"/>
  <c r="M44" i="5"/>
  <c r="M45" i="5"/>
  <c r="M48" i="5"/>
  <c r="M49" i="5"/>
  <c r="M50" i="5"/>
  <c r="M52" i="5"/>
  <c r="M53" i="5"/>
  <c r="M56" i="5"/>
  <c r="M57" i="5"/>
  <c r="L33" i="5"/>
  <c r="L34" i="5"/>
  <c r="L35" i="5"/>
  <c r="L36" i="5"/>
  <c r="L37" i="5"/>
  <c r="L41" i="5"/>
  <c r="L42" i="5"/>
  <c r="L43" i="5"/>
  <c r="L44" i="5"/>
  <c r="L45" i="5"/>
  <c r="L49" i="5"/>
  <c r="L50" i="5"/>
  <c r="L51" i="5"/>
  <c r="L52" i="5"/>
  <c r="L53" i="5"/>
  <c r="L57" i="5"/>
  <c r="L58" i="5"/>
  <c r="K32" i="5"/>
  <c r="K33" i="5"/>
  <c r="K34" i="5"/>
  <c r="K35" i="5"/>
  <c r="K36" i="5"/>
  <c r="K40" i="5"/>
  <c r="K41" i="5"/>
  <c r="K42" i="5"/>
  <c r="K43" i="5"/>
  <c r="K48" i="5"/>
  <c r="K49" i="5"/>
  <c r="K50" i="5"/>
  <c r="K51" i="5"/>
  <c r="K56" i="5"/>
  <c r="K57" i="5"/>
  <c r="K58" i="5"/>
  <c r="J32" i="5"/>
  <c r="J35" i="5"/>
  <c r="J36" i="5"/>
  <c r="J37" i="5"/>
  <c r="J40" i="5"/>
  <c r="J41" i="5"/>
  <c r="J43" i="5"/>
  <c r="J44" i="5"/>
  <c r="J45" i="5"/>
  <c r="J48" i="5"/>
  <c r="J51" i="5"/>
  <c r="J52" i="5"/>
  <c r="J53" i="5"/>
  <c r="J56" i="5"/>
  <c r="I32" i="5"/>
  <c r="I33" i="5"/>
  <c r="I34" i="5"/>
  <c r="I35" i="5"/>
  <c r="I36" i="5"/>
  <c r="I37" i="5"/>
  <c r="I40" i="5"/>
  <c r="I41" i="5"/>
  <c r="I42" i="5"/>
  <c r="I43" i="5"/>
  <c r="I44" i="5"/>
  <c r="I45" i="5"/>
  <c r="I48" i="5"/>
  <c r="I49" i="5"/>
  <c r="I50" i="5"/>
  <c r="I51" i="5"/>
  <c r="I52" i="5"/>
  <c r="I53" i="5"/>
  <c r="I56" i="5"/>
  <c r="I57" i="5"/>
  <c r="I58" i="5"/>
  <c r="H32" i="5"/>
  <c r="H33" i="5"/>
  <c r="H34" i="5"/>
  <c r="H40" i="5"/>
  <c r="H41" i="5"/>
  <c r="H42" i="5"/>
  <c r="H48" i="5"/>
  <c r="H49" i="5"/>
  <c r="H50" i="5"/>
  <c r="H51" i="5"/>
  <c r="H56" i="5"/>
  <c r="H57" i="5"/>
  <c r="H58" i="5"/>
  <c r="G34" i="5"/>
  <c r="G35" i="5"/>
  <c r="G36" i="5"/>
  <c r="G37" i="5"/>
  <c r="G38" i="5"/>
  <c r="G42" i="5"/>
  <c r="G43" i="5"/>
  <c r="G44" i="5"/>
  <c r="G45" i="5"/>
  <c r="G46" i="5"/>
  <c r="G50" i="5"/>
  <c r="G51" i="5"/>
  <c r="G52" i="5"/>
  <c r="G53" i="5"/>
  <c r="G54" i="5"/>
  <c r="G58" i="5"/>
  <c r="F32" i="5"/>
  <c r="F33" i="5"/>
  <c r="F34" i="5"/>
  <c r="F35" i="5"/>
  <c r="F36" i="5"/>
  <c r="F40" i="5"/>
  <c r="F41" i="5"/>
  <c r="F42" i="5"/>
  <c r="F43" i="5"/>
  <c r="F44" i="5"/>
  <c r="F48" i="5"/>
  <c r="F49" i="5"/>
  <c r="F50" i="5"/>
  <c r="F51" i="5"/>
  <c r="F52" i="5"/>
  <c r="F56" i="5"/>
  <c r="F57" i="5"/>
  <c r="F58" i="5"/>
  <c r="E32" i="5"/>
  <c r="E33" i="5"/>
  <c r="E34" i="5"/>
  <c r="E36" i="5"/>
  <c r="E37" i="5"/>
  <c r="E40" i="5"/>
  <c r="E41" i="5"/>
  <c r="E44" i="5"/>
  <c r="E45" i="5"/>
  <c r="E48" i="5"/>
  <c r="E49" i="5"/>
  <c r="E52" i="5"/>
  <c r="E53" i="5"/>
  <c r="E56" i="5"/>
  <c r="E57" i="5"/>
  <c r="D33" i="5"/>
  <c r="D34" i="5"/>
  <c r="D35" i="5"/>
  <c r="D36" i="5"/>
  <c r="D37" i="5"/>
  <c r="D38" i="5"/>
  <c r="D41" i="5"/>
  <c r="D42" i="5"/>
  <c r="D43" i="5"/>
  <c r="D44" i="5"/>
  <c r="D45" i="5"/>
  <c r="D46" i="5"/>
  <c r="D48" i="5"/>
  <c r="D49" i="5"/>
  <c r="D50" i="5"/>
  <c r="D51" i="5"/>
  <c r="D52" i="5"/>
  <c r="D53" i="5"/>
  <c r="D54" i="5"/>
  <c r="D55" i="5"/>
  <c r="D56" i="5"/>
  <c r="D57" i="5"/>
  <c r="D5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B5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AQ28" i="6"/>
  <c r="M31" i="5" s="1"/>
  <c r="AM28" i="6"/>
  <c r="L31" i="5" s="1"/>
  <c r="AI28" i="6"/>
  <c r="K31" i="5" s="1"/>
  <c r="AE28" i="6"/>
  <c r="J31" i="5" s="1"/>
  <c r="AA28" i="6"/>
  <c r="I31" i="5" s="1"/>
  <c r="W28" i="6"/>
  <c r="H31" i="5" s="1"/>
  <c r="S28" i="6"/>
  <c r="G31" i="5" s="1"/>
  <c r="O28" i="6"/>
  <c r="F31" i="5" s="1"/>
  <c r="K28" i="6"/>
  <c r="E31" i="5" s="1"/>
  <c r="G28" i="6"/>
  <c r="D31" i="5" s="1"/>
  <c r="AQ27" i="6"/>
  <c r="M30" i="5" s="1"/>
  <c r="AM27" i="6"/>
  <c r="L30" i="5" s="1"/>
  <c r="AI27" i="6"/>
  <c r="K30" i="5" s="1"/>
  <c r="AE27" i="6"/>
  <c r="J30" i="5" s="1"/>
  <c r="AA27" i="6"/>
  <c r="I30" i="5" s="1"/>
  <c r="W27" i="6"/>
  <c r="H30" i="5" s="1"/>
  <c r="S27" i="6"/>
  <c r="G30" i="5" s="1"/>
  <c r="O27" i="6"/>
  <c r="F30" i="5" s="1"/>
  <c r="K27" i="6"/>
  <c r="E30" i="5" s="1"/>
  <c r="G27" i="6"/>
  <c r="D30" i="5" s="1"/>
  <c r="AQ26" i="6"/>
  <c r="M29" i="5" s="1"/>
  <c r="AM26" i="6"/>
  <c r="L29" i="5" s="1"/>
  <c r="AI26" i="6"/>
  <c r="K29" i="5" s="1"/>
  <c r="AE26" i="6"/>
  <c r="J29" i="5" s="1"/>
  <c r="AA26" i="6"/>
  <c r="I29" i="5" s="1"/>
  <c r="W26" i="6"/>
  <c r="H29" i="5" s="1"/>
  <c r="S26" i="6"/>
  <c r="G29" i="5" s="1"/>
  <c r="O26" i="6"/>
  <c r="F29" i="5" s="1"/>
  <c r="K26" i="6"/>
  <c r="E29" i="5" s="1"/>
  <c r="G26" i="6"/>
  <c r="D29" i="5" s="1"/>
  <c r="AQ25" i="6"/>
  <c r="M28" i="5" s="1"/>
  <c r="AM25" i="6"/>
  <c r="L28" i="5" s="1"/>
  <c r="AI25" i="6"/>
  <c r="K28" i="5" s="1"/>
  <c r="AE25" i="6"/>
  <c r="J28" i="5" s="1"/>
  <c r="AA25" i="6"/>
  <c r="I28" i="5" s="1"/>
  <c r="W25" i="6"/>
  <c r="H28" i="5" s="1"/>
  <c r="S25" i="6"/>
  <c r="G28" i="5" s="1"/>
  <c r="O25" i="6"/>
  <c r="F28" i="5" s="1"/>
  <c r="K25" i="6"/>
  <c r="E28" i="5" s="1"/>
  <c r="G25" i="6"/>
  <c r="D28" i="5" s="1"/>
  <c r="AQ24" i="6"/>
  <c r="M27" i="5" s="1"/>
  <c r="AM24" i="6"/>
  <c r="L27" i="5" s="1"/>
  <c r="AI24" i="6"/>
  <c r="K27" i="5" s="1"/>
  <c r="AE24" i="6"/>
  <c r="J27" i="5" s="1"/>
  <c r="AA24" i="6"/>
  <c r="I27" i="5" s="1"/>
  <c r="W24" i="6"/>
  <c r="H27" i="5" s="1"/>
  <c r="S24" i="6"/>
  <c r="G27" i="5" s="1"/>
  <c r="O24" i="6"/>
  <c r="F27" i="5" s="1"/>
  <c r="K24" i="6"/>
  <c r="E27" i="5" s="1"/>
  <c r="G24" i="6"/>
  <c r="D27" i="5" s="1"/>
  <c r="AQ23" i="6"/>
  <c r="M26" i="5" s="1"/>
  <c r="AM23" i="6"/>
  <c r="L26" i="5" s="1"/>
  <c r="AI23" i="6"/>
  <c r="K26" i="5" s="1"/>
  <c r="AE23" i="6"/>
  <c r="J26" i="5" s="1"/>
  <c r="AA23" i="6"/>
  <c r="I26" i="5" s="1"/>
  <c r="W23" i="6"/>
  <c r="H26" i="5" s="1"/>
  <c r="S23" i="6"/>
  <c r="G26" i="5" s="1"/>
  <c r="O23" i="6"/>
  <c r="F26" i="5" s="1"/>
  <c r="K23" i="6"/>
  <c r="E26" i="5" s="1"/>
  <c r="G23" i="6"/>
  <c r="D26" i="5" s="1"/>
  <c r="AQ22" i="6"/>
  <c r="M25" i="5" s="1"/>
  <c r="AM22" i="6"/>
  <c r="L25" i="5" s="1"/>
  <c r="AI22" i="6"/>
  <c r="K25" i="5" s="1"/>
  <c r="AE22" i="6"/>
  <c r="J25" i="5" s="1"/>
  <c r="AA22" i="6"/>
  <c r="I25" i="5" s="1"/>
  <c r="W22" i="6"/>
  <c r="H25" i="5" s="1"/>
  <c r="S22" i="6"/>
  <c r="G25" i="5" s="1"/>
  <c r="O22" i="6"/>
  <c r="F25" i="5" s="1"/>
  <c r="K22" i="6"/>
  <c r="E25" i="5" s="1"/>
  <c r="G22" i="6"/>
  <c r="D25" i="5" s="1"/>
  <c r="AQ21" i="6"/>
  <c r="M24" i="5" s="1"/>
  <c r="AM21" i="6"/>
  <c r="L24" i="5" s="1"/>
  <c r="AI21" i="6"/>
  <c r="K24" i="5" s="1"/>
  <c r="AE21" i="6"/>
  <c r="J24" i="5" s="1"/>
  <c r="AA21" i="6"/>
  <c r="I24" i="5" s="1"/>
  <c r="W21" i="6"/>
  <c r="H24" i="5" s="1"/>
  <c r="S21" i="6"/>
  <c r="G24" i="5" s="1"/>
  <c r="O21" i="6"/>
  <c r="F24" i="5" s="1"/>
  <c r="K21" i="6"/>
  <c r="E24" i="5" s="1"/>
  <c r="G21" i="6"/>
  <c r="D24" i="5" s="1"/>
  <c r="AQ20" i="6"/>
  <c r="M23" i="5" s="1"/>
  <c r="AM20" i="6"/>
  <c r="L23" i="5" s="1"/>
  <c r="AI20" i="6"/>
  <c r="K23" i="5" s="1"/>
  <c r="AE20" i="6"/>
  <c r="J23" i="5" s="1"/>
  <c r="AA20" i="6"/>
  <c r="I23" i="5" s="1"/>
  <c r="W20" i="6"/>
  <c r="H23" i="5" s="1"/>
  <c r="S20" i="6"/>
  <c r="G23" i="5" s="1"/>
  <c r="O20" i="6"/>
  <c r="F23" i="5" s="1"/>
  <c r="K20" i="6"/>
  <c r="E23" i="5" s="1"/>
  <c r="G20" i="6"/>
  <c r="D23" i="5" s="1"/>
  <c r="AQ19" i="6"/>
  <c r="M22" i="5" s="1"/>
  <c r="AM19" i="6"/>
  <c r="L22" i="5" s="1"/>
  <c r="AI19" i="6"/>
  <c r="K22" i="5" s="1"/>
  <c r="AE19" i="6"/>
  <c r="J22" i="5" s="1"/>
  <c r="AA19" i="6"/>
  <c r="I22" i="5" s="1"/>
  <c r="W19" i="6"/>
  <c r="H22" i="5" s="1"/>
  <c r="S19" i="6"/>
  <c r="G22" i="5" s="1"/>
  <c r="O19" i="6"/>
  <c r="F22" i="5" s="1"/>
  <c r="K19" i="6"/>
  <c r="E22" i="5" s="1"/>
  <c r="G19" i="6"/>
  <c r="D22" i="5" s="1"/>
  <c r="AQ18" i="6"/>
  <c r="M21" i="5" s="1"/>
  <c r="AM18" i="6"/>
  <c r="L21" i="5" s="1"/>
  <c r="AI18" i="6"/>
  <c r="K21" i="5" s="1"/>
  <c r="AE18" i="6"/>
  <c r="J21" i="5" s="1"/>
  <c r="AA18" i="6"/>
  <c r="I21" i="5" s="1"/>
  <c r="W18" i="6"/>
  <c r="H21" i="5" s="1"/>
  <c r="S18" i="6"/>
  <c r="G21" i="5" s="1"/>
  <c r="O18" i="6"/>
  <c r="F21" i="5" s="1"/>
  <c r="K18" i="6"/>
  <c r="E21" i="5" s="1"/>
  <c r="G18" i="6"/>
  <c r="D21" i="5" s="1"/>
  <c r="AQ17" i="6"/>
  <c r="M20" i="5" s="1"/>
  <c r="AM17" i="6"/>
  <c r="L20" i="5" s="1"/>
  <c r="AI17" i="6"/>
  <c r="K20" i="5" s="1"/>
  <c r="AE17" i="6"/>
  <c r="J20" i="5" s="1"/>
  <c r="AA17" i="6"/>
  <c r="I20" i="5" s="1"/>
  <c r="W17" i="6"/>
  <c r="H20" i="5" s="1"/>
  <c r="S17" i="6"/>
  <c r="G20" i="5" s="1"/>
  <c r="O17" i="6"/>
  <c r="F20" i="5" s="1"/>
  <c r="K17" i="6"/>
  <c r="E20" i="5" s="1"/>
  <c r="G17" i="6"/>
  <c r="D20" i="5" s="1"/>
  <c r="AQ16" i="6"/>
  <c r="M19" i="5" s="1"/>
  <c r="AM16" i="6"/>
  <c r="L19" i="5" s="1"/>
  <c r="AI16" i="6"/>
  <c r="K19" i="5" s="1"/>
  <c r="AE16" i="6"/>
  <c r="J19" i="5" s="1"/>
  <c r="AA16" i="6"/>
  <c r="I19" i="5" s="1"/>
  <c r="W16" i="6"/>
  <c r="H19" i="5" s="1"/>
  <c r="S16" i="6"/>
  <c r="G19" i="5" s="1"/>
  <c r="O16" i="6"/>
  <c r="F19" i="5" s="1"/>
  <c r="K16" i="6"/>
  <c r="E19" i="5" s="1"/>
  <c r="G16" i="6"/>
  <c r="D19" i="5" s="1"/>
  <c r="AQ15" i="6"/>
  <c r="M18" i="5" s="1"/>
  <c r="AM15" i="6"/>
  <c r="L18" i="5" s="1"/>
  <c r="AI15" i="6"/>
  <c r="K18" i="5" s="1"/>
  <c r="AE15" i="6"/>
  <c r="J18" i="5" s="1"/>
  <c r="AA15" i="6"/>
  <c r="I18" i="5" s="1"/>
  <c r="W15" i="6"/>
  <c r="H18" i="5" s="1"/>
  <c r="S15" i="6"/>
  <c r="G18" i="5" s="1"/>
  <c r="O15" i="6"/>
  <c r="F18" i="5" s="1"/>
  <c r="K15" i="6"/>
  <c r="E18" i="5" s="1"/>
  <c r="G15" i="6"/>
  <c r="D18" i="5" s="1"/>
  <c r="AQ14" i="6"/>
  <c r="M17" i="5" s="1"/>
  <c r="AM14" i="6"/>
  <c r="L17" i="5" s="1"/>
  <c r="AI14" i="6"/>
  <c r="K17" i="5" s="1"/>
  <c r="AE14" i="6"/>
  <c r="J17" i="5" s="1"/>
  <c r="AA14" i="6"/>
  <c r="I17" i="5" s="1"/>
  <c r="W14" i="6"/>
  <c r="H17" i="5" s="1"/>
  <c r="S14" i="6"/>
  <c r="G17" i="5" s="1"/>
  <c r="O14" i="6"/>
  <c r="F17" i="5" s="1"/>
  <c r="K14" i="6"/>
  <c r="E17" i="5" s="1"/>
  <c r="G14" i="6"/>
  <c r="D17" i="5" s="1"/>
  <c r="AQ13" i="6"/>
  <c r="M16" i="5" s="1"/>
  <c r="AM13" i="6"/>
  <c r="L16" i="5" s="1"/>
  <c r="AI13" i="6"/>
  <c r="K16" i="5" s="1"/>
  <c r="AE13" i="6"/>
  <c r="J16" i="5" s="1"/>
  <c r="AA13" i="6"/>
  <c r="I16" i="5" s="1"/>
  <c r="W13" i="6"/>
  <c r="H16" i="5" s="1"/>
  <c r="S13" i="6"/>
  <c r="G16" i="5" s="1"/>
  <c r="O13" i="6"/>
  <c r="F16" i="5" s="1"/>
  <c r="K13" i="6"/>
  <c r="E16" i="5" s="1"/>
  <c r="D16" i="5"/>
  <c r="AQ12" i="6"/>
  <c r="M15" i="5" s="1"/>
  <c r="AM12" i="6"/>
  <c r="L15" i="5" s="1"/>
  <c r="AI12" i="6"/>
  <c r="K15" i="5" s="1"/>
  <c r="AE12" i="6"/>
  <c r="J15" i="5" s="1"/>
  <c r="AA12" i="6"/>
  <c r="I15" i="5" s="1"/>
  <c r="W12" i="6"/>
  <c r="H15" i="5" s="1"/>
  <c r="S12" i="6"/>
  <c r="G15" i="5" s="1"/>
  <c r="O12" i="6"/>
  <c r="F15" i="5" s="1"/>
  <c r="K12" i="6"/>
  <c r="E15" i="5" s="1"/>
  <c r="G12" i="6"/>
  <c r="D15" i="5" s="1"/>
  <c r="AQ11" i="6"/>
  <c r="M14" i="5" s="1"/>
  <c r="AM11" i="6"/>
  <c r="L14" i="5" s="1"/>
  <c r="AI11" i="6"/>
  <c r="K14" i="5" s="1"/>
  <c r="AE11" i="6"/>
  <c r="J14" i="5" s="1"/>
  <c r="AA11" i="6"/>
  <c r="I14" i="5" s="1"/>
  <c r="W11" i="6"/>
  <c r="H14" i="5" s="1"/>
  <c r="S11" i="6"/>
  <c r="G14" i="5" s="1"/>
  <c r="O11" i="6"/>
  <c r="F14" i="5" s="1"/>
  <c r="K11" i="6"/>
  <c r="E14" i="5" s="1"/>
  <c r="G11" i="6"/>
  <c r="D14" i="5" s="1"/>
  <c r="AQ10" i="6"/>
  <c r="M13" i="5" s="1"/>
  <c r="AM10" i="6"/>
  <c r="L13" i="5" s="1"/>
  <c r="AI10" i="6"/>
  <c r="K13" i="5" s="1"/>
  <c r="AE10" i="6"/>
  <c r="J13" i="5" s="1"/>
  <c r="AA10" i="6"/>
  <c r="I13" i="5" s="1"/>
  <c r="W10" i="6"/>
  <c r="H13" i="5" s="1"/>
  <c r="S10" i="6"/>
  <c r="G13" i="5" s="1"/>
  <c r="O10" i="6"/>
  <c r="F13" i="5" s="1"/>
  <c r="K10" i="6"/>
  <c r="E13" i="5" s="1"/>
  <c r="G10" i="6"/>
  <c r="D13" i="5" s="1"/>
  <c r="AQ9" i="6"/>
  <c r="M12" i="5" s="1"/>
  <c r="AM9" i="6"/>
  <c r="L12" i="5" s="1"/>
  <c r="AI9" i="6"/>
  <c r="K12" i="5" s="1"/>
  <c r="AE9" i="6"/>
  <c r="J12" i="5" s="1"/>
  <c r="AA9" i="6"/>
  <c r="I12" i="5" s="1"/>
  <c r="W9" i="6"/>
  <c r="H12" i="5" s="1"/>
  <c r="S9" i="6"/>
  <c r="G12" i="5" s="1"/>
  <c r="O9" i="6"/>
  <c r="F12" i="5" s="1"/>
  <c r="K9" i="6"/>
  <c r="E12" i="5" s="1"/>
  <c r="G9" i="6"/>
  <c r="D12" i="5" s="1"/>
  <c r="AQ8" i="6"/>
  <c r="M11" i="5" s="1"/>
  <c r="AM8" i="6"/>
  <c r="L11" i="5" s="1"/>
  <c r="AI8" i="6"/>
  <c r="K11" i="5" s="1"/>
  <c r="AE8" i="6"/>
  <c r="J11" i="5" s="1"/>
  <c r="AA8" i="6"/>
  <c r="I11" i="5" s="1"/>
  <c r="W8" i="6"/>
  <c r="H11" i="5" s="1"/>
  <c r="S8" i="6"/>
  <c r="G11" i="5" s="1"/>
  <c r="O8" i="6"/>
  <c r="F11" i="5" s="1"/>
  <c r="K8" i="6"/>
  <c r="E11" i="5" s="1"/>
  <c r="G8" i="6"/>
  <c r="D11" i="5" s="1"/>
  <c r="AQ7" i="6"/>
  <c r="M10" i="5" s="1"/>
  <c r="AM7" i="6"/>
  <c r="L10" i="5" s="1"/>
  <c r="AI7" i="6"/>
  <c r="K10" i="5" s="1"/>
  <c r="AE7" i="6"/>
  <c r="J10" i="5" s="1"/>
  <c r="AA7" i="6"/>
  <c r="I10" i="5" s="1"/>
  <c r="W7" i="6"/>
  <c r="H10" i="5" s="1"/>
  <c r="S7" i="6"/>
  <c r="G10" i="5" s="1"/>
  <c r="O7" i="6"/>
  <c r="F10" i="5" s="1"/>
  <c r="K7" i="6"/>
  <c r="E10" i="5" s="1"/>
  <c r="G7" i="6"/>
  <c r="D10" i="5" s="1"/>
  <c r="AQ6" i="6"/>
  <c r="M9" i="5" s="1"/>
  <c r="AM6" i="6"/>
  <c r="L9" i="5" s="1"/>
  <c r="AI6" i="6"/>
  <c r="K9" i="5" s="1"/>
  <c r="AE6" i="6"/>
  <c r="J9" i="5" s="1"/>
  <c r="AA6" i="6"/>
  <c r="I9" i="5" s="1"/>
  <c r="W6" i="6"/>
  <c r="H9" i="5" s="1"/>
  <c r="S6" i="6"/>
  <c r="G9" i="5" s="1"/>
  <c r="O6" i="6"/>
  <c r="F9" i="5" s="1"/>
  <c r="K6" i="6"/>
  <c r="E9" i="5" s="1"/>
  <c r="P56" i="9" l="1"/>
  <c r="Q56" i="9" s="1"/>
  <c r="P48" i="9"/>
  <c r="Q48" i="9" s="1"/>
  <c r="P40" i="9"/>
  <c r="Q40" i="9" s="1"/>
  <c r="P32" i="9"/>
  <c r="Q32" i="9" s="1"/>
  <c r="P24" i="9"/>
  <c r="P16" i="9"/>
  <c r="P55" i="9"/>
  <c r="Q55" i="9" s="1"/>
  <c r="P47" i="9"/>
  <c r="Q47" i="9" s="1"/>
  <c r="P39" i="9"/>
  <c r="Q39" i="9" s="1"/>
  <c r="P31" i="9"/>
  <c r="P23" i="9"/>
  <c r="P15" i="9"/>
  <c r="P48" i="5"/>
  <c r="Q48" i="5" s="1"/>
  <c r="P40" i="5"/>
  <c r="Q40" i="5" s="1"/>
  <c r="P56" i="5"/>
  <c r="Q56" i="5" s="1"/>
  <c r="F21" i="2"/>
  <c r="P39" i="5"/>
  <c r="Q39" i="5" s="1"/>
  <c r="P11" i="5"/>
  <c r="P15" i="5"/>
  <c r="P19" i="5"/>
  <c r="P23" i="5"/>
  <c r="P27" i="5"/>
  <c r="P31" i="5"/>
  <c r="P57" i="5"/>
  <c r="Q57" i="5" s="1"/>
  <c r="P49" i="5"/>
  <c r="Q49" i="5" s="1"/>
  <c r="P41" i="5"/>
  <c r="Q41" i="5" s="1"/>
  <c r="P33" i="5"/>
  <c r="Q33" i="5" s="1"/>
  <c r="P57" i="9"/>
  <c r="Q57" i="9" s="1"/>
  <c r="P49" i="9"/>
  <c r="Q49" i="9" s="1"/>
  <c r="P41" i="9"/>
  <c r="Q41" i="9" s="1"/>
  <c r="P33" i="9"/>
  <c r="Q33" i="9" s="1"/>
  <c r="P25" i="9"/>
  <c r="P17" i="9"/>
  <c r="P9" i="9"/>
  <c r="P51" i="9"/>
  <c r="Q51" i="9" s="1"/>
  <c r="P43" i="9"/>
  <c r="Q43" i="9" s="1"/>
  <c r="P35" i="9"/>
  <c r="Q35" i="9" s="1"/>
  <c r="P27" i="9"/>
  <c r="P19" i="9"/>
  <c r="P11" i="9"/>
  <c r="P53" i="9"/>
  <c r="Q53" i="9" s="1"/>
  <c r="P45" i="9"/>
  <c r="Q45" i="9" s="1"/>
  <c r="P37" i="9"/>
  <c r="Q37" i="9" s="1"/>
  <c r="P29" i="9"/>
  <c r="P21" i="9"/>
  <c r="P13" i="9"/>
  <c r="P47" i="5"/>
  <c r="Q47" i="5" s="1"/>
  <c r="P54" i="5"/>
  <c r="Q54" i="5" s="1"/>
  <c r="P46" i="5"/>
  <c r="Q46" i="5" s="1"/>
  <c r="P38" i="5"/>
  <c r="Q38" i="5" s="1"/>
  <c r="P12" i="5"/>
  <c r="P9" i="5"/>
  <c r="P13" i="5"/>
  <c r="P17" i="5"/>
  <c r="P21" i="5"/>
  <c r="P25" i="5"/>
  <c r="P29" i="5"/>
  <c r="P53" i="5"/>
  <c r="Q53" i="5" s="1"/>
  <c r="P45" i="5"/>
  <c r="Q45" i="5" s="1"/>
  <c r="P37" i="5"/>
  <c r="Q37" i="5" s="1"/>
  <c r="P24" i="5"/>
  <c r="P52" i="5"/>
  <c r="Q52" i="5" s="1"/>
  <c r="P44" i="5"/>
  <c r="Q44" i="5" s="1"/>
  <c r="P36" i="5"/>
  <c r="Q36" i="5" s="1"/>
  <c r="P52" i="9"/>
  <c r="Q52" i="9" s="1"/>
  <c r="P44" i="9"/>
  <c r="Q44" i="9" s="1"/>
  <c r="P36" i="9"/>
  <c r="Q36" i="9" s="1"/>
  <c r="P28" i="9"/>
  <c r="P20" i="9"/>
  <c r="P12" i="9"/>
  <c r="P28" i="5"/>
  <c r="P10" i="5"/>
  <c r="P14" i="5"/>
  <c r="P18" i="5"/>
  <c r="P22" i="5"/>
  <c r="P26" i="5"/>
  <c r="P30" i="5"/>
  <c r="P32" i="5"/>
  <c r="Q32" i="5" s="1"/>
  <c r="P51" i="5"/>
  <c r="Q51" i="5" s="1"/>
  <c r="P43" i="5"/>
  <c r="Q43" i="5" s="1"/>
  <c r="P35" i="5"/>
  <c r="Q35" i="5" s="1"/>
  <c r="P16" i="5"/>
  <c r="P20" i="5"/>
  <c r="P55" i="5"/>
  <c r="Q55" i="5" s="1"/>
  <c r="P58" i="5"/>
  <c r="Q58" i="5" s="1"/>
  <c r="P50" i="5"/>
  <c r="Q50" i="5" s="1"/>
  <c r="P42" i="5"/>
  <c r="Q42" i="5" s="1"/>
  <c r="P34" i="5"/>
  <c r="Q34" i="5" s="1"/>
  <c r="P58" i="9"/>
  <c r="Q58" i="9" s="1"/>
  <c r="P50" i="9"/>
  <c r="Q50" i="9" s="1"/>
  <c r="P42" i="9"/>
  <c r="Q42" i="9" s="1"/>
  <c r="P34" i="9"/>
  <c r="Q34" i="9" s="1"/>
  <c r="P26" i="9"/>
  <c r="P18" i="9"/>
  <c r="P10" i="9"/>
  <c r="P54" i="9"/>
  <c r="Q54" i="9" s="1"/>
  <c r="P46" i="9"/>
  <c r="Q46" i="9" s="1"/>
  <c r="P38" i="9"/>
  <c r="Q38" i="9" s="1"/>
  <c r="P30" i="9"/>
  <c r="P22" i="9"/>
  <c r="P14" i="9"/>
  <c r="O9" i="9"/>
  <c r="O53" i="9"/>
  <c r="O14" i="9"/>
  <c r="O18" i="9"/>
  <c r="O22" i="9"/>
  <c r="O12" i="9"/>
  <c r="O16" i="9"/>
  <c r="O20" i="9"/>
  <c r="O24" i="9"/>
  <c r="O26" i="9"/>
  <c r="O57" i="9"/>
  <c r="O10" i="9"/>
  <c r="O28" i="9"/>
  <c r="O30" i="9"/>
  <c r="O34" i="9"/>
  <c r="O38" i="9"/>
  <c r="O42" i="9"/>
  <c r="O46" i="9"/>
  <c r="O50" i="9"/>
  <c r="O32" i="9"/>
  <c r="O44" i="9"/>
  <c r="O52" i="9"/>
  <c r="O54" i="9"/>
  <c r="O56" i="9"/>
  <c r="O15" i="9"/>
  <c r="O19" i="9"/>
  <c r="O23" i="9"/>
  <c r="O58" i="9"/>
  <c r="O11" i="9"/>
  <c r="O13" i="9"/>
  <c r="O17" i="9"/>
  <c r="O21" i="9"/>
  <c r="O25" i="9"/>
  <c r="O47" i="9"/>
  <c r="O51" i="9"/>
  <c r="O36" i="9"/>
  <c r="O40" i="9"/>
  <c r="O48" i="9"/>
  <c r="O29" i="9"/>
  <c r="O33" i="9"/>
  <c r="O37" i="9"/>
  <c r="O41" i="9"/>
  <c r="O45" i="9"/>
  <c r="O49" i="9"/>
  <c r="O55" i="9"/>
  <c r="O27" i="9"/>
  <c r="O31" i="9"/>
  <c r="O35" i="9"/>
  <c r="O39" i="9"/>
  <c r="O43" i="9"/>
  <c r="D34" i="8"/>
  <c r="D35" i="8" s="1"/>
  <c r="H22" i="8"/>
  <c r="F29" i="2"/>
  <c r="G29" i="2" s="1"/>
  <c r="H29" i="2" s="1"/>
  <c r="F30" i="2"/>
  <c r="G30" i="2" s="1"/>
  <c r="H30" i="2" s="1"/>
  <c r="F28" i="2"/>
  <c r="G28" i="2" s="1"/>
  <c r="H28" i="2" s="1"/>
  <c r="F27" i="2"/>
  <c r="G27" i="2" s="1"/>
  <c r="H27" i="2" s="1"/>
  <c r="F26" i="2"/>
  <c r="G26" i="2" s="1"/>
  <c r="H26" i="2" s="1"/>
  <c r="F25" i="2"/>
  <c r="G25" i="2" s="1"/>
  <c r="H25" i="2" s="1"/>
  <c r="F24" i="2"/>
  <c r="G24" i="2" s="1"/>
  <c r="H24" i="2" s="1"/>
  <c r="F23" i="2"/>
  <c r="G23" i="2" s="1"/>
  <c r="H23" i="2" s="1"/>
  <c r="F22" i="2"/>
  <c r="G22" i="2" s="1"/>
  <c r="H22" i="2" s="1"/>
  <c r="O52" i="5"/>
  <c r="O44" i="5"/>
  <c r="O54" i="5"/>
  <c r="O46" i="5"/>
  <c r="O38" i="5"/>
  <c r="O53" i="5"/>
  <c r="O45" i="5"/>
  <c r="O37" i="5"/>
  <c r="O36" i="5"/>
  <c r="O51" i="5"/>
  <c r="O43" i="5"/>
  <c r="O35" i="5"/>
  <c r="O58" i="5"/>
  <c r="O50" i="5"/>
  <c r="O42" i="5"/>
  <c r="O34" i="5"/>
  <c r="O57" i="5"/>
  <c r="O49" i="5"/>
  <c r="O41" i="5"/>
  <c r="O33" i="5"/>
  <c r="O56" i="5"/>
  <c r="O48" i="5"/>
  <c r="O40" i="5"/>
  <c r="O32" i="5"/>
  <c r="O55" i="5"/>
  <c r="O47" i="5"/>
  <c r="O39" i="5"/>
  <c r="O28" i="5"/>
  <c r="O20" i="5"/>
  <c r="O21" i="5"/>
  <c r="O13" i="5"/>
  <c r="O16" i="5"/>
  <c r="O24" i="5"/>
  <c r="O12" i="5"/>
  <c r="O29" i="5"/>
  <c r="O25" i="5"/>
  <c r="O17" i="5"/>
  <c r="O31" i="5"/>
  <c r="O23" i="5"/>
  <c r="O26" i="5"/>
  <c r="O18" i="5"/>
  <c r="O10" i="5"/>
  <c r="O9" i="5"/>
  <c r="O19" i="5"/>
  <c r="O15" i="5"/>
  <c r="O11" i="5"/>
  <c r="O27" i="5"/>
  <c r="O14" i="5"/>
  <c r="O22" i="5"/>
  <c r="O30" i="5"/>
  <c r="Q14" i="9" l="1"/>
  <c r="Q12" i="5"/>
  <c r="Q21" i="5"/>
  <c r="Q13" i="5"/>
  <c r="Q23" i="9"/>
  <c r="Q12" i="9"/>
  <c r="Q17" i="5"/>
  <c r="Q27" i="5"/>
  <c r="Q22" i="9"/>
  <c r="Q29" i="5"/>
  <c r="Q29" i="9"/>
  <c r="Q16" i="5"/>
  <c r="Q30" i="9"/>
  <c r="Q20" i="5"/>
  <c r="Q22" i="5"/>
  <c r="Q10" i="5"/>
  <c r="Q9" i="5"/>
  <c r="Q18" i="5"/>
  <c r="Q16" i="9"/>
  <c r="Q11" i="5"/>
  <c r="Q31" i="5"/>
  <c r="Q25" i="5"/>
  <c r="Q14" i="5"/>
  <c r="Q28" i="5"/>
  <c r="Q25" i="9"/>
  <c r="Q13" i="9"/>
  <c r="Q9" i="9"/>
  <c r="Q24" i="5"/>
  <c r="Q10" i="9"/>
  <c r="Q20" i="9"/>
  <c r="Q15" i="5"/>
  <c r="Q18" i="9"/>
  <c r="Q11" i="9"/>
  <c r="Q26" i="5"/>
  <c r="Q30" i="5"/>
  <c r="Q28" i="9"/>
  <c r="Q19" i="5"/>
  <c r="Q23" i="5"/>
  <c r="Q26" i="9"/>
  <c r="Q24" i="9"/>
  <c r="Q21" i="9"/>
  <c r="Q27" i="9"/>
  <c r="Q15" i="9"/>
  <c r="Q19" i="9"/>
  <c r="Q31" i="9"/>
  <c r="Q17" i="9"/>
  <c r="T9" i="9"/>
  <c r="T10" i="9"/>
  <c r="D36" i="8" s="1"/>
  <c r="T11" i="9" a="1"/>
  <c r="T11" i="9" s="1"/>
  <c r="T12" i="9" a="1"/>
  <c r="T12" i="9" s="1"/>
  <c r="G21" i="2"/>
  <c r="H21" i="2" s="1"/>
  <c r="T9" i="5"/>
  <c r="T11" i="5" a="1"/>
  <c r="T11" i="5" s="1"/>
  <c r="T12" i="5" a="1"/>
  <c r="T12" i="5" s="1"/>
  <c r="T10" i="5"/>
  <c r="D35" i="2" s="1"/>
  <c r="D33" i="2"/>
  <c r="D34" i="2" s="1"/>
</calcChain>
</file>

<file path=xl/sharedStrings.xml><?xml version="1.0" encoding="utf-8"?>
<sst xmlns="http://schemas.openxmlformats.org/spreadsheetml/2006/main" count="510" uniqueCount="244">
  <si>
    <t>TCS/2018/613</t>
  </si>
  <si>
    <t>ABDULAZIZ A. MOHAMMED</t>
  </si>
  <si>
    <t xml:space="preserve">TCS/2020/794 </t>
  </si>
  <si>
    <t>ADNAN YAKUB DANJA</t>
  </si>
  <si>
    <t>TCS/2017/559</t>
  </si>
  <si>
    <t>AHMED FARUK</t>
  </si>
  <si>
    <t>TCS/2016/475</t>
  </si>
  <si>
    <t>AHMED MARTE</t>
  </si>
  <si>
    <t>TCS/2021/879</t>
  </si>
  <si>
    <t>AYMAN O. ABIDEEN</t>
  </si>
  <si>
    <t>TCS/2022/931</t>
  </si>
  <si>
    <t>BOUCARY BOUCARY</t>
  </si>
  <si>
    <t>TCS/2015/372</t>
  </si>
  <si>
    <t>KAMALUDEEN U. SHEHU</t>
  </si>
  <si>
    <t>TCS/2022/921</t>
  </si>
  <si>
    <t>MOHAMMED MAYAKI</t>
  </si>
  <si>
    <t>TCS/2019/710</t>
  </si>
  <si>
    <t>MOHAMMED UZAIRU</t>
  </si>
  <si>
    <t>TCS/2015/386</t>
  </si>
  <si>
    <t>REHOBOTH ENENCHE</t>
  </si>
  <si>
    <t>TCS/2017/572</t>
  </si>
  <si>
    <t>ZAIN AQIB</t>
  </si>
  <si>
    <t>TCS/2023/1042</t>
  </si>
  <si>
    <t>MOHAMMED TARIQ</t>
  </si>
  <si>
    <t>TCS/2021/853</t>
  </si>
  <si>
    <t>AISHA BULAMA</t>
  </si>
  <si>
    <t>TCS/2017/577</t>
  </si>
  <si>
    <t>AISHA SANGIR</t>
  </si>
  <si>
    <t>TCS/2018/596</t>
  </si>
  <si>
    <t>ASIYA ADAMU ZARMA</t>
  </si>
  <si>
    <t>TCS/2019/738</t>
  </si>
  <si>
    <t>FATIMA MOHAMMED</t>
  </si>
  <si>
    <t>TCS/2018/640</t>
  </si>
  <si>
    <t>HADASSAH MEDUGU</t>
  </si>
  <si>
    <t>TCS/2018/635</t>
  </si>
  <si>
    <t xml:space="preserve">HAFSAT IDRIS </t>
  </si>
  <si>
    <t>TCS/2018/649</t>
  </si>
  <si>
    <t>HAUWA’U M. EL-YAKUB</t>
  </si>
  <si>
    <t>TCS/2017/557</t>
  </si>
  <si>
    <t>ILHAM JIBRIL</t>
  </si>
  <si>
    <t>TCS/2021/794</t>
  </si>
  <si>
    <t>KHADIJAH IDRIS</t>
  </si>
  <si>
    <t>TCS/2019/713</t>
  </si>
  <si>
    <t>RUKAYYA LADAN</t>
  </si>
  <si>
    <t>TCS/2016/460</t>
  </si>
  <si>
    <t>ZAINAB SULE</t>
  </si>
  <si>
    <t>S/No</t>
  </si>
  <si>
    <t>Name</t>
  </si>
  <si>
    <t>Ctz</t>
  </si>
  <si>
    <t>Eng</t>
  </si>
  <si>
    <t>FA</t>
  </si>
  <si>
    <t>French</t>
  </si>
  <si>
    <t>Gen</t>
  </si>
  <si>
    <t>HIS</t>
  </si>
  <si>
    <t>ICT</t>
  </si>
  <si>
    <t>Math</t>
  </si>
  <si>
    <t>Sci</t>
  </si>
  <si>
    <t>Spell</t>
  </si>
  <si>
    <t>No. of Sub.</t>
  </si>
  <si>
    <t>TOTAL</t>
  </si>
  <si>
    <t>AVE</t>
  </si>
  <si>
    <t>POS</t>
  </si>
  <si>
    <t>Citizenship</t>
  </si>
  <si>
    <t>1st CA</t>
  </si>
  <si>
    <t>2nd CA</t>
  </si>
  <si>
    <t>Exam</t>
  </si>
  <si>
    <t xml:space="preserve"> 2nd CA</t>
  </si>
  <si>
    <t>Fine Arts</t>
  </si>
  <si>
    <t>English Language</t>
  </si>
  <si>
    <t>General Knowledge</t>
  </si>
  <si>
    <t>History</t>
  </si>
  <si>
    <t>Mathematics</t>
  </si>
  <si>
    <t>Science</t>
  </si>
  <si>
    <t>Spelling</t>
  </si>
  <si>
    <t>Total</t>
  </si>
  <si>
    <t>Height</t>
  </si>
  <si>
    <t>Weight</t>
  </si>
  <si>
    <t>Times Present</t>
  </si>
  <si>
    <t>Times Absent</t>
  </si>
  <si>
    <t>Reg. No</t>
  </si>
  <si>
    <t>Other Data</t>
  </si>
  <si>
    <t>4.5'</t>
  </si>
  <si>
    <t>4.6'</t>
  </si>
  <si>
    <t>4.3'</t>
  </si>
  <si>
    <t>4.75'</t>
  </si>
  <si>
    <t>5'</t>
  </si>
  <si>
    <t>4.32'</t>
  </si>
  <si>
    <t>4.07'</t>
  </si>
  <si>
    <t>45kg</t>
  </si>
  <si>
    <t>55kg</t>
  </si>
  <si>
    <t>42kg</t>
  </si>
  <si>
    <t>41kg</t>
  </si>
  <si>
    <t>46kg</t>
  </si>
  <si>
    <t>52kg</t>
  </si>
  <si>
    <t>65kg</t>
  </si>
  <si>
    <t>61kg</t>
  </si>
  <si>
    <t>SUBJECTS</t>
  </si>
  <si>
    <t>C.A (40)</t>
  </si>
  <si>
    <t>EXAMS (60)</t>
  </si>
  <si>
    <t>TOTAL SCORES (100)</t>
  </si>
  <si>
    <t>GRADE</t>
  </si>
  <si>
    <t>COMMENTS</t>
  </si>
  <si>
    <t>GRAND TOTAL</t>
  </si>
  <si>
    <t>CITIZENSHIP</t>
  </si>
  <si>
    <t>ENGLISH LANGUAGE</t>
  </si>
  <si>
    <t>FINE ARTS</t>
  </si>
  <si>
    <t>FRENCH</t>
  </si>
  <si>
    <t>GENERAL KNOWLEDGE</t>
  </si>
  <si>
    <t>HISTORY</t>
  </si>
  <si>
    <t>MATHEMATICS</t>
  </si>
  <si>
    <t>SCIENCE</t>
  </si>
  <si>
    <t>SPELLING</t>
  </si>
  <si>
    <t>PERSONAL AVERAGE</t>
  </si>
  <si>
    <t>CLASS AVERAGE</t>
  </si>
  <si>
    <t>GRADING KEY</t>
  </si>
  <si>
    <t>A: 90 - 100</t>
  </si>
  <si>
    <t>B: 70 - 89</t>
  </si>
  <si>
    <t>C: 50 - 69</t>
  </si>
  <si>
    <t>D: 40 - 49</t>
  </si>
  <si>
    <t>E: 0 - 39</t>
  </si>
  <si>
    <t>BEHAVIOUR AND ACTIVITIES</t>
  </si>
  <si>
    <t>RATINGS</t>
  </si>
  <si>
    <t>PUNCTUALITY</t>
  </si>
  <si>
    <t>NEATNESS</t>
  </si>
  <si>
    <t>POLITENESS</t>
  </si>
  <si>
    <t>HONESTY</t>
  </si>
  <si>
    <t>COOPERATION</t>
  </si>
  <si>
    <t>HOMEWORK</t>
  </si>
  <si>
    <t>HANDWRITING</t>
  </si>
  <si>
    <t>LEADERSHIP</t>
  </si>
  <si>
    <t>HELPING OTHERS</t>
  </si>
  <si>
    <t>ATTITUDE TO SCHOOL WORK</t>
  </si>
  <si>
    <t>ATTENTIVENESS</t>
  </si>
  <si>
    <t>READING SKILLS</t>
  </si>
  <si>
    <t>RESPECT</t>
  </si>
  <si>
    <t>DISCIPLINE</t>
  </si>
  <si>
    <t>MUSICAL SKILLS</t>
  </si>
  <si>
    <t>WRITING SKILLS</t>
  </si>
  <si>
    <t>SPORTS</t>
  </si>
  <si>
    <t>TEACHER REMARK</t>
  </si>
  <si>
    <t>HOS REMARK</t>
  </si>
  <si>
    <t>YEAR 5 BLUEBERRY</t>
  </si>
  <si>
    <t>TEACHERS REMARK</t>
  </si>
  <si>
    <t>HEAD OF SCHOOL REMARK</t>
  </si>
  <si>
    <t>SCHOOL DAYS</t>
  </si>
  <si>
    <t>TIMES PRESENT</t>
  </si>
  <si>
    <t>TIMES ABSENT</t>
  </si>
  <si>
    <t>REPORTING PERIOD</t>
  </si>
  <si>
    <t>NEXT TERM BEGINS</t>
  </si>
  <si>
    <t>NAME OF LEARNER:</t>
  </si>
  <si>
    <t>REG. NUMBER:</t>
  </si>
  <si>
    <t>HEIGHT:</t>
  </si>
  <si>
    <t>AGE:</t>
  </si>
  <si>
    <t>WEIGHT:</t>
  </si>
  <si>
    <t>D.O.B</t>
  </si>
  <si>
    <t>HALF TERM REMARK</t>
  </si>
  <si>
    <t xml:space="preserve"> EXAM REMARK</t>
  </si>
  <si>
    <t>CLASS</t>
  </si>
  <si>
    <t>He is a wonderful learner</t>
  </si>
  <si>
    <t>He is very good at learning.</t>
  </si>
  <si>
    <t>SCORES OBTAINED (20)</t>
  </si>
  <si>
    <t>TOTAL SCORES OBTAINABLE (20)</t>
  </si>
  <si>
    <t>Value</t>
  </si>
  <si>
    <t>No. of Students</t>
  </si>
  <si>
    <t>Class Average</t>
  </si>
  <si>
    <t>Highest Average</t>
  </si>
  <si>
    <t>Lowest Average</t>
  </si>
  <si>
    <t>Class Teacher</t>
  </si>
  <si>
    <t>A: 17 - 20</t>
  </si>
  <si>
    <t>B: 15 - 16</t>
  </si>
  <si>
    <t>C: 12 - 14</t>
  </si>
  <si>
    <t>D: 9 - 11</t>
  </si>
  <si>
    <t>E: 0 - 8</t>
  </si>
  <si>
    <t>CLASS:</t>
  </si>
  <si>
    <t>TERM:</t>
  </si>
  <si>
    <t>FIRST</t>
  </si>
  <si>
    <t>SESSION</t>
  </si>
  <si>
    <t>2023-2024</t>
  </si>
  <si>
    <t>CLASS STATISTICS</t>
  </si>
  <si>
    <t>DATA</t>
  </si>
  <si>
    <t>Good grades, the sky is your starting point.</t>
  </si>
  <si>
    <t>Very good grades Aisha.</t>
  </si>
  <si>
    <t>ü</t>
  </si>
  <si>
    <t>Pictures</t>
  </si>
  <si>
    <t>cell1</t>
  </si>
  <si>
    <t>cell2</t>
  </si>
  <si>
    <t>cell3</t>
  </si>
  <si>
    <t>cell4</t>
  </si>
  <si>
    <t>cell5</t>
  </si>
  <si>
    <t>cell6</t>
  </si>
  <si>
    <t>cell7</t>
  </si>
  <si>
    <t>cell8</t>
  </si>
  <si>
    <t>cell9</t>
  </si>
  <si>
    <t>cell10</t>
  </si>
  <si>
    <t>cell11</t>
  </si>
  <si>
    <t>cell12</t>
  </si>
  <si>
    <t>cell13</t>
  </si>
  <si>
    <t>cell14</t>
  </si>
  <si>
    <t>cell15</t>
  </si>
  <si>
    <t>cell16</t>
  </si>
  <si>
    <t>cell17</t>
  </si>
  <si>
    <t>cell18</t>
  </si>
  <si>
    <t>cell19</t>
  </si>
  <si>
    <t>cell20</t>
  </si>
  <si>
    <t>cell21</t>
  </si>
  <si>
    <t>cell22</t>
  </si>
  <si>
    <t>cell23</t>
  </si>
  <si>
    <t>cell24</t>
  </si>
  <si>
    <t>cell25</t>
  </si>
  <si>
    <t>cell26</t>
  </si>
  <si>
    <t>cell27</t>
  </si>
  <si>
    <t>cell28</t>
  </si>
  <si>
    <t>cell29</t>
  </si>
  <si>
    <t>cell30</t>
  </si>
  <si>
    <t>cell31</t>
  </si>
  <si>
    <t>cell32</t>
  </si>
  <si>
    <t>cell33</t>
  </si>
  <si>
    <t>cell34</t>
  </si>
  <si>
    <t>cell35</t>
  </si>
  <si>
    <t>cell36</t>
  </si>
  <si>
    <t>cell37</t>
  </si>
  <si>
    <t>cell38</t>
  </si>
  <si>
    <t>cell39</t>
  </si>
  <si>
    <t>cell40</t>
  </si>
  <si>
    <t>cell41</t>
  </si>
  <si>
    <t>cell42</t>
  </si>
  <si>
    <t>cell43</t>
  </si>
  <si>
    <t>cell44</t>
  </si>
  <si>
    <t>cell45</t>
  </si>
  <si>
    <t>cell46</t>
  </si>
  <si>
    <t>cell47</t>
  </si>
  <si>
    <t>cell48</t>
  </si>
  <si>
    <t>cell49</t>
  </si>
  <si>
    <t>cell50</t>
  </si>
  <si>
    <t>CELLS</t>
  </si>
  <si>
    <t>Great</t>
  </si>
  <si>
    <t>Good</t>
  </si>
  <si>
    <t>COOL DIGITAL TIPS KADUNA</t>
  </si>
  <si>
    <t>Mr. Victor</t>
  </si>
  <si>
    <t>Mr. Nwokenekwu</t>
  </si>
  <si>
    <t>YEAR 5 CHARLIE</t>
  </si>
  <si>
    <t>MR. Victor</t>
  </si>
  <si>
    <t>Please create a document called CAVENDISH in your C file, create two more files inside the folder and name them: REPORT, BROADSHEET</t>
  </si>
  <si>
    <t>When you click on download on the excel sheet, the files go to these folders.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</si>
</sst>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[$-809]dd\ mmmm\ yyyy;@"/>
    <numFmt numFmtId="165" formatCode="0.0%"/>
  </numFmts>
  <fonts count="24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9"/>
      <name val="Arial"/>
      <family val="2"/>
    </font>
    <font>
      <sz val="12"/>
      <color theme="1"/>
      <name val="Arial Narrow"/>
      <family val="2"/>
    </font>
    <font>
      <b/>
      <sz val="11"/>
      <color theme="1"/>
      <name val="Calibri"/>
      <family val="2"/>
      <scheme val="minor"/>
    </font>
    <font>
      <b/>
      <sz val="18"/>
      <color theme="1"/>
      <name val="Algerian"/>
      <family val="5"/>
    </font>
    <font>
      <b/>
      <sz val="12"/>
      <color theme="1"/>
      <name val="Calibri"/>
      <family val="2"/>
      <scheme val="minor"/>
    </font>
    <font>
      <b/>
      <sz val="12"/>
      <color theme="1"/>
      <name val="Arial Narrow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2"/>
      <color theme="1"/>
      <name val="Albertus Extra Bold"/>
      <family val="2"/>
    </font>
    <font>
      <sz val="12"/>
      <color theme="1"/>
      <name val="Albertus Extra Bold"/>
      <family val="2"/>
    </font>
    <font>
      <sz val="14"/>
      <color theme="1"/>
      <name val="Wingdings"/>
      <charset val="2"/>
    </font>
    <font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2"/>
      <color rgb="FFC00000"/>
      <name val="Roboto Slab Black"/>
    </font>
    <font>
      <sz val="13"/>
      <color theme="1"/>
      <name val="Britannic Bold"/>
      <family val="2"/>
    </font>
    <font>
      <sz val="12"/>
      <color theme="1"/>
      <name val="Cascadia Mono SemiBold"/>
      <family val="3"/>
    </font>
    <font>
      <sz val="16"/>
      <color rgb="FFD62A3A"/>
      <name val="Roboto Slab Black"/>
    </font>
    <font>
      <sz val="8"/>
      <name val="Calibri"/>
      <family val="2"/>
      <scheme val="minor"/>
    </font>
    <font>
      <b/>
      <sz val="11"/>
      <color theme="1"/>
      <name val="Rockwell"/>
      <family val="1"/>
    </font>
    <font>
      <b/>
      <sz val="14"/>
      <color theme="1"/>
      <name val="Rockwell"/>
      <family val="1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B3DA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0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ck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indexed="64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 style="thin">
        <color auto="1"/>
      </top>
      <bottom/>
      <diagonal/>
    </border>
    <border>
      <left style="thin">
        <color indexed="64"/>
      </left>
      <right style="thick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medium">
        <color auto="1"/>
      </bottom>
      <diagonal/>
    </border>
    <border>
      <left style="thin">
        <color auto="1"/>
      </left>
      <right/>
      <top style="thick">
        <color auto="1"/>
      </top>
      <bottom style="medium">
        <color auto="1"/>
      </bottom>
      <diagonal/>
    </border>
    <border>
      <left/>
      <right/>
      <top style="thick">
        <color auto="1"/>
      </top>
      <bottom style="medium">
        <color auto="1"/>
      </bottom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indexed="64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/>
      <right/>
      <top style="medium">
        <color rgb="FFD62A3A"/>
      </top>
      <bottom style="medium">
        <color rgb="FFD62A3A"/>
      </bottom>
      <diagonal/>
    </border>
    <border>
      <left/>
      <right/>
      <top/>
      <bottom style="medium">
        <color rgb="FFD62A3A"/>
      </bottom>
      <diagonal/>
    </border>
    <border>
      <left/>
      <right style="thin">
        <color indexed="64"/>
      </right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medium">
        <color rgb="FFD62A3A"/>
      </bottom>
      <diagonal/>
    </border>
    <border>
      <left/>
      <right/>
      <top style="thick">
        <color auto="1"/>
      </top>
      <bottom style="medium">
        <color rgb="FFD62A3A"/>
      </bottom>
      <diagonal/>
    </border>
    <border>
      <left/>
      <right style="thick">
        <color auto="1"/>
      </right>
      <top style="thick">
        <color auto="1"/>
      </top>
      <bottom style="medium">
        <color rgb="FFD62A3A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medium">
        <color rgb="FFD62A3A"/>
      </bottom>
      <diagonal/>
    </border>
    <border>
      <left/>
      <right style="thick">
        <color auto="1"/>
      </right>
      <top/>
      <bottom style="medium">
        <color rgb="FFD62A3A"/>
      </bottom>
      <diagonal/>
    </border>
    <border>
      <left style="thick">
        <color auto="1"/>
      </left>
      <right/>
      <top style="medium">
        <color auto="1"/>
      </top>
      <bottom/>
      <diagonal/>
    </border>
    <border>
      <left/>
      <right style="thick">
        <color auto="1"/>
      </right>
      <top style="medium">
        <color auto="1"/>
      </top>
      <bottom/>
      <diagonal/>
    </border>
    <border>
      <left style="thick">
        <color auto="1"/>
      </left>
      <right/>
      <top/>
      <bottom style="medium">
        <color auto="1"/>
      </bottom>
      <diagonal/>
    </border>
    <border>
      <left/>
      <right style="thick">
        <color auto="1"/>
      </right>
      <top/>
      <bottom style="medium">
        <color auto="1"/>
      </bottom>
      <diagonal/>
    </border>
    <border>
      <left style="thick">
        <color auto="1"/>
      </left>
      <right/>
      <top style="medium">
        <color rgb="FFD62A3A"/>
      </top>
      <bottom style="medium">
        <color rgb="FFD62A3A"/>
      </bottom>
      <diagonal/>
    </border>
    <border>
      <left/>
      <right style="thick">
        <color auto="1"/>
      </right>
      <top style="medium">
        <color rgb="FFD62A3A"/>
      </top>
      <bottom style="medium">
        <color rgb="FFD62A3A"/>
      </bottom>
      <diagonal/>
    </border>
    <border>
      <left style="thick">
        <color auto="1"/>
      </left>
      <right/>
      <top style="medium">
        <color rgb="FFD62A3A"/>
      </top>
      <bottom style="thick">
        <color auto="1"/>
      </bottom>
      <diagonal/>
    </border>
    <border>
      <left/>
      <right/>
      <top style="medium">
        <color rgb="FFD62A3A"/>
      </top>
      <bottom style="thick">
        <color auto="1"/>
      </bottom>
      <diagonal/>
    </border>
    <border>
      <left/>
      <right style="thick">
        <color auto="1"/>
      </right>
      <top style="medium">
        <color rgb="FFD62A3A"/>
      </top>
      <bottom style="thick">
        <color auto="1"/>
      </bottom>
      <diagonal/>
    </border>
    <border>
      <left style="thick">
        <color auto="1"/>
      </left>
      <right/>
      <top style="medium">
        <color rgb="FFD62A3A"/>
      </top>
      <bottom style="medium">
        <color auto="1"/>
      </bottom>
      <diagonal/>
    </border>
    <border>
      <left/>
      <right/>
      <top style="medium">
        <color rgb="FFD62A3A"/>
      </top>
      <bottom style="medium">
        <color auto="1"/>
      </bottom>
      <diagonal/>
    </border>
    <border>
      <left/>
      <right style="thick">
        <color auto="1"/>
      </right>
      <top style="medium">
        <color rgb="FFD62A3A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ck">
        <color theme="1"/>
      </left>
      <right style="thin">
        <color auto="1"/>
      </right>
      <top style="thick">
        <color theme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theme="1"/>
      </top>
      <bottom style="thin">
        <color auto="1"/>
      </bottom>
      <diagonal/>
    </border>
    <border>
      <left style="thin">
        <color auto="1"/>
      </left>
      <right style="thick">
        <color theme="1"/>
      </right>
      <top style="thick">
        <color theme="1"/>
      </top>
      <bottom style="thin">
        <color auto="1"/>
      </bottom>
      <diagonal/>
    </border>
    <border>
      <left style="thick">
        <color theme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theme="1"/>
      </right>
      <top style="thin">
        <color auto="1"/>
      </top>
      <bottom style="thin">
        <color auto="1"/>
      </bottom>
      <diagonal/>
    </border>
    <border>
      <left style="thick">
        <color theme="1"/>
      </left>
      <right style="thin">
        <color auto="1"/>
      </right>
      <top style="thin">
        <color auto="1"/>
      </top>
      <bottom style="thick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theme="1"/>
      </bottom>
      <diagonal/>
    </border>
    <border>
      <left style="thin">
        <color auto="1"/>
      </left>
      <right style="thick">
        <color theme="1"/>
      </right>
      <top style="thin">
        <color auto="1"/>
      </top>
      <bottom style="thick">
        <color theme="1"/>
      </bottom>
      <diagonal/>
    </border>
  </borders>
  <cellStyleXfs count="3">
    <xf numFmtId="0" fontId="0" fillId="0" borderId="0"/>
    <xf numFmtId="0" fontId="8" fillId="0" borderId="0">
      <alignment vertical="center"/>
    </xf>
    <xf numFmtId="9" fontId="11" fillId="0" borderId="0" applyFont="0" applyFill="0" applyBorder="0" applyAlignment="0" applyProtection="0"/>
  </cellStyleXfs>
  <cellXfs count="324">
    <xf numFmtId="0" fontId="0" fillId="0" borderId="0" xfId="0"/>
    <xf numFmtId="0" fontId="0" fillId="6" borderId="0" xfId="0" applyFill="1"/>
    <xf numFmtId="0" fontId="3" fillId="6" borderId="0" xfId="0" applyFont="1" applyFill="1"/>
    <xf numFmtId="0" fontId="0" fillId="6" borderId="0" xfId="0" applyFill="1" applyAlignment="1">
      <alignment wrapText="1"/>
    </xf>
    <xf numFmtId="49" fontId="0" fillId="6" borderId="0" xfId="0" applyNumberFormat="1" applyFill="1"/>
    <xf numFmtId="0" fontId="0" fillId="2" borderId="10" xfId="0" applyFill="1" applyBorder="1"/>
    <xf numFmtId="0" fontId="0" fillId="3" borderId="10" xfId="0" applyFill="1" applyBorder="1"/>
    <xf numFmtId="0" fontId="0" fillId="4" borderId="10" xfId="0" applyFill="1" applyBorder="1"/>
    <xf numFmtId="0" fontId="0" fillId="5" borderId="10" xfId="0" applyFill="1" applyBorder="1"/>
    <xf numFmtId="0" fontId="4" fillId="0" borderId="9" xfId="0" applyFont="1" applyBorder="1"/>
    <xf numFmtId="0" fontId="7" fillId="6" borderId="0" xfId="0" applyFont="1" applyFill="1" applyAlignment="1">
      <alignment horizontal="left" vertical="center"/>
    </xf>
    <xf numFmtId="0" fontId="0" fillId="6" borderId="0" xfId="0" applyFill="1" applyAlignment="1">
      <alignment horizontal="left"/>
    </xf>
    <xf numFmtId="0" fontId="4" fillId="6" borderId="0" xfId="0" applyFont="1" applyFill="1"/>
    <xf numFmtId="0" fontId="4" fillId="6" borderId="0" xfId="0" applyFont="1" applyFill="1" applyAlignment="1">
      <alignment vertical="center"/>
    </xf>
    <xf numFmtId="0" fontId="0" fillId="6" borderId="0" xfId="0" applyFill="1" applyAlignment="1">
      <alignment vertical="center"/>
    </xf>
    <xf numFmtId="0" fontId="6" fillId="6" borderId="0" xfId="0" applyFont="1" applyFill="1" applyAlignment="1">
      <alignment horizontal="left"/>
    </xf>
    <xf numFmtId="0" fontId="6" fillId="6" borderId="0" xfId="0" applyFont="1" applyFill="1"/>
    <xf numFmtId="164" fontId="0" fillId="0" borderId="0" xfId="0" applyNumberFormat="1"/>
    <xf numFmtId="0" fontId="13" fillId="6" borderId="0" xfId="0" applyFont="1" applyFill="1"/>
    <xf numFmtId="0" fontId="4" fillId="0" borderId="1" xfId="0" applyFont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4" fillId="0" borderId="13" xfId="0" applyFont="1" applyBorder="1"/>
    <xf numFmtId="0" fontId="4" fillId="0" borderId="2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0" fillId="6" borderId="54" xfId="0" applyFill="1" applyBorder="1"/>
    <xf numFmtId="0" fontId="4" fillId="7" borderId="59" xfId="0" applyFont="1" applyFill="1" applyBorder="1"/>
    <xf numFmtId="0" fontId="4" fillId="6" borderId="55" xfId="0" applyFont="1" applyFill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1" xfId="0" applyBorder="1"/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vertical="center" wrapText="1"/>
    </xf>
    <xf numFmtId="0" fontId="14" fillId="6" borderId="1" xfId="0" applyFont="1" applyFill="1" applyBorder="1" applyAlignment="1" applyProtection="1">
      <alignment horizontal="center" vertical="center"/>
      <protection locked="0"/>
    </xf>
    <xf numFmtId="165" fontId="0" fillId="0" borderId="1" xfId="2" applyNumberFormat="1" applyFont="1" applyBorder="1"/>
    <xf numFmtId="165" fontId="1" fillId="0" borderId="1" xfId="2" applyNumberFormat="1" applyFont="1" applyBorder="1" applyAlignment="1">
      <alignment vertical="center"/>
    </xf>
    <xf numFmtId="165" fontId="4" fillId="7" borderId="60" xfId="2" applyNumberFormat="1" applyFont="1" applyFill="1" applyBorder="1"/>
    <xf numFmtId="0" fontId="18" fillId="0" borderId="54" xfId="0" applyFont="1" applyBorder="1" applyProtection="1">
      <protection locked="0"/>
    </xf>
    <xf numFmtId="0" fontId="18" fillId="0" borderId="55" xfId="0" applyFont="1" applyBorder="1" applyProtection="1">
      <protection locked="0"/>
    </xf>
    <xf numFmtId="0" fontId="18" fillId="10" borderId="54" xfId="0" applyFont="1" applyFill="1" applyBorder="1" applyProtection="1">
      <protection locked="0"/>
    </xf>
    <xf numFmtId="0" fontId="18" fillId="10" borderId="55" xfId="0" applyFont="1" applyFill="1" applyBorder="1" applyProtection="1">
      <protection locked="0"/>
    </xf>
    <xf numFmtId="0" fontId="18" fillId="0" borderId="51" xfId="0" applyFont="1" applyBorder="1" applyProtection="1">
      <protection locked="0"/>
    </xf>
    <xf numFmtId="0" fontId="18" fillId="0" borderId="56" xfId="0" applyFont="1" applyBorder="1" applyProtection="1">
      <protection locked="0"/>
    </xf>
    <xf numFmtId="0" fontId="0" fillId="2" borderId="9" xfId="0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7" xfId="0" applyFill="1" applyBorder="1" applyProtection="1">
      <protection locked="0"/>
    </xf>
    <xf numFmtId="0" fontId="0" fillId="3" borderId="9" xfId="0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3" borderId="6" xfId="0" applyFill="1" applyBorder="1" applyProtection="1">
      <protection locked="0"/>
    </xf>
    <xf numFmtId="0" fontId="0" fillId="3" borderId="7" xfId="0" applyFill="1" applyBorder="1" applyProtection="1">
      <protection locked="0"/>
    </xf>
    <xf numFmtId="0" fontId="0" fillId="4" borderId="9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0" fillId="4" borderId="7" xfId="0" applyFill="1" applyBorder="1" applyProtection="1">
      <protection locked="0"/>
    </xf>
    <xf numFmtId="0" fontId="0" fillId="5" borderId="9" xfId="0" applyFill="1" applyBorder="1" applyProtection="1">
      <protection locked="0"/>
    </xf>
    <xf numFmtId="0" fontId="0" fillId="5" borderId="1" xfId="0" applyFill="1" applyBorder="1" applyProtection="1">
      <protection locked="0"/>
    </xf>
    <xf numFmtId="0" fontId="0" fillId="5" borderId="6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0" fillId="8" borderId="25" xfId="0" applyFill="1" applyBorder="1" applyProtection="1">
      <protection locked="0"/>
    </xf>
    <xf numFmtId="0" fontId="0" fillId="8" borderId="26" xfId="0" applyFill="1" applyBorder="1" applyProtection="1">
      <protection locked="0"/>
    </xf>
    <xf numFmtId="0" fontId="0" fillId="8" borderId="22" xfId="0" applyFill="1" applyBorder="1" applyProtection="1">
      <protection locked="0"/>
    </xf>
    <xf numFmtId="0" fontId="0" fillId="8" borderId="8" xfId="0" applyFill="1" applyBorder="1" applyProtection="1">
      <protection locked="0"/>
    </xf>
    <xf numFmtId="0" fontId="4" fillId="6" borderId="67" xfId="0" applyFont="1" applyFill="1" applyBorder="1" applyAlignment="1">
      <alignment horizontal="center" vertical="center"/>
    </xf>
    <xf numFmtId="0" fontId="4" fillId="6" borderId="68" xfId="0" applyFont="1" applyFill="1" applyBorder="1" applyAlignment="1">
      <alignment horizontal="center" vertical="center"/>
    </xf>
    <xf numFmtId="0" fontId="4" fillId="11" borderId="40" xfId="0" applyFont="1" applyFill="1" applyBorder="1" applyAlignment="1">
      <alignment horizontal="center" vertical="center"/>
    </xf>
    <xf numFmtId="0" fontId="4" fillId="11" borderId="41" xfId="0" applyFont="1" applyFill="1" applyBorder="1" applyAlignment="1">
      <alignment horizontal="center" wrapText="1"/>
    </xf>
    <xf numFmtId="0" fontId="4" fillId="11" borderId="41" xfId="0" applyFont="1" applyFill="1" applyBorder="1" applyAlignment="1">
      <alignment horizontal="center" vertical="center"/>
    </xf>
    <xf numFmtId="0" fontId="4" fillId="11" borderId="9" xfId="0" applyFont="1" applyFill="1" applyBorder="1"/>
    <xf numFmtId="0" fontId="4" fillId="11" borderId="1" xfId="0" applyFont="1" applyFill="1" applyBorder="1" applyAlignment="1">
      <alignment horizontal="center" vertical="center"/>
    </xf>
    <xf numFmtId="0" fontId="4" fillId="11" borderId="6" xfId="0" applyFont="1" applyFill="1" applyBorder="1"/>
    <xf numFmtId="0" fontId="4" fillId="11" borderId="7" xfId="0" applyFont="1" applyFill="1" applyBorder="1" applyAlignment="1">
      <alignment horizontal="center" vertical="center"/>
    </xf>
    <xf numFmtId="0" fontId="4" fillId="11" borderId="57" xfId="0" applyFont="1" applyFill="1" applyBorder="1"/>
    <xf numFmtId="0" fontId="4" fillId="11" borderId="58" xfId="0" applyFont="1" applyFill="1" applyBorder="1"/>
    <xf numFmtId="0" fontId="0" fillId="11" borderId="49" xfId="0" applyFill="1" applyBorder="1"/>
    <xf numFmtId="0" fontId="0" fillId="11" borderId="53" xfId="0" applyFill="1" applyBorder="1" applyProtection="1">
      <protection locked="0"/>
    </xf>
    <xf numFmtId="0" fontId="4" fillId="11" borderId="32" xfId="0" applyFont="1" applyFill="1" applyBorder="1"/>
    <xf numFmtId="165" fontId="4" fillId="11" borderId="56" xfId="0" applyNumberFormat="1" applyFont="1" applyFill="1" applyBorder="1"/>
    <xf numFmtId="0" fontId="0" fillId="11" borderId="51" xfId="0" applyFill="1" applyBorder="1"/>
    <xf numFmtId="0" fontId="4" fillId="11" borderId="56" xfId="0" applyFont="1" applyFill="1" applyBorder="1" applyAlignment="1">
      <alignment horizontal="center" vertical="center"/>
    </xf>
    <xf numFmtId="0" fontId="14" fillId="11" borderId="1" xfId="0" applyFont="1" applyFill="1" applyBorder="1" applyAlignment="1" applyProtection="1">
      <alignment horizontal="center" vertical="center"/>
      <protection locked="0"/>
    </xf>
    <xf numFmtId="0" fontId="0" fillId="6" borderId="7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15" fillId="0" borderId="3" xfId="0" applyFont="1" applyBorder="1"/>
    <xf numFmtId="0" fontId="14" fillId="0" borderId="4" xfId="0" applyFont="1" applyBorder="1" applyAlignment="1" applyProtection="1">
      <alignment horizontal="center" vertical="center"/>
      <protection locked="0"/>
    </xf>
    <xf numFmtId="0" fontId="14" fillId="0" borderId="5" xfId="0" applyFont="1" applyBorder="1" applyAlignment="1" applyProtection="1">
      <alignment horizontal="center" vertical="center"/>
      <protection locked="0"/>
    </xf>
    <xf numFmtId="0" fontId="15" fillId="11" borderId="9" xfId="0" applyFont="1" applyFill="1" applyBorder="1"/>
    <xf numFmtId="0" fontId="14" fillId="11" borderId="10" xfId="0" applyFont="1" applyFill="1" applyBorder="1" applyAlignment="1" applyProtection="1">
      <alignment horizontal="center" vertical="center"/>
      <protection locked="0"/>
    </xf>
    <xf numFmtId="0" fontId="15" fillId="0" borderId="9" xfId="0" applyFont="1" applyBorder="1"/>
    <xf numFmtId="0" fontId="14" fillId="6" borderId="10" xfId="0" applyFont="1" applyFill="1" applyBorder="1" applyAlignment="1" applyProtection="1">
      <alignment horizontal="center" vertical="center"/>
      <protection locked="0"/>
    </xf>
    <xf numFmtId="0" fontId="15" fillId="11" borderId="9" xfId="0" applyFont="1" applyFill="1" applyBorder="1" applyAlignment="1">
      <alignment wrapText="1"/>
    </xf>
    <xf numFmtId="0" fontId="15" fillId="0" borderId="6" xfId="0" applyFont="1" applyBorder="1"/>
    <xf numFmtId="0" fontId="14" fillId="6" borderId="7" xfId="0" applyFont="1" applyFill="1" applyBorder="1" applyAlignment="1" applyProtection="1">
      <alignment horizontal="center" vertical="center"/>
      <protection locked="0"/>
    </xf>
    <xf numFmtId="0" fontId="14" fillId="6" borderId="8" xfId="0" applyFont="1" applyFill="1" applyBorder="1" applyAlignment="1" applyProtection="1">
      <alignment horizontal="center" vertical="center"/>
      <protection locked="0"/>
    </xf>
    <xf numFmtId="0" fontId="4" fillId="11" borderId="41" xfId="0" applyFont="1" applyFill="1" applyBorder="1" applyAlignment="1">
      <alignment horizontal="center" vertical="center" wrapText="1"/>
    </xf>
    <xf numFmtId="165" fontId="4" fillId="11" borderId="56" xfId="2" applyNumberFormat="1" applyFont="1" applyFill="1" applyBorder="1"/>
    <xf numFmtId="0" fontId="0" fillId="6" borderId="97" xfId="0" applyFill="1" applyBorder="1" applyAlignment="1">
      <alignment horizontal="center" vertical="center"/>
    </xf>
    <xf numFmtId="0" fontId="0" fillId="6" borderId="26" xfId="0" applyFill="1" applyBorder="1" applyAlignment="1">
      <alignment horizontal="center" vertical="center"/>
    </xf>
    <xf numFmtId="0" fontId="15" fillId="0" borderId="98" xfId="0" applyFont="1" applyBorder="1"/>
    <xf numFmtId="0" fontId="14" fillId="0" borderId="99" xfId="0" applyFont="1" applyBorder="1" applyAlignment="1" applyProtection="1">
      <alignment horizontal="center" vertical="center"/>
      <protection locked="0"/>
    </xf>
    <xf numFmtId="0" fontId="14" fillId="0" borderId="100" xfId="0" applyFont="1" applyBorder="1" applyAlignment="1" applyProtection="1">
      <alignment horizontal="center" vertical="center"/>
      <protection locked="0"/>
    </xf>
    <xf numFmtId="0" fontId="15" fillId="11" borderId="101" xfId="0" applyFont="1" applyFill="1" applyBorder="1"/>
    <xf numFmtId="0" fontId="14" fillId="11" borderId="102" xfId="0" applyFont="1" applyFill="1" applyBorder="1" applyAlignment="1" applyProtection="1">
      <alignment horizontal="center" vertical="center"/>
      <protection locked="0"/>
    </xf>
    <xf numFmtId="0" fontId="15" fillId="0" borderId="101" xfId="0" applyFont="1" applyBorder="1"/>
    <xf numFmtId="0" fontId="14" fillId="6" borderId="102" xfId="0" applyFont="1" applyFill="1" applyBorder="1" applyAlignment="1" applyProtection="1">
      <alignment horizontal="center" vertical="center"/>
      <protection locked="0"/>
    </xf>
    <xf numFmtId="0" fontId="15" fillId="11" borderId="101" xfId="0" applyFont="1" applyFill="1" applyBorder="1" applyAlignment="1">
      <alignment wrapText="1"/>
    </xf>
    <xf numFmtId="0" fontId="15" fillId="0" borderId="103" xfId="0" applyFont="1" applyBorder="1"/>
    <xf numFmtId="0" fontId="14" fillId="6" borderId="104" xfId="0" applyFont="1" applyFill="1" applyBorder="1" applyAlignment="1" applyProtection="1">
      <alignment horizontal="center" vertical="center"/>
      <protection locked="0"/>
    </xf>
    <xf numFmtId="0" fontId="14" fillId="6" borderId="105" xfId="0" applyFont="1" applyFill="1" applyBorder="1" applyAlignment="1" applyProtection="1">
      <alignment horizontal="center" vertical="center"/>
      <protection locked="0"/>
    </xf>
    <xf numFmtId="0" fontId="0" fillId="11" borderId="53" xfId="0" applyFill="1" applyBorder="1" applyAlignment="1" applyProtection="1">
      <alignment horizontal="center" vertical="center"/>
      <protection locked="0"/>
    </xf>
    <xf numFmtId="164" fontId="10" fillId="4" borderId="1" xfId="1" applyNumberFormat="1" applyFont="1" applyFill="1" applyBorder="1" applyAlignment="1" applyProtection="1">
      <protection locked="0"/>
    </xf>
    <xf numFmtId="164" fontId="9" fillId="4" borderId="1" xfId="1" applyNumberFormat="1" applyFont="1" applyFill="1" applyBorder="1" applyAlignment="1" applyProtection="1">
      <protection locked="0"/>
    </xf>
    <xf numFmtId="164" fontId="0" fillId="4" borderId="1" xfId="0" applyNumberFormat="1" applyFill="1" applyBorder="1" applyProtection="1">
      <protection locked="0"/>
    </xf>
    <xf numFmtId="164" fontId="10" fillId="4" borderId="34" xfId="1" applyNumberFormat="1" applyFont="1" applyFill="1" applyBorder="1" applyAlignment="1" applyProtection="1">
      <protection locked="0"/>
    </xf>
    <xf numFmtId="164" fontId="9" fillId="4" borderId="34" xfId="1" applyNumberFormat="1" applyFont="1" applyFill="1" applyBorder="1" applyAlignment="1" applyProtection="1">
      <protection locked="0"/>
    </xf>
    <xf numFmtId="164" fontId="0" fillId="4" borderId="34" xfId="0" applyNumberFormat="1" applyFill="1" applyBorder="1" applyProtection="1">
      <protection locked="0"/>
    </xf>
    <xf numFmtId="164" fontId="0" fillId="4" borderId="12" xfId="0" applyNumberFormat="1" applyFill="1" applyBorder="1" applyProtection="1">
      <protection locked="0"/>
    </xf>
    <xf numFmtId="164" fontId="0" fillId="4" borderId="7" xfId="0" applyNumberFormat="1" applyFill="1" applyBorder="1" applyProtection="1">
      <protection locked="0"/>
    </xf>
    <xf numFmtId="49" fontId="0" fillId="0" borderId="0" xfId="0" applyNumberFormat="1"/>
    <xf numFmtId="0" fontId="0" fillId="2" borderId="8" xfId="0" applyFill="1" applyBorder="1"/>
    <xf numFmtId="0" fontId="0" fillId="3" borderId="8" xfId="0" applyFill="1" applyBorder="1"/>
    <xf numFmtId="0" fontId="0" fillId="4" borderId="8" xfId="0" applyFill="1" applyBorder="1"/>
    <xf numFmtId="0" fontId="0" fillId="5" borderId="8" xfId="0" applyFill="1" applyBorder="1"/>
    <xf numFmtId="49" fontId="9" fillId="4" borderId="1" xfId="1" applyNumberFormat="1" applyFont="1" applyFill="1" applyBorder="1" applyAlignment="1"/>
    <xf numFmtId="49" fontId="9" fillId="4" borderId="8" xfId="1" applyNumberFormat="1" applyFont="1" applyFill="1" applyBorder="1" applyAlignment="1"/>
    <xf numFmtId="0" fontId="22" fillId="8" borderId="14" xfId="0" applyFont="1" applyFill="1" applyBorder="1" applyAlignment="1">
      <alignment horizontal="center" vertical="center"/>
    </xf>
    <xf numFmtId="0" fontId="22" fillId="8" borderId="24" xfId="0" applyFont="1" applyFill="1" applyBorder="1" applyAlignment="1">
      <alignment horizontal="center" vertical="center"/>
    </xf>
    <xf numFmtId="0" fontId="22" fillId="2" borderId="3" xfId="0" applyFont="1" applyFill="1" applyBorder="1"/>
    <xf numFmtId="0" fontId="22" fillId="2" borderId="4" xfId="0" applyFont="1" applyFill="1" applyBorder="1"/>
    <xf numFmtId="0" fontId="22" fillId="2" borderId="5" xfId="0" applyFont="1" applyFill="1" applyBorder="1"/>
    <xf numFmtId="0" fontId="22" fillId="3" borderId="3" xfId="0" applyFont="1" applyFill="1" applyBorder="1"/>
    <xf numFmtId="0" fontId="22" fillId="3" borderId="4" xfId="0" applyFont="1" applyFill="1" applyBorder="1"/>
    <xf numFmtId="0" fontId="22" fillId="3" borderId="5" xfId="0" applyFont="1" applyFill="1" applyBorder="1"/>
    <xf numFmtId="0" fontId="22" fillId="4" borderId="3" xfId="0" applyFont="1" applyFill="1" applyBorder="1"/>
    <xf numFmtId="0" fontId="22" fillId="4" borderId="4" xfId="0" applyFont="1" applyFill="1" applyBorder="1"/>
    <xf numFmtId="0" fontId="22" fillId="4" borderId="5" xfId="0" applyFont="1" applyFill="1" applyBorder="1"/>
    <xf numFmtId="0" fontId="22" fillId="5" borderId="3" xfId="0" applyFont="1" applyFill="1" applyBorder="1"/>
    <xf numFmtId="0" fontId="22" fillId="5" borderId="4" xfId="0" applyFont="1" applyFill="1" applyBorder="1"/>
    <xf numFmtId="0" fontId="22" fillId="5" borderId="5" xfId="0" applyFont="1" applyFill="1" applyBorder="1"/>
    <xf numFmtId="0" fontId="22" fillId="4" borderId="3" xfId="0" applyFont="1" applyFill="1" applyBorder="1" applyAlignment="1">
      <alignment horizontal="center"/>
    </xf>
    <xf numFmtId="0" fontId="22" fillId="4" borderId="4" xfId="0" applyFont="1" applyFill="1" applyBorder="1" applyAlignment="1">
      <alignment horizontal="center"/>
    </xf>
    <xf numFmtId="164" fontId="22" fillId="4" borderId="11" xfId="0" applyNumberFormat="1" applyFont="1" applyFill="1" applyBorder="1" applyAlignment="1">
      <alignment horizontal="center"/>
    </xf>
    <xf numFmtId="164" fontId="22" fillId="4" borderId="4" xfId="0" applyNumberFormat="1" applyFont="1" applyFill="1" applyBorder="1" applyAlignment="1">
      <alignment horizontal="center"/>
    </xf>
    <xf numFmtId="49" fontId="22" fillId="4" borderId="5" xfId="0" applyNumberFormat="1" applyFont="1" applyFill="1" applyBorder="1" applyAlignment="1">
      <alignment horizontal="center"/>
    </xf>
    <xf numFmtId="0" fontId="0" fillId="0" borderId="34" xfId="0" applyBorder="1"/>
    <xf numFmtId="0" fontId="0" fillId="0" borderId="1" xfId="0" applyBorder="1" applyProtection="1">
      <protection locked="0"/>
    </xf>
    <xf numFmtId="0" fontId="0" fillId="0" borderId="21" xfId="0" applyBorder="1" applyProtection="1">
      <protection locked="0"/>
    </xf>
    <xf numFmtId="0" fontId="22" fillId="0" borderId="4" xfId="0" applyFont="1" applyBorder="1"/>
    <xf numFmtId="0" fontId="22" fillId="0" borderId="5" xfId="0" applyFont="1" applyBorder="1"/>
    <xf numFmtId="0" fontId="0" fillId="0" borderId="12" xfId="0" applyBorder="1"/>
    <xf numFmtId="0" fontId="0" fillId="0" borderId="7" xfId="0" applyBorder="1" applyProtection="1">
      <protection locked="0"/>
    </xf>
    <xf numFmtId="0" fontId="0" fillId="0" borderId="23" xfId="0" applyBorder="1" applyProtection="1">
      <protection locked="0"/>
    </xf>
    <xf numFmtId="0" fontId="23" fillId="8" borderId="14" xfId="0" applyFont="1" applyFill="1" applyBorder="1" applyAlignment="1">
      <alignment horizontal="center" vertical="center"/>
    </xf>
    <xf numFmtId="0" fontId="23" fillId="8" borderId="16" xfId="0" applyFont="1" applyFill="1" applyBorder="1" applyAlignment="1">
      <alignment horizontal="center" vertical="center"/>
    </xf>
    <xf numFmtId="0" fontId="23" fillId="8" borderId="17" xfId="0" applyFont="1" applyFill="1" applyBorder="1" applyAlignment="1">
      <alignment horizontal="center" vertical="center"/>
    </xf>
    <xf numFmtId="0" fontId="23" fillId="8" borderId="19" xfId="0" applyFont="1" applyFill="1" applyBorder="1" applyAlignment="1">
      <alignment horizontal="center" vertical="center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20" xfId="0" applyFont="1" applyBorder="1" applyAlignment="1" applyProtection="1">
      <alignment horizontal="center" vertical="center"/>
      <protection locked="0"/>
    </xf>
    <xf numFmtId="0" fontId="23" fillId="2" borderId="3" xfId="0" applyFont="1" applyFill="1" applyBorder="1" applyAlignment="1">
      <alignment horizontal="center" vertical="center"/>
    </xf>
    <xf numFmtId="0" fontId="23" fillId="2" borderId="4" xfId="0" applyFont="1" applyFill="1" applyBorder="1" applyAlignment="1">
      <alignment horizontal="center" vertical="center"/>
    </xf>
    <xf numFmtId="0" fontId="23" fillId="2" borderId="11" xfId="0" applyFont="1" applyFill="1" applyBorder="1" applyAlignment="1">
      <alignment horizontal="center" vertical="center"/>
    </xf>
    <xf numFmtId="0" fontId="23" fillId="2" borderId="6" xfId="0" applyFont="1" applyFill="1" applyBorder="1" applyAlignment="1">
      <alignment horizontal="center" vertical="center"/>
    </xf>
    <xf numFmtId="0" fontId="23" fillId="2" borderId="7" xfId="0" applyFont="1" applyFill="1" applyBorder="1" applyAlignment="1">
      <alignment horizontal="center" vertical="center"/>
    </xf>
    <xf numFmtId="0" fontId="23" fillId="2" borderId="12" xfId="0" applyFont="1" applyFill="1" applyBorder="1" applyAlignment="1">
      <alignment horizontal="center" vertical="center"/>
    </xf>
    <xf numFmtId="0" fontId="23" fillId="3" borderId="3" xfId="0" applyFont="1" applyFill="1" applyBorder="1" applyAlignment="1">
      <alignment horizontal="center" vertical="center"/>
    </xf>
    <xf numFmtId="0" fontId="23" fillId="3" borderId="4" xfId="0" applyFont="1" applyFill="1" applyBorder="1" applyAlignment="1">
      <alignment horizontal="center" vertical="center"/>
    </xf>
    <xf numFmtId="0" fontId="23" fillId="3" borderId="5" xfId="0" applyFont="1" applyFill="1" applyBorder="1" applyAlignment="1">
      <alignment horizontal="center" vertical="center"/>
    </xf>
    <xf numFmtId="0" fontId="23" fillId="3" borderId="6" xfId="0" applyFont="1" applyFill="1" applyBorder="1" applyAlignment="1">
      <alignment horizontal="center" vertical="center"/>
    </xf>
    <xf numFmtId="0" fontId="23" fillId="3" borderId="7" xfId="0" applyFont="1" applyFill="1" applyBorder="1" applyAlignment="1">
      <alignment horizontal="center" vertical="center"/>
    </xf>
    <xf numFmtId="0" fontId="23" fillId="3" borderId="8" xfId="0" applyFont="1" applyFill="1" applyBorder="1" applyAlignment="1">
      <alignment horizontal="center" vertical="center"/>
    </xf>
    <xf numFmtId="0" fontId="23" fillId="4" borderId="14" xfId="0" applyFont="1" applyFill="1" applyBorder="1" applyAlignment="1">
      <alignment horizontal="center" vertical="center"/>
    </xf>
    <xf numFmtId="0" fontId="23" fillId="4" borderId="15" xfId="0" applyFont="1" applyFill="1" applyBorder="1" applyAlignment="1">
      <alignment horizontal="center" vertical="center"/>
    </xf>
    <xf numFmtId="0" fontId="23" fillId="4" borderId="16" xfId="0" applyFont="1" applyFill="1" applyBorder="1" applyAlignment="1">
      <alignment horizontal="center" vertical="center"/>
    </xf>
    <xf numFmtId="0" fontId="23" fillId="4" borderId="17" xfId="0" applyFont="1" applyFill="1" applyBorder="1" applyAlignment="1">
      <alignment horizontal="center" vertical="center"/>
    </xf>
    <xf numFmtId="0" fontId="23" fillId="4" borderId="18" xfId="0" applyFont="1" applyFill="1" applyBorder="1" applyAlignment="1">
      <alignment horizontal="center" vertical="center"/>
    </xf>
    <xf numFmtId="0" fontId="23" fillId="4" borderId="19" xfId="0" applyFont="1" applyFill="1" applyBorder="1" applyAlignment="1">
      <alignment horizontal="center" vertical="center"/>
    </xf>
    <xf numFmtId="0" fontId="23" fillId="5" borderId="14" xfId="0" applyFont="1" applyFill="1" applyBorder="1" applyAlignment="1">
      <alignment horizontal="center" vertical="center"/>
    </xf>
    <xf numFmtId="0" fontId="23" fillId="5" borderId="15" xfId="0" applyFont="1" applyFill="1" applyBorder="1" applyAlignment="1">
      <alignment horizontal="center" vertical="center"/>
    </xf>
    <xf numFmtId="0" fontId="23" fillId="5" borderId="16" xfId="0" applyFont="1" applyFill="1" applyBorder="1" applyAlignment="1">
      <alignment horizontal="center" vertical="center"/>
    </xf>
    <xf numFmtId="0" fontId="23" fillId="5" borderId="17" xfId="0" applyFont="1" applyFill="1" applyBorder="1" applyAlignment="1">
      <alignment horizontal="center" vertical="center"/>
    </xf>
    <xf numFmtId="0" fontId="23" fillId="5" borderId="18" xfId="0" applyFont="1" applyFill="1" applyBorder="1" applyAlignment="1">
      <alignment horizontal="center" vertical="center"/>
    </xf>
    <xf numFmtId="0" fontId="23" fillId="5" borderId="19" xfId="0" applyFont="1" applyFill="1" applyBorder="1" applyAlignment="1">
      <alignment horizontal="center" vertical="center"/>
    </xf>
    <xf numFmtId="0" fontId="23" fillId="2" borderId="14" xfId="0" applyFont="1" applyFill="1" applyBorder="1" applyAlignment="1">
      <alignment horizontal="center" vertical="center"/>
    </xf>
    <xf numFmtId="0" fontId="23" fillId="2" borderId="15" xfId="0" applyFont="1" applyFill="1" applyBorder="1" applyAlignment="1">
      <alignment horizontal="center" vertical="center"/>
    </xf>
    <xf numFmtId="0" fontId="23" fillId="2" borderId="16" xfId="0" applyFont="1" applyFill="1" applyBorder="1" applyAlignment="1">
      <alignment horizontal="center" vertical="center"/>
    </xf>
    <xf numFmtId="0" fontId="23" fillId="2" borderId="17" xfId="0" applyFont="1" applyFill="1" applyBorder="1" applyAlignment="1">
      <alignment horizontal="center" vertical="center"/>
    </xf>
    <xf numFmtId="0" fontId="23" fillId="2" borderId="18" xfId="0" applyFont="1" applyFill="1" applyBorder="1" applyAlignment="1">
      <alignment horizontal="center" vertical="center"/>
    </xf>
    <xf numFmtId="0" fontId="23" fillId="2" borderId="19" xfId="0" applyFont="1" applyFill="1" applyBorder="1" applyAlignment="1">
      <alignment horizontal="center" vertical="center"/>
    </xf>
    <xf numFmtId="0" fontId="23" fillId="3" borderId="14" xfId="0" applyFont="1" applyFill="1" applyBorder="1" applyAlignment="1">
      <alignment horizontal="center" vertical="center"/>
    </xf>
    <xf numFmtId="0" fontId="23" fillId="3" borderId="15" xfId="0" applyFont="1" applyFill="1" applyBorder="1" applyAlignment="1">
      <alignment horizontal="center" vertical="center"/>
    </xf>
    <xf numFmtId="0" fontId="23" fillId="3" borderId="16" xfId="0" applyFont="1" applyFill="1" applyBorder="1" applyAlignment="1">
      <alignment horizontal="center" vertical="center"/>
    </xf>
    <xf numFmtId="0" fontId="23" fillId="3" borderId="17" xfId="0" applyFont="1" applyFill="1" applyBorder="1" applyAlignment="1">
      <alignment horizontal="center" vertical="center"/>
    </xf>
    <xf numFmtId="0" fontId="23" fillId="3" borderId="18" xfId="0" applyFont="1" applyFill="1" applyBorder="1" applyAlignment="1">
      <alignment horizontal="center" vertical="center"/>
    </xf>
    <xf numFmtId="0" fontId="23" fillId="3" borderId="19" xfId="0" applyFont="1" applyFill="1" applyBorder="1" applyAlignment="1">
      <alignment horizontal="center" vertical="center"/>
    </xf>
    <xf numFmtId="0" fontId="18" fillId="9" borderId="28" xfId="0" applyFont="1" applyFill="1" applyBorder="1" applyAlignment="1">
      <alignment horizontal="center"/>
    </xf>
    <xf numFmtId="0" fontId="18" fillId="9" borderId="29" xfId="0" applyFont="1" applyFill="1" applyBorder="1" applyAlignment="1">
      <alignment horizontal="center"/>
    </xf>
    <xf numFmtId="0" fontId="0" fillId="0" borderId="28" xfId="0" applyBorder="1" applyAlignment="1" applyProtection="1">
      <alignment horizontal="center"/>
      <protection locked="0"/>
    </xf>
    <xf numFmtId="0" fontId="0" fillId="0" borderId="29" xfId="0" applyBorder="1" applyAlignment="1" applyProtection="1">
      <alignment horizontal="center"/>
      <protection locked="0"/>
    </xf>
    <xf numFmtId="0" fontId="0" fillId="0" borderId="30" xfId="0" applyBorder="1" applyAlignment="1" applyProtection="1">
      <alignment horizontal="center"/>
      <protection locked="0"/>
    </xf>
    <xf numFmtId="0" fontId="0" fillId="0" borderId="31" xfId="0" applyBorder="1" applyAlignment="1" applyProtection="1">
      <alignment horizontal="center"/>
      <protection locked="0"/>
    </xf>
    <xf numFmtId="0" fontId="4" fillId="0" borderId="30" xfId="0" applyFont="1" applyBorder="1" applyAlignment="1" applyProtection="1">
      <alignment horizontal="center"/>
      <protection locked="0"/>
    </xf>
    <xf numFmtId="0" fontId="4" fillId="0" borderId="31" xfId="0" applyFont="1" applyBorder="1" applyAlignment="1" applyProtection="1">
      <alignment horizontal="center"/>
      <protection locked="0"/>
    </xf>
    <xf numFmtId="0" fontId="0" fillId="0" borderId="32" xfId="0" applyBorder="1" applyAlignment="1" applyProtection="1">
      <alignment horizontal="center"/>
      <protection locked="0"/>
    </xf>
    <xf numFmtId="0" fontId="0" fillId="0" borderId="33" xfId="0" applyBorder="1" applyAlignment="1" applyProtection="1">
      <alignment horizontal="center"/>
      <protection locked="0"/>
    </xf>
    <xf numFmtId="0" fontId="20" fillId="0" borderId="0" xfId="0" applyFont="1" applyAlignment="1">
      <alignment horizontal="center" vertical="center"/>
    </xf>
    <xf numFmtId="0" fontId="4" fillId="0" borderId="45" xfId="0" applyFont="1" applyBorder="1" applyAlignment="1">
      <alignment horizontal="center" vertical="center"/>
    </xf>
    <xf numFmtId="0" fontId="4" fillId="0" borderId="63" xfId="0" applyFont="1" applyBorder="1" applyAlignment="1">
      <alignment horizontal="center" vertical="center"/>
    </xf>
    <xf numFmtId="0" fontId="4" fillId="11" borderId="42" xfId="0" applyFont="1" applyFill="1" applyBorder="1" applyAlignment="1">
      <alignment horizontal="center" vertical="center" wrapText="1"/>
    </xf>
    <xf numFmtId="0" fontId="4" fillId="11" borderId="64" xfId="0" applyFont="1" applyFill="1" applyBorder="1" applyAlignment="1">
      <alignment horizontal="center" vertical="center" wrapText="1"/>
    </xf>
    <xf numFmtId="0" fontId="4" fillId="11" borderId="34" xfId="0" applyFont="1" applyFill="1" applyBorder="1" applyAlignment="1">
      <alignment horizontal="center" vertical="center"/>
    </xf>
    <xf numFmtId="0" fontId="4" fillId="11" borderId="65" xfId="0" applyFont="1" applyFill="1" applyBorder="1" applyAlignment="1">
      <alignment horizontal="center" vertical="center"/>
    </xf>
    <xf numFmtId="0" fontId="6" fillId="11" borderId="28" xfId="0" applyFont="1" applyFill="1" applyBorder="1" applyAlignment="1">
      <alignment horizontal="center" vertical="center"/>
    </xf>
    <xf numFmtId="0" fontId="6" fillId="11" borderId="29" xfId="0" applyFont="1" applyFill="1" applyBorder="1" applyAlignment="1">
      <alignment horizontal="center" vertical="center"/>
    </xf>
    <xf numFmtId="0" fontId="4" fillId="0" borderId="36" xfId="0" applyFont="1" applyBorder="1" applyAlignment="1">
      <alignment horizontal="center" vertical="center" wrapText="1"/>
    </xf>
    <xf numFmtId="0" fontId="4" fillId="0" borderId="37" xfId="0" applyFont="1" applyBorder="1" applyAlignment="1">
      <alignment horizontal="center" vertical="center" wrapText="1"/>
    </xf>
    <xf numFmtId="0" fontId="4" fillId="0" borderId="38" xfId="0" applyFont="1" applyBorder="1" applyAlignment="1">
      <alignment horizontal="center" vertical="center" wrapText="1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4" fillId="11" borderId="35" xfId="0" applyFont="1" applyFill="1" applyBorder="1" applyAlignment="1">
      <alignment horizontal="center" vertical="center"/>
    </xf>
    <xf numFmtId="0" fontId="4" fillId="11" borderId="21" xfId="0" applyFont="1" applyFill="1" applyBorder="1" applyAlignment="1">
      <alignment horizontal="center" vertical="center"/>
    </xf>
    <xf numFmtId="0" fontId="0" fillId="11" borderId="30" xfId="0" applyFill="1" applyBorder="1" applyAlignment="1">
      <alignment horizontal="center" vertical="center"/>
    </xf>
    <xf numFmtId="0" fontId="0" fillId="11" borderId="31" xfId="0" applyFill="1" applyBorder="1" applyAlignment="1">
      <alignment horizontal="center" vertical="center"/>
    </xf>
    <xf numFmtId="0" fontId="12" fillId="6" borderId="0" xfId="0" applyFont="1" applyFill="1" applyAlignment="1" applyProtection="1">
      <alignment horizontal="left"/>
      <protection locked="0"/>
    </xf>
    <xf numFmtId="0" fontId="13" fillId="6" borderId="0" xfId="0" applyFont="1" applyFill="1" applyAlignment="1">
      <alignment horizontal="left"/>
    </xf>
    <xf numFmtId="0" fontId="12" fillId="6" borderId="0" xfId="0" applyFont="1" applyFill="1" applyAlignment="1">
      <alignment horizontal="left"/>
    </xf>
    <xf numFmtId="0" fontId="4" fillId="11" borderId="42" xfId="0" applyFont="1" applyFill="1" applyBorder="1" applyAlignment="1">
      <alignment horizontal="center" vertical="center"/>
    </xf>
    <xf numFmtId="0" fontId="4" fillId="11" borderId="43" xfId="0" applyFont="1" applyFill="1" applyBorder="1" applyAlignment="1">
      <alignment horizontal="center" vertical="center"/>
    </xf>
    <xf numFmtId="0" fontId="4" fillId="11" borderId="44" xfId="0" applyFont="1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 wrapText="1"/>
    </xf>
    <xf numFmtId="0" fontId="0" fillId="11" borderId="6" xfId="0" applyFill="1" applyBorder="1" applyAlignment="1">
      <alignment horizontal="center" vertical="center" wrapText="1"/>
    </xf>
    <xf numFmtId="0" fontId="0" fillId="11" borderId="4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4" fillId="11" borderId="34" xfId="0" applyFont="1" applyFill="1" applyBorder="1" applyAlignment="1">
      <alignment horizontal="center" vertical="center" wrapText="1"/>
    </xf>
    <xf numFmtId="0" fontId="4" fillId="11" borderId="35" xfId="0" applyFont="1" applyFill="1" applyBorder="1" applyAlignment="1">
      <alignment horizontal="center" vertical="center" wrapText="1"/>
    </xf>
    <xf numFmtId="0" fontId="4" fillId="11" borderId="21" xfId="0" applyFont="1" applyFill="1" applyBorder="1" applyAlignment="1">
      <alignment horizontal="center" vertical="center" wrapText="1"/>
    </xf>
    <xf numFmtId="0" fontId="4" fillId="0" borderId="34" xfId="0" applyFont="1" applyBorder="1" applyAlignment="1">
      <alignment horizontal="center" vertical="center" wrapText="1"/>
    </xf>
    <xf numFmtId="0" fontId="4" fillId="0" borderId="35" xfId="0" applyFont="1" applyBorder="1" applyAlignment="1">
      <alignment horizontal="center" vertical="center" wrapText="1"/>
    </xf>
    <xf numFmtId="0" fontId="4" fillId="0" borderId="21" xfId="0" applyFont="1" applyBorder="1" applyAlignment="1">
      <alignment horizontal="center" vertical="center" wrapText="1"/>
    </xf>
    <xf numFmtId="0" fontId="4" fillId="11" borderId="12" xfId="0" applyFont="1" applyFill="1" applyBorder="1" applyAlignment="1">
      <alignment horizontal="center" vertical="center" wrapText="1"/>
    </xf>
    <xf numFmtId="0" fontId="4" fillId="11" borderId="27" xfId="0" applyFont="1" applyFill="1" applyBorder="1" applyAlignment="1">
      <alignment horizontal="center" vertical="center" wrapText="1"/>
    </xf>
    <xf numFmtId="0" fontId="4" fillId="11" borderId="23" xfId="0" applyFont="1" applyFill="1" applyBorder="1" applyAlignment="1">
      <alignment horizontal="center" vertical="center" wrapText="1"/>
    </xf>
    <xf numFmtId="0" fontId="4" fillId="11" borderId="57" xfId="0" applyFont="1" applyFill="1" applyBorder="1" applyAlignment="1">
      <alignment horizontal="center" vertical="center"/>
    </xf>
    <xf numFmtId="0" fontId="4" fillId="11" borderId="69" xfId="0" applyFont="1" applyFill="1" applyBorder="1" applyAlignment="1">
      <alignment horizontal="center" vertical="center"/>
    </xf>
    <xf numFmtId="0" fontId="4" fillId="11" borderId="70" xfId="0" applyFont="1" applyFill="1" applyBorder="1" applyAlignment="1">
      <alignment horizontal="center" vertical="center"/>
    </xf>
    <xf numFmtId="0" fontId="4" fillId="11" borderId="71" xfId="0" applyFont="1" applyFill="1" applyBorder="1" applyAlignment="1">
      <alignment horizontal="center" vertical="center"/>
    </xf>
    <xf numFmtId="49" fontId="0" fillId="0" borderId="72" xfId="0" applyNumberFormat="1" applyBorder="1" applyAlignment="1" applyProtection="1">
      <alignment horizontal="center" vertical="center"/>
      <protection locked="0"/>
    </xf>
    <xf numFmtId="49" fontId="0" fillId="0" borderId="73" xfId="0" applyNumberFormat="1" applyBorder="1" applyAlignment="1" applyProtection="1">
      <alignment horizontal="center" vertical="center"/>
      <protection locked="0"/>
    </xf>
    <xf numFmtId="49" fontId="0" fillId="0" borderId="74" xfId="0" applyNumberFormat="1" applyBorder="1" applyAlignment="1" applyProtection="1">
      <alignment horizontal="center" vertical="center"/>
      <protection locked="0"/>
    </xf>
    <xf numFmtId="49" fontId="0" fillId="0" borderId="75" xfId="0" applyNumberFormat="1" applyBorder="1" applyAlignment="1" applyProtection="1">
      <alignment horizontal="center" vertical="center"/>
      <protection locked="0"/>
    </xf>
    <xf numFmtId="49" fontId="0" fillId="0" borderId="76" xfId="0" applyNumberFormat="1" applyBorder="1" applyAlignment="1" applyProtection="1">
      <alignment horizontal="center" vertical="center"/>
      <protection locked="0"/>
    </xf>
    <xf numFmtId="49" fontId="0" fillId="0" borderId="77" xfId="0" applyNumberFormat="1" applyBorder="1" applyAlignment="1" applyProtection="1">
      <alignment horizontal="center" vertical="center"/>
      <protection locked="0"/>
    </xf>
    <xf numFmtId="0" fontId="4" fillId="0" borderId="34" xfId="0" applyFont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4" fillId="11" borderId="12" xfId="0" applyFont="1" applyFill="1" applyBorder="1" applyAlignment="1">
      <alignment horizontal="center" vertical="center"/>
    </xf>
    <xf numFmtId="0" fontId="4" fillId="11" borderId="66" xfId="0" applyFont="1" applyFill="1" applyBorder="1" applyAlignment="1">
      <alignment horizontal="center" vertical="center"/>
    </xf>
    <xf numFmtId="0" fontId="17" fillId="6" borderId="0" xfId="0" applyFont="1" applyFill="1" applyAlignment="1">
      <alignment horizontal="center" vertical="center" wrapText="1"/>
    </xf>
    <xf numFmtId="0" fontId="19" fillId="6" borderId="84" xfId="0" applyFont="1" applyFill="1" applyBorder="1" applyAlignment="1">
      <alignment horizontal="center" vertical="center"/>
    </xf>
    <xf numFmtId="0" fontId="19" fillId="6" borderId="73" xfId="0" applyFont="1" applyFill="1" applyBorder="1" applyAlignment="1">
      <alignment horizontal="center" vertical="center"/>
    </xf>
    <xf numFmtId="0" fontId="19" fillId="6" borderId="85" xfId="0" applyFont="1" applyFill="1" applyBorder="1" applyAlignment="1">
      <alignment horizontal="center" vertical="center"/>
    </xf>
    <xf numFmtId="0" fontId="19" fillId="6" borderId="81" xfId="0" applyFont="1" applyFill="1" applyBorder="1" applyAlignment="1">
      <alignment horizontal="center" vertical="center"/>
    </xf>
    <xf numFmtId="0" fontId="19" fillId="6" borderId="0" xfId="0" applyFont="1" applyFill="1" applyAlignment="1">
      <alignment horizontal="center" vertical="center"/>
    </xf>
    <xf numFmtId="0" fontId="19" fillId="6" borderId="20" xfId="0" applyFont="1" applyFill="1" applyBorder="1" applyAlignment="1">
      <alignment horizontal="center" vertical="center"/>
    </xf>
    <xf numFmtId="0" fontId="19" fillId="6" borderId="86" xfId="0" applyFont="1" applyFill="1" applyBorder="1" applyAlignment="1">
      <alignment horizontal="center" vertical="center"/>
    </xf>
    <xf numFmtId="0" fontId="19" fillId="6" borderId="76" xfId="0" applyFont="1" applyFill="1" applyBorder="1" applyAlignment="1">
      <alignment horizontal="center" vertical="center"/>
    </xf>
    <xf numFmtId="0" fontId="19" fillId="6" borderId="87" xfId="0" applyFont="1" applyFill="1" applyBorder="1" applyAlignment="1">
      <alignment horizontal="center" vertical="center"/>
    </xf>
    <xf numFmtId="0" fontId="4" fillId="6" borderId="81" xfId="0" applyFont="1" applyFill="1" applyBorder="1" applyAlignment="1" applyProtection="1">
      <alignment horizontal="center"/>
      <protection locked="0"/>
    </xf>
    <xf numFmtId="0" fontId="4" fillId="6" borderId="0" xfId="0" applyFont="1" applyFill="1" applyAlignment="1" applyProtection="1">
      <alignment horizontal="center"/>
      <protection locked="0"/>
    </xf>
    <xf numFmtId="0" fontId="4" fillId="6" borderId="20" xfId="0" applyFont="1" applyFill="1" applyBorder="1" applyAlignment="1" applyProtection="1">
      <alignment horizontal="center"/>
      <protection locked="0"/>
    </xf>
    <xf numFmtId="0" fontId="4" fillId="6" borderId="17" xfId="0" applyFont="1" applyFill="1" applyBorder="1" applyAlignment="1" applyProtection="1">
      <alignment horizontal="center"/>
      <protection locked="0"/>
    </xf>
    <xf numFmtId="0" fontId="4" fillId="6" borderId="18" xfId="0" applyFont="1" applyFill="1" applyBorder="1" applyAlignment="1" applyProtection="1">
      <alignment horizontal="center"/>
      <protection locked="0"/>
    </xf>
    <xf numFmtId="0" fontId="4" fillId="6" borderId="19" xfId="0" applyFont="1" applyFill="1" applyBorder="1" applyAlignment="1" applyProtection="1">
      <alignment horizontal="center"/>
      <protection locked="0"/>
    </xf>
    <xf numFmtId="0" fontId="6" fillId="11" borderId="14" xfId="0" applyFont="1" applyFill="1" applyBorder="1" applyAlignment="1">
      <alignment horizontal="center" vertical="center"/>
    </xf>
    <xf numFmtId="0" fontId="6" fillId="11" borderId="15" xfId="0" applyFont="1" applyFill="1" applyBorder="1" applyAlignment="1">
      <alignment horizontal="center" vertical="center"/>
    </xf>
    <xf numFmtId="0" fontId="6" fillId="11" borderId="16" xfId="0" applyFont="1" applyFill="1" applyBorder="1" applyAlignment="1">
      <alignment horizontal="center" vertical="center"/>
    </xf>
    <xf numFmtId="0" fontId="19" fillId="6" borderId="78" xfId="0" applyFont="1" applyFill="1" applyBorder="1" applyAlignment="1">
      <alignment horizontal="center" vertical="center" wrapText="1"/>
    </xf>
    <xf numFmtId="0" fontId="19" fillId="6" borderId="79" xfId="0" applyFont="1" applyFill="1" applyBorder="1" applyAlignment="1">
      <alignment horizontal="center" vertical="center" wrapText="1"/>
    </xf>
    <xf numFmtId="0" fontId="19" fillId="6" borderId="80" xfId="0" applyFont="1" applyFill="1" applyBorder="1" applyAlignment="1">
      <alignment horizontal="center" vertical="center" wrapText="1"/>
    </xf>
    <xf numFmtId="0" fontId="19" fillId="6" borderId="88" xfId="0" applyFont="1" applyFill="1" applyBorder="1" applyAlignment="1">
      <alignment horizontal="center" vertical="center" wrapText="1"/>
    </xf>
    <xf numFmtId="0" fontId="19" fillId="6" borderId="61" xfId="0" applyFont="1" applyFill="1" applyBorder="1" applyAlignment="1">
      <alignment horizontal="center" vertical="center" wrapText="1"/>
    </xf>
    <xf numFmtId="0" fontId="19" fillId="6" borderId="89" xfId="0" applyFont="1" applyFill="1" applyBorder="1" applyAlignment="1">
      <alignment horizontal="center" vertical="center" wrapText="1"/>
    </xf>
    <xf numFmtId="0" fontId="19" fillId="6" borderId="93" xfId="0" applyFont="1" applyFill="1" applyBorder="1" applyAlignment="1">
      <alignment horizontal="center" vertical="center" wrapText="1"/>
    </xf>
    <xf numFmtId="0" fontId="19" fillId="6" borderId="94" xfId="0" applyFont="1" applyFill="1" applyBorder="1" applyAlignment="1">
      <alignment horizontal="center" vertical="center" wrapText="1"/>
    </xf>
    <xf numFmtId="0" fontId="19" fillId="6" borderId="95" xfId="0" applyFont="1" applyFill="1" applyBorder="1" applyAlignment="1">
      <alignment horizontal="center" vertical="center" wrapText="1"/>
    </xf>
    <xf numFmtId="0" fontId="4" fillId="6" borderId="82" xfId="0" applyFont="1" applyFill="1" applyBorder="1" applyAlignment="1" applyProtection="1">
      <alignment horizontal="center"/>
      <protection locked="0"/>
    </xf>
    <xf numFmtId="0" fontId="4" fillId="6" borderId="62" xfId="0" applyFont="1" applyFill="1" applyBorder="1" applyAlignment="1" applyProtection="1">
      <alignment horizontal="center"/>
      <protection locked="0"/>
    </xf>
    <xf numFmtId="0" fontId="4" fillId="6" borderId="83" xfId="0" applyFont="1" applyFill="1" applyBorder="1" applyAlignment="1" applyProtection="1">
      <alignment horizontal="center"/>
      <protection locked="0"/>
    </xf>
    <xf numFmtId="0" fontId="4" fillId="6" borderId="88" xfId="0" applyFont="1" applyFill="1" applyBorder="1" applyAlignment="1" applyProtection="1">
      <alignment horizontal="center"/>
      <protection locked="0"/>
    </xf>
    <xf numFmtId="0" fontId="4" fillId="6" borderId="61" xfId="0" applyFont="1" applyFill="1" applyBorder="1" applyAlignment="1" applyProtection="1">
      <alignment horizontal="center"/>
      <protection locked="0"/>
    </xf>
    <xf numFmtId="0" fontId="4" fillId="6" borderId="89" xfId="0" applyFont="1" applyFill="1" applyBorder="1" applyAlignment="1" applyProtection="1">
      <alignment horizontal="center"/>
      <protection locked="0"/>
    </xf>
    <xf numFmtId="0" fontId="4" fillId="6" borderId="90" xfId="0" applyFont="1" applyFill="1" applyBorder="1" applyAlignment="1" applyProtection="1">
      <alignment horizontal="center"/>
      <protection locked="0"/>
    </xf>
    <xf numFmtId="0" fontId="4" fillId="6" borderId="91" xfId="0" applyFont="1" applyFill="1" applyBorder="1" applyAlignment="1" applyProtection="1">
      <alignment horizontal="center"/>
      <protection locked="0"/>
    </xf>
    <xf numFmtId="0" fontId="4" fillId="6" borderId="92" xfId="0" applyFont="1" applyFill="1" applyBorder="1" applyAlignment="1" applyProtection="1">
      <alignment horizontal="center"/>
      <protection locked="0"/>
    </xf>
    <xf numFmtId="0" fontId="4" fillId="11" borderId="14" xfId="0" applyFont="1" applyFill="1" applyBorder="1" applyAlignment="1">
      <alignment horizontal="center" vertical="center"/>
    </xf>
    <xf numFmtId="0" fontId="4" fillId="11" borderId="15" xfId="0" applyFont="1" applyFill="1" applyBorder="1" applyAlignment="1">
      <alignment horizontal="center" vertical="center"/>
    </xf>
    <xf numFmtId="0" fontId="4" fillId="11" borderId="16" xfId="0" applyFont="1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18" fillId="9" borderId="28" xfId="0" applyFont="1" applyFill="1" applyBorder="1" applyAlignment="1" applyProtection="1">
      <alignment horizontal="center"/>
      <protection locked="0"/>
    </xf>
    <xf numFmtId="0" fontId="18" fillId="9" borderId="29" xfId="0" applyFont="1" applyFill="1" applyBorder="1" applyAlignment="1" applyProtection="1">
      <alignment horizontal="center"/>
      <protection locked="0"/>
    </xf>
    <xf numFmtId="49" fontId="0" fillId="0" borderId="45" xfId="0" applyNumberFormat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 applyProtection="1">
      <alignment horizontal="center" vertical="center"/>
      <protection locked="0"/>
    </xf>
    <xf numFmtId="49" fontId="0" fillId="0" borderId="29" xfId="0" applyNumberFormat="1" applyBorder="1" applyAlignment="1" applyProtection="1">
      <alignment horizontal="center" vertical="center"/>
      <protection locked="0"/>
    </xf>
    <xf numFmtId="49" fontId="0" fillId="6" borderId="47" xfId="0" applyNumberFormat="1" applyFill="1" applyBorder="1" applyAlignment="1" applyProtection="1">
      <alignment horizontal="center" vertical="center"/>
      <protection locked="0"/>
    </xf>
    <xf numFmtId="49" fontId="0" fillId="6" borderId="48" xfId="0" applyNumberFormat="1" applyFill="1" applyBorder="1" applyAlignment="1" applyProtection="1">
      <alignment horizontal="center" vertical="center"/>
      <protection locked="0"/>
    </xf>
    <xf numFmtId="49" fontId="0" fillId="6" borderId="33" xfId="0" applyNumberFormat="1" applyFill="1" applyBorder="1" applyAlignment="1" applyProtection="1">
      <alignment horizontal="center" vertical="center"/>
      <protection locked="0"/>
    </xf>
    <xf numFmtId="0" fontId="16" fillId="11" borderId="34" xfId="0" applyFont="1" applyFill="1" applyBorder="1" applyAlignment="1">
      <alignment horizontal="center" vertical="center"/>
    </xf>
    <xf numFmtId="0" fontId="16" fillId="11" borderId="35" xfId="0" applyFont="1" applyFill="1" applyBorder="1" applyAlignment="1">
      <alignment horizontal="center" vertical="center"/>
    </xf>
    <xf numFmtId="0" fontId="16" fillId="11" borderId="21" xfId="0" applyFont="1" applyFill="1" applyBorder="1" applyAlignment="1">
      <alignment horizontal="center" vertical="center"/>
    </xf>
    <xf numFmtId="0" fontId="16" fillId="0" borderId="34" xfId="0" applyFont="1" applyBorder="1" applyAlignment="1">
      <alignment horizontal="center" vertical="center"/>
    </xf>
    <xf numFmtId="0" fontId="16" fillId="0" borderId="35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16" fillId="11" borderId="12" xfId="0" applyFont="1" applyFill="1" applyBorder="1" applyAlignment="1">
      <alignment horizontal="center" vertical="center"/>
    </xf>
    <xf numFmtId="0" fontId="16" fillId="11" borderId="27" xfId="0" applyFont="1" applyFill="1" applyBorder="1" applyAlignment="1">
      <alignment horizontal="center" vertical="center"/>
    </xf>
    <xf numFmtId="0" fontId="16" fillId="11" borderId="23" xfId="0" applyFont="1" applyFill="1" applyBorder="1" applyAlignment="1">
      <alignment horizontal="center" vertical="center"/>
    </xf>
    <xf numFmtId="0" fontId="16" fillId="0" borderId="36" xfId="0" applyFont="1" applyBorder="1" applyAlignment="1">
      <alignment horizontal="center" vertical="center"/>
    </xf>
    <xf numFmtId="0" fontId="16" fillId="0" borderId="37" xfId="0" applyFont="1" applyBorder="1" applyAlignment="1">
      <alignment horizontal="center" vertical="center"/>
    </xf>
    <xf numFmtId="0" fontId="16" fillId="0" borderId="38" xfId="0" applyFont="1" applyBorder="1" applyAlignment="1">
      <alignment horizontal="center" vertical="center"/>
    </xf>
    <xf numFmtId="0" fontId="0" fillId="6" borderId="0" xfId="0" applyFill="1" applyAlignment="1">
      <alignment horizontal="center"/>
    </xf>
    <xf numFmtId="0" fontId="0" fillId="11" borderId="96" xfId="0" applyFill="1" applyBorder="1" applyAlignment="1">
      <alignment horizontal="center" vertical="center" wrapText="1"/>
    </xf>
    <xf numFmtId="0" fontId="4" fillId="11" borderId="51" xfId="0" applyFont="1" applyFill="1" applyBorder="1" applyAlignment="1">
      <alignment horizontal="center"/>
    </xf>
    <xf numFmtId="0" fontId="4" fillId="11" borderId="52" xfId="0" applyFont="1" applyFill="1" applyBorder="1" applyAlignment="1">
      <alignment horizontal="center"/>
    </xf>
    <xf numFmtId="0" fontId="4" fillId="11" borderId="49" xfId="0" applyFont="1" applyFill="1" applyBorder="1" applyAlignment="1">
      <alignment horizontal="center"/>
    </xf>
    <xf numFmtId="0" fontId="4" fillId="11" borderId="50" xfId="0" applyFont="1" applyFill="1" applyBorder="1" applyAlignment="1">
      <alignment horizontal="center"/>
    </xf>
  </cellXfs>
  <cellStyles count="3">
    <cellStyle name="Normal" xfId="0" builtinId="0"/>
    <cellStyle name="Normal 2" xfId="1" xr:uid="{D384B9C8-67F2-4F06-A28F-36B4BF1FBD35}"/>
    <cellStyle name="Percent" xfId="2" builtinId="5"/>
  </cellStyles>
  <dxfs count="151"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bottom style="thin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5" formatCode="0.0%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thin">
          <color auto="1"/>
        </bottom>
      </border>
    </dxf>
    <dxf>
      <alignment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bottom style="thin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5" formatCode="0.0%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thin">
          <color auto="1"/>
        </bottom>
      </border>
    </dxf>
    <dxf>
      <alignment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numFmt numFmtId="30" formatCode="@"/>
      <fill>
        <patternFill patternType="solid">
          <fgColor indexed="64"/>
          <bgColor rgb="FF00B0F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00B0F0"/>
        </patternFill>
      </fill>
      <border diagonalUp="0" diagonalDown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ill>
        <patternFill patternType="solid">
          <fgColor indexed="64"/>
          <bgColor rgb="FF92D050"/>
        </patternFill>
      </fill>
    </dxf>
    <dxf>
      <numFmt numFmtId="164" formatCode="[$-809]dd\ mmmm\ yyyy;@"/>
      <fill>
        <patternFill patternType="solid">
          <fgColor indexed="64"/>
          <bgColor rgb="FF00B0F0"/>
        </patternFill>
      </fill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00B0F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00B0F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00B0F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00B0F0"/>
        </patternFill>
      </fill>
      <border diagonalUp="0" diagonalDown="0">
        <left style="thick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rgb="FF92D050"/>
        </patternFill>
      </fill>
    </dxf>
    <dxf>
      <fill>
        <patternFill>
          <fgColor indexed="64"/>
          <bgColor rgb="FF92D050"/>
        </patternFill>
      </fill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rgb="FF92D050"/>
        </patternFill>
      </fill>
    </dxf>
    <dxf>
      <fill>
        <patternFill>
          <fgColor indexed="64"/>
          <bgColor rgb="FF92D05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rgb="FF92D050"/>
        </patternFill>
      </fill>
    </dxf>
    <dxf>
      <fill>
        <patternFill>
          <fgColor indexed="64"/>
          <bgColor rgb="FF92D05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rgb="FF92D050"/>
        </patternFill>
      </fill>
    </dxf>
    <dxf>
      <fill>
        <patternFill>
          <fgColor indexed="64"/>
          <bgColor rgb="FF92D050"/>
        </patternFill>
      </fill>
      <border diagonalUp="0" diagonalDown="0">
        <left style="thick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rgb="FF92D050"/>
        </patternFill>
      </fill>
    </dxf>
    <dxf>
      <fill>
        <patternFill>
          <fgColor indexed="64"/>
          <bgColor rgb="FFFFFF00"/>
        </patternFill>
      </fill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rgb="FFFFFF00"/>
        </patternFill>
      </fill>
    </dxf>
    <dxf>
      <fill>
        <patternFill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rgb="FFFFFF00"/>
        </patternFill>
      </fill>
    </dxf>
    <dxf>
      <fill>
        <patternFill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rgb="FFFFFF00"/>
        </patternFill>
      </fill>
    </dxf>
    <dxf>
      <fill>
        <patternFill>
          <fgColor indexed="64"/>
          <bgColor rgb="FFFFFF00"/>
        </patternFill>
      </fill>
      <border diagonalUp="0" diagonalDown="0">
        <left style="thick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rgb="FFFFFF00"/>
        </patternFill>
      </fill>
    </dxf>
    <dxf>
      <fill>
        <patternFill>
          <fgColor indexed="64"/>
          <bgColor rgb="FFCB3DA6"/>
        </patternFill>
      </fill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rgb="FFCB3DA6"/>
        </patternFill>
      </fill>
    </dxf>
    <dxf>
      <fill>
        <patternFill>
          <fgColor indexed="64"/>
          <bgColor rgb="FFCB3DA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rgb="FFCB3DA6"/>
        </patternFill>
      </fill>
    </dxf>
    <dxf>
      <fill>
        <patternFill>
          <fgColor indexed="64"/>
          <bgColor rgb="FFCB3DA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rgb="FFCB3DA6"/>
        </patternFill>
      </fill>
    </dxf>
    <dxf>
      <fill>
        <patternFill>
          <fgColor indexed="64"/>
          <bgColor rgb="FFCB3DA6"/>
        </patternFill>
      </fill>
      <border diagonalUp="0" diagonalDown="0">
        <left style="thick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rgb="FFCB3DA6"/>
        </patternFill>
      </fill>
    </dxf>
    <dxf>
      <fill>
        <patternFill>
          <fgColor indexed="64"/>
          <bgColor rgb="FF00B0F0"/>
        </patternFill>
      </fill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rgb="FF00B0F0"/>
        </patternFill>
      </fill>
    </dxf>
    <dxf>
      <fill>
        <patternFill>
          <fgColor indexed="64"/>
          <bgColor rgb="FF00B0F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rgb="FF00B0F0"/>
        </patternFill>
      </fill>
    </dxf>
    <dxf>
      <fill>
        <patternFill>
          <fgColor indexed="64"/>
          <bgColor rgb="FF00B0F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rgb="FF00B0F0"/>
        </patternFill>
      </fill>
    </dxf>
    <dxf>
      <fill>
        <patternFill>
          <fgColor indexed="64"/>
          <bgColor rgb="FF00B0F0"/>
        </patternFill>
      </fill>
      <border diagonalUp="0" diagonalDown="0">
        <left style="thick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rgb="FF00B0F0"/>
        </patternFill>
      </fill>
    </dxf>
    <dxf>
      <fill>
        <patternFill>
          <fgColor indexed="64"/>
          <bgColor rgb="FF92D050"/>
        </patternFill>
      </fill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rgb="FF92D050"/>
        </patternFill>
      </fill>
    </dxf>
    <dxf>
      <fill>
        <patternFill>
          <fgColor indexed="64"/>
          <bgColor rgb="FF92D05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rgb="FF92D050"/>
        </patternFill>
      </fill>
    </dxf>
    <dxf>
      <fill>
        <patternFill>
          <fgColor indexed="64"/>
          <bgColor rgb="FF92D05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rgb="FF92D050"/>
        </patternFill>
      </fill>
    </dxf>
    <dxf>
      <fill>
        <patternFill>
          <fgColor indexed="64"/>
          <bgColor rgb="FF92D050"/>
        </patternFill>
      </fill>
      <border diagonalUp="0" diagonalDown="0">
        <left style="thick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rgb="FF92D050"/>
        </patternFill>
      </fill>
    </dxf>
    <dxf>
      <fill>
        <patternFill>
          <fgColor indexed="64"/>
          <bgColor rgb="FFFFFF00"/>
        </patternFill>
      </fill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rgb="FFFFFF00"/>
        </patternFill>
      </fill>
    </dxf>
    <dxf>
      <fill>
        <patternFill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rgb="FFFFFF00"/>
        </patternFill>
      </fill>
    </dxf>
    <dxf>
      <fill>
        <patternFill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rgb="FFFFFF00"/>
        </patternFill>
      </fill>
    </dxf>
    <dxf>
      <fill>
        <patternFill>
          <fgColor indexed="64"/>
          <bgColor rgb="FFFFFF00"/>
        </patternFill>
      </fill>
      <border diagonalUp="0" diagonalDown="0">
        <left style="thick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rgb="FFFFFF00"/>
        </patternFill>
      </fill>
    </dxf>
    <dxf>
      <fill>
        <patternFill>
          <fgColor indexed="64"/>
          <bgColor rgb="FFCB3DA6"/>
        </patternFill>
      </fill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rgb="FFCB3DA6"/>
        </patternFill>
      </fill>
    </dxf>
    <dxf>
      <fill>
        <patternFill>
          <fgColor indexed="64"/>
          <bgColor rgb="FFCB3DA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rgb="FFCB3DA6"/>
        </patternFill>
      </fill>
    </dxf>
    <dxf>
      <fill>
        <patternFill>
          <fgColor indexed="64"/>
          <bgColor rgb="FFCB3DA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rgb="FFCB3DA6"/>
        </patternFill>
      </fill>
    </dxf>
    <dxf>
      <fill>
        <patternFill>
          <fgColor indexed="64"/>
          <bgColor rgb="FFCB3DA6"/>
        </patternFill>
      </fill>
      <border diagonalUp="0" diagonalDown="0">
        <left style="thick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rgb="FFCB3DA6"/>
        </patternFill>
      </fill>
    </dxf>
    <dxf>
      <fill>
        <patternFill>
          <fgColor indexed="64"/>
          <bgColor rgb="FF00B0F0"/>
        </patternFill>
      </fill>
      <border diagonalUp="0" diagonalDown="0">
        <left style="thin">
          <color indexed="64"/>
        </left>
        <right style="thick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00B0F0"/>
        </patternFill>
      </fill>
    </dxf>
    <dxf>
      <fill>
        <patternFill>
          <fgColor indexed="64"/>
          <bgColor rgb="FF00B0F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00B0F0"/>
        </patternFill>
      </fill>
    </dxf>
    <dxf>
      <fill>
        <patternFill>
          <fgColor indexed="64"/>
          <bgColor rgb="FF00B0F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00B0F0"/>
        </patternFill>
      </fill>
    </dxf>
    <dxf>
      <fill>
        <patternFill>
          <fgColor indexed="64"/>
          <bgColor rgb="FF00B0F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00B0F0"/>
        </patternFill>
      </fill>
    </dxf>
    <dxf>
      <fill>
        <patternFill>
          <fgColor indexed="64"/>
          <bgColor rgb="FF92D050"/>
        </patternFill>
      </fill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rgb="FF92D050"/>
        </patternFill>
      </fill>
    </dxf>
    <dxf>
      <fill>
        <patternFill>
          <fgColor indexed="64"/>
          <bgColor rgb="FF92D05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rgb="FF92D050"/>
        </patternFill>
      </fill>
    </dxf>
    <dxf>
      <fill>
        <patternFill>
          <fgColor indexed="64"/>
          <bgColor rgb="FF92D05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rgb="FF92D050"/>
        </patternFill>
      </fill>
    </dxf>
    <dxf>
      <fill>
        <patternFill>
          <fgColor indexed="64"/>
          <bgColor rgb="FF92D050"/>
        </patternFill>
      </fill>
      <border diagonalUp="0" diagonalDown="0">
        <left style="thick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rgb="FF92D050"/>
        </patternFill>
      </fill>
    </dxf>
    <dxf>
      <fill>
        <patternFill>
          <fgColor indexed="64"/>
          <bgColor rgb="FFFFFF00"/>
        </patternFill>
      </fill>
      <border diagonalUp="0" diagonalDown="0">
        <left style="thin">
          <color indexed="64"/>
        </left>
        <right style="thick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</dxf>
    <dxf>
      <fill>
        <patternFill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</dxf>
    <dxf>
      <fill>
        <patternFill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</dxf>
    <dxf>
      <fill>
        <patternFill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auto="1"/>
          <bgColor rgb="FFFF5050"/>
        </patternFill>
      </fill>
      <border diagonalUp="0" diagonalDown="0"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rgb="FFFF0000"/>
        </patternFill>
      </fill>
    </dxf>
    <dxf>
      <fill>
        <patternFill>
          <fgColor rgb="FFFF0000"/>
          <bgColor rgb="FFFF0000"/>
        </patternFill>
      </fill>
    </dxf>
  </dxfs>
  <tableStyles count="4" defaultTableStyle="TableStyleMedium2" defaultPivotStyle="PivotStyleLight16">
    <tableStyle name="cavendish" pivot="0" count="1" xr9:uid="{8B394701-42F3-4577-910E-D9136C97E8D5}">
      <tableStyleElement type="wholeTable" dxfId="150"/>
    </tableStyle>
    <tableStyle name="Table Style 1" pivot="0" count="1" xr9:uid="{C311FBFA-AF91-4AA6-886A-48C2E6C44FD0}">
      <tableStyleElement type="firstRowStripe" dxfId="149"/>
    </tableStyle>
    <tableStyle name="Table Style 2" pivot="0" count="3" xr9:uid="{746B5FA3-01D8-475E-A68C-773A640E293A}">
      <tableStyleElement type="wholeTable" dxfId="148"/>
      <tableStyleElement type="totalRow" dxfId="147"/>
      <tableStyleElement type="firstRowStripe" dxfId="146"/>
    </tableStyle>
    <tableStyle name="Table Style 3" pivot="0" count="3" xr9:uid="{E525AD95-C8E3-47F2-8BBB-2A7DF67738AA}">
      <tableStyleElement type="wholeTable" dxfId="145"/>
      <tableStyleElement type="headerRow" dxfId="144"/>
      <tableStyleElement type="secondRowStripe" dxfId="143"/>
    </tableStyle>
  </tableStyles>
  <colors>
    <mruColors>
      <color rgb="FFD62A3A"/>
      <color rgb="FF4472C4"/>
      <color rgb="FFFF0000"/>
      <color rgb="FFFF5050"/>
      <color rgb="FFFFFFFF"/>
      <color rgb="FFFF3300"/>
      <color rgb="FFFF0066"/>
      <color rgb="FFCB3DA6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2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2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30033</xdr:colOff>
      <xdr:row>5</xdr:row>
      <xdr:rowOff>47199</xdr:rowOff>
    </xdr:from>
    <xdr:to>
      <xdr:col>48</xdr:col>
      <xdr:colOff>1257633</xdr:colOff>
      <xdr:row>5</xdr:row>
      <xdr:rowOff>489999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C5FC9CA-11E3-B75C-1FAA-10CD8E491FC3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34324" y="1145577"/>
          <a:ext cx="1227600" cy="442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58281</xdr:colOff>
      <xdr:row>1</xdr:row>
      <xdr:rowOff>178990</xdr:rowOff>
    </xdr:from>
    <xdr:to>
      <xdr:col>9</xdr:col>
      <xdr:colOff>152874</xdr:colOff>
      <xdr:row>3</xdr:row>
      <xdr:rowOff>12517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19A47F89-5E1A-704C-FBCC-F44F22B84705}"/>
            </a:ext>
          </a:extLst>
        </xdr:cNvPr>
        <xdr:cNvSpPr txBox="1"/>
      </xdr:nvSpPr>
      <xdr:spPr>
        <a:xfrm>
          <a:off x="2858054" y="376912"/>
          <a:ext cx="2292352" cy="2623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900" b="1">
              <a:solidFill>
                <a:srgbClr val="C00000"/>
              </a:solidFill>
              <a:latin typeface="Arial Narrow" panose="020B0606020202030204" pitchFamily="34" charset="0"/>
            </a:rPr>
            <a:t>MORALS</a:t>
          </a:r>
          <a:r>
            <a:rPr lang="en-US" sz="900" b="1" baseline="0">
              <a:solidFill>
                <a:srgbClr val="C00000"/>
              </a:solidFill>
              <a:latin typeface="Arial Narrow" panose="020B0606020202030204" pitchFamily="34" charset="0"/>
            </a:rPr>
            <a:t>, ETIQUETTE &amp; KNOWLEDGE</a:t>
          </a:r>
          <a:endParaRPr lang="en-US" sz="900" b="1">
            <a:solidFill>
              <a:srgbClr val="C00000"/>
            </a:solidFill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2</xdr:col>
      <xdr:colOff>641350</xdr:colOff>
      <xdr:row>5</xdr:row>
      <xdr:rowOff>28575</xdr:rowOff>
    </xdr:from>
    <xdr:to>
      <xdr:col>9</xdr:col>
      <xdr:colOff>148123</xdr:colOff>
      <xdr:row>6</xdr:row>
      <xdr:rowOff>97144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6935389E-9532-43E1-AD95-CF2167FB5485}"/>
            </a:ext>
          </a:extLst>
        </xdr:cNvPr>
        <xdr:cNvSpPr txBox="1"/>
      </xdr:nvSpPr>
      <xdr:spPr>
        <a:xfrm>
          <a:off x="2597150" y="1085850"/>
          <a:ext cx="2551598" cy="2558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effectLst/>
              <a:latin typeface="Albertus Extra Bold" panose="020E0802040304020204" pitchFamily="34" charset="0"/>
              <a:ea typeface="+mn-ea"/>
              <a:cs typeface="Arial" panose="020B0604020202020204" pitchFamily="34" charset="0"/>
            </a:rPr>
            <a:t>BROAD</a:t>
          </a:r>
          <a:r>
            <a:rPr lang="en-US" sz="1100" b="1" baseline="0">
              <a:solidFill>
                <a:sysClr val="windowText" lastClr="000000"/>
              </a:solidFill>
              <a:effectLst/>
              <a:latin typeface="Albertus Extra Bold" panose="020E0802040304020204" pitchFamily="34" charset="0"/>
              <a:ea typeface="+mn-ea"/>
              <a:cs typeface="Arial" panose="020B0604020202020204" pitchFamily="34" charset="0"/>
            </a:rPr>
            <a:t> SHEET REPORT</a:t>
          </a:r>
          <a:endParaRPr lang="en-US" sz="1100" b="1">
            <a:solidFill>
              <a:sysClr val="windowText" lastClr="000000"/>
            </a:solidFill>
            <a:latin typeface="Albertus Extra Bold" panose="020E0802040304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21</xdr:col>
      <xdr:colOff>276265</xdr:colOff>
      <xdr:row>7</xdr:row>
      <xdr:rowOff>226786</xdr:rowOff>
    </xdr:from>
    <xdr:to>
      <xdr:col>24</xdr:col>
      <xdr:colOff>110968</xdr:colOff>
      <xdr:row>10</xdr:row>
      <xdr:rowOff>60115</xdr:rowOff>
    </xdr:to>
    <xdr:sp macro="[0]!SaveBroadsheet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A22E515-5620-4E03-B3FE-0F8C9632F8EA}"/>
            </a:ext>
          </a:extLst>
        </xdr:cNvPr>
        <xdr:cNvSpPr/>
      </xdr:nvSpPr>
      <xdr:spPr>
        <a:xfrm>
          <a:off x="12155713" y="1661721"/>
          <a:ext cx="1665482" cy="501316"/>
        </a:xfrm>
        <a:prstGeom prst="roundRect">
          <a:avLst>
            <a:gd name="adj" fmla="val 47778"/>
          </a:avLst>
        </a:prstGeom>
        <a:solidFill>
          <a:schemeClr val="accent6"/>
        </a:solidFill>
        <a:ln cap="flat" cmpd="sng"/>
        <a:effectLst>
          <a:outerShdw blurRad="50800" dist="38100" dir="2700000" algn="tl" rotWithShape="0">
            <a:prstClr val="black">
              <a:alpha val="70000"/>
            </a:prstClr>
          </a:outerShdw>
        </a:effectLst>
        <a:scene3d>
          <a:camera prst="orthographicFront"/>
          <a:lightRig rig="threePt" dir="t"/>
        </a:scene3d>
        <a:sp3d>
          <a:bevelB/>
        </a:sp3d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SAVE</a:t>
          </a:r>
          <a:r>
            <a:rPr lang="en-US" sz="1800" b="1" baseline="0"/>
            <a:t> AS PDF</a:t>
          </a:r>
          <a:endParaRPr lang="en-US" sz="1800" b="1"/>
        </a:p>
      </xdr:txBody>
    </xdr:sp>
    <xdr:clientData/>
  </xdr:twoCellAnchor>
  <xdr:twoCellAnchor editAs="oneCell">
    <xdr:from>
      <xdr:col>0</xdr:col>
      <xdr:colOff>259772</xdr:colOff>
      <xdr:row>0</xdr:row>
      <xdr:rowOff>0</xdr:rowOff>
    </xdr:from>
    <xdr:to>
      <xdr:col>2</xdr:col>
      <xdr:colOff>280388</xdr:colOff>
      <xdr:row>6</xdr:row>
      <xdr:rowOff>184179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4C853DCF-3C24-4F90-B52D-1BE20E5C58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9772" y="0"/>
          <a:ext cx="1975097" cy="1433562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11</xdr:col>
      <xdr:colOff>135528</xdr:colOff>
      <xdr:row>1</xdr:row>
      <xdr:rowOff>131948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90521384-58A4-4BE6-BCF4-619EEE692FE5}"/>
            </a:ext>
          </a:extLst>
        </xdr:cNvPr>
        <xdr:cNvSpPr txBox="1"/>
      </xdr:nvSpPr>
      <xdr:spPr>
        <a:xfrm>
          <a:off x="1954481" y="0"/>
          <a:ext cx="3883677" cy="329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>
              <a:solidFill>
                <a:srgbClr val="C00000"/>
              </a:solidFill>
              <a:latin typeface="Roboto Slab Black" pitchFamily="2" charset="0"/>
              <a:ea typeface="Roboto Slab Black" pitchFamily="2" charset="0"/>
            </a:rPr>
            <a:t>COOL</a:t>
          </a:r>
          <a:r>
            <a:rPr lang="en-US" sz="1600" b="1" baseline="0">
              <a:solidFill>
                <a:srgbClr val="C00000"/>
              </a:solidFill>
              <a:latin typeface="Roboto Slab Black" pitchFamily="2" charset="0"/>
              <a:ea typeface="Roboto Slab Black" pitchFamily="2" charset="0"/>
            </a:rPr>
            <a:t> DIGITAL TIPS</a:t>
          </a:r>
          <a:endParaRPr lang="en-US" sz="1600" b="1">
            <a:solidFill>
              <a:srgbClr val="C00000"/>
            </a:solidFill>
            <a:latin typeface="Roboto Slab Black" pitchFamily="2" charset="0"/>
            <a:ea typeface="Roboto Slab Black" pitchFamily="2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49530</xdr:colOff>
      <xdr:row>0</xdr:row>
      <xdr:rowOff>20484</xdr:rowOff>
    </xdr:from>
    <xdr:to>
      <xdr:col>15</xdr:col>
      <xdr:colOff>594033</xdr:colOff>
      <xdr:row>74</xdr:row>
      <xdr:rowOff>133350</xdr:rowOff>
    </xdr:to>
    <xdr:sp macro="" textlink="">
      <xdr:nvSpPr>
        <xdr:cNvPr id="2" name="Frame 1">
          <a:extLst>
            <a:ext uri="{FF2B5EF4-FFF2-40B4-BE49-F238E27FC236}">
              <a16:creationId xmlns:a16="http://schemas.microsoft.com/office/drawing/2014/main" id="{4BDE38BA-2087-4A8F-8627-6C2F2EBD1B80}"/>
            </a:ext>
          </a:extLst>
        </xdr:cNvPr>
        <xdr:cNvSpPr/>
      </xdr:nvSpPr>
      <xdr:spPr>
        <a:xfrm>
          <a:off x="49530" y="20484"/>
          <a:ext cx="10860078" cy="16260916"/>
        </a:xfrm>
        <a:prstGeom prst="frame">
          <a:avLst>
            <a:gd name="adj1" fmla="val 2058"/>
          </a:avLst>
        </a:prstGeom>
        <a:solidFill>
          <a:srgbClr val="D62A3A"/>
        </a:solidFill>
        <a:ln>
          <a:solidFill>
            <a:srgbClr val="FF0000"/>
          </a:solidFill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411215</xdr:colOff>
      <xdr:row>5</xdr:row>
      <xdr:rowOff>43571</xdr:rowOff>
    </xdr:from>
    <xdr:to>
      <xdr:col>9</xdr:col>
      <xdr:colOff>461644</xdr:colOff>
      <xdr:row>10</xdr:row>
      <xdr:rowOff>73623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290678C1-E0BC-48A5-8572-C336309E7750}"/>
            </a:ext>
          </a:extLst>
        </xdr:cNvPr>
        <xdr:cNvGrpSpPr/>
      </xdr:nvGrpSpPr>
      <xdr:grpSpPr>
        <a:xfrm>
          <a:off x="3402157" y="986868"/>
          <a:ext cx="3055175" cy="982552"/>
          <a:chOff x="3696587" y="810831"/>
          <a:chExt cx="3103326" cy="773036"/>
        </a:xfrm>
      </xdr:grpSpPr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CD023ADF-D020-DDA8-1377-AAAB833D5F43}"/>
              </a:ext>
            </a:extLst>
          </xdr:cNvPr>
          <xdr:cNvSpPr txBox="1"/>
        </xdr:nvSpPr>
        <xdr:spPr>
          <a:xfrm>
            <a:off x="3696587" y="962646"/>
            <a:ext cx="3103326" cy="2563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10,</a:t>
            </a:r>
            <a:r>
              <a:rPr lang="en-US" sz="1400" b="1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kaduna road, kaduna</a:t>
            </a:r>
            <a:endParaRPr lang="en-US" sz="1600">
              <a:effectLst/>
            </a:endParaRPr>
          </a:p>
        </xdr:txBody>
      </xdr:sp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68B7D140-0F81-15B0-2557-C2C39FB707D6}"/>
              </a:ext>
            </a:extLst>
          </xdr:cNvPr>
          <xdr:cNvSpPr txBox="1"/>
        </xdr:nvSpPr>
        <xdr:spPr>
          <a:xfrm>
            <a:off x="3765096" y="1106272"/>
            <a:ext cx="2981882" cy="477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200" b="1">
                <a:solidFill>
                  <a:sysClr val="windowText" lastClr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www.github.com/vrickish</a:t>
            </a:r>
            <a:endParaRPr lang="en-US" sz="12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57A443C-832E-8DE7-EA72-F00CD5829C08}"/>
              </a:ext>
            </a:extLst>
          </xdr:cNvPr>
          <xdr:cNvSpPr txBox="1"/>
        </xdr:nvSpPr>
        <xdr:spPr>
          <a:xfrm>
            <a:off x="4118017" y="810831"/>
            <a:ext cx="2325903" cy="2563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000" b="1">
                <a:solidFill>
                  <a:srgbClr val="C00000"/>
                </a:solidFill>
                <a:latin typeface="Arial Narrow" panose="020B0606020202030204" pitchFamily="34" charset="0"/>
              </a:rPr>
              <a:t>MORALS</a:t>
            </a:r>
            <a:r>
              <a:rPr lang="en-US" sz="1000" b="1" baseline="0">
                <a:solidFill>
                  <a:srgbClr val="C00000"/>
                </a:solidFill>
                <a:latin typeface="Arial Narrow" panose="020B0606020202030204" pitchFamily="34" charset="0"/>
              </a:rPr>
              <a:t>, ETIQUETTE &amp; KNOWLEDGE</a:t>
            </a:r>
            <a:endParaRPr lang="en-US" sz="1000" b="1">
              <a:solidFill>
                <a:srgbClr val="C00000"/>
              </a:solidFill>
              <a:latin typeface="Arial Narrow" panose="020B0606020202030204" pitchFamily="34" charset="0"/>
            </a:endParaRPr>
          </a:p>
        </xdr:txBody>
      </xdr:sp>
    </xdr:grpSp>
    <xdr:clientData/>
  </xdr:twoCellAnchor>
  <xdr:twoCellAnchor>
    <xdr:from>
      <xdr:col>2</xdr:col>
      <xdr:colOff>1353345</xdr:colOff>
      <xdr:row>37</xdr:row>
      <xdr:rowOff>99218</xdr:rowOff>
    </xdr:from>
    <xdr:to>
      <xdr:col>6</xdr:col>
      <xdr:colOff>492126</xdr:colOff>
      <xdr:row>38</xdr:row>
      <xdr:rowOff>146844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29C655F3-E0C7-47FE-A06C-FA2B18D3BEAE}"/>
            </a:ext>
          </a:extLst>
        </xdr:cNvPr>
        <xdr:cNvSpPr txBox="1"/>
      </xdr:nvSpPr>
      <xdr:spPr>
        <a:xfrm>
          <a:off x="1705770" y="7687468"/>
          <a:ext cx="2971006" cy="2825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AFFECTIVE AND PSYCHOMOTOR SKILLS</a:t>
          </a:r>
        </a:p>
      </xdr:txBody>
    </xdr:sp>
    <xdr:clientData/>
  </xdr:twoCellAnchor>
  <xdr:twoCellAnchor>
    <xdr:from>
      <xdr:col>11</xdr:col>
      <xdr:colOff>183816</xdr:colOff>
      <xdr:row>6</xdr:row>
      <xdr:rowOff>73070</xdr:rowOff>
    </xdr:from>
    <xdr:to>
      <xdr:col>15</xdr:col>
      <xdr:colOff>234674</xdr:colOff>
      <xdr:row>16</xdr:row>
      <xdr:rowOff>114823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C6579AC1-CEFA-4C40-B9A9-F24933DE75F4}"/>
            </a:ext>
          </a:extLst>
        </xdr:cNvPr>
        <xdr:cNvSpPr/>
      </xdr:nvSpPr>
      <xdr:spPr>
        <a:xfrm>
          <a:off x="8052294" y="1205027"/>
          <a:ext cx="2195134" cy="1983564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116268</xdr:colOff>
      <xdr:row>64</xdr:row>
      <xdr:rowOff>169930</xdr:rowOff>
    </xdr:from>
    <xdr:to>
      <xdr:col>15</xdr:col>
      <xdr:colOff>239275</xdr:colOff>
      <xdr:row>64</xdr:row>
      <xdr:rowOff>169930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177EC7B9-89FD-4375-A472-D5293936E75E}"/>
            </a:ext>
          </a:extLst>
        </xdr:cNvPr>
        <xdr:cNvCxnSpPr/>
      </xdr:nvCxnSpPr>
      <xdr:spPr>
        <a:xfrm>
          <a:off x="263514" y="14848553"/>
          <a:ext cx="9988515" cy="0"/>
        </a:xfrm>
        <a:prstGeom prst="line">
          <a:avLst/>
        </a:prstGeom>
        <a:ln w="381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424391</xdr:colOff>
      <xdr:row>67</xdr:row>
      <xdr:rowOff>159252</xdr:rowOff>
    </xdr:from>
    <xdr:to>
      <xdr:col>4</xdr:col>
      <xdr:colOff>62181</xdr:colOff>
      <xdr:row>69</xdr:row>
      <xdr:rowOff>107618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8DF56E20-FCB6-4BA0-9091-202951F07E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4941" y="14996027"/>
          <a:ext cx="323590" cy="323016"/>
        </a:xfrm>
        <a:prstGeom prst="rect">
          <a:avLst/>
        </a:prstGeom>
      </xdr:spPr>
    </xdr:pic>
    <xdr:clientData/>
  </xdr:twoCellAnchor>
  <xdr:twoCellAnchor editAs="oneCell">
    <xdr:from>
      <xdr:col>3</xdr:col>
      <xdr:colOff>424391</xdr:colOff>
      <xdr:row>70</xdr:row>
      <xdr:rowOff>92178</xdr:rowOff>
    </xdr:from>
    <xdr:to>
      <xdr:col>4</xdr:col>
      <xdr:colOff>62181</xdr:colOff>
      <xdr:row>72</xdr:row>
      <xdr:rowOff>38887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91A9C2C1-0CF3-4051-A830-3C13FB3DF5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4941" y="15490928"/>
          <a:ext cx="323590" cy="321359"/>
        </a:xfrm>
        <a:prstGeom prst="rect">
          <a:avLst/>
        </a:prstGeom>
      </xdr:spPr>
    </xdr:pic>
    <xdr:clientData/>
  </xdr:twoCellAnchor>
  <xdr:twoCellAnchor editAs="oneCell">
    <xdr:from>
      <xdr:col>8</xdr:col>
      <xdr:colOff>425544</xdr:colOff>
      <xdr:row>67</xdr:row>
      <xdr:rowOff>159252</xdr:rowOff>
    </xdr:from>
    <xdr:to>
      <xdr:col>9</xdr:col>
      <xdr:colOff>124787</xdr:colOff>
      <xdr:row>69</xdr:row>
      <xdr:rowOff>107618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852C8B7-E446-4FDC-AA6E-3E0D6C876C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3841" y="15403853"/>
          <a:ext cx="306634" cy="325685"/>
        </a:xfrm>
        <a:prstGeom prst="rect">
          <a:avLst/>
        </a:prstGeom>
      </xdr:spPr>
    </xdr:pic>
    <xdr:clientData/>
  </xdr:twoCellAnchor>
  <xdr:twoCellAnchor>
    <xdr:from>
      <xdr:col>5</xdr:col>
      <xdr:colOff>380756</xdr:colOff>
      <xdr:row>65</xdr:row>
      <xdr:rowOff>101554</xdr:rowOff>
    </xdr:from>
    <xdr:to>
      <xdr:col>9</xdr:col>
      <xdr:colOff>60083</xdr:colOff>
      <xdr:row>66</xdr:row>
      <xdr:rowOff>183706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5AC7E87E-F5E3-4861-B933-4B943DA5FA01}"/>
            </a:ext>
          </a:extLst>
        </xdr:cNvPr>
        <xdr:cNvSpPr txBox="1"/>
      </xdr:nvSpPr>
      <xdr:spPr>
        <a:xfrm>
          <a:off x="3612906" y="14563679"/>
          <a:ext cx="2768602" cy="26947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u="sng">
              <a:solidFill>
                <a:srgbClr val="C00000"/>
              </a:solidFill>
              <a:latin typeface="Roboto Slab Black" pitchFamily="2" charset="0"/>
              <a:ea typeface="Roboto Slab Black" pitchFamily="2" charset="0"/>
            </a:rPr>
            <a:t>CONTACT US</a:t>
          </a:r>
        </a:p>
      </xdr:txBody>
    </xdr:sp>
    <xdr:clientData/>
  </xdr:twoCellAnchor>
  <xdr:twoCellAnchor editAs="oneCell">
    <xdr:from>
      <xdr:col>8</xdr:col>
      <xdr:colOff>425544</xdr:colOff>
      <xdr:row>70</xdr:row>
      <xdr:rowOff>92178</xdr:rowOff>
    </xdr:from>
    <xdr:to>
      <xdr:col>9</xdr:col>
      <xdr:colOff>124787</xdr:colOff>
      <xdr:row>72</xdr:row>
      <xdr:rowOff>38887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48316E60-FA87-471C-A4B0-315FE232CB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94" y="15490928"/>
          <a:ext cx="324717" cy="321359"/>
        </a:xfrm>
        <a:prstGeom prst="rect">
          <a:avLst/>
        </a:prstGeom>
      </xdr:spPr>
    </xdr:pic>
    <xdr:clientData/>
  </xdr:twoCellAnchor>
  <xdr:twoCellAnchor>
    <xdr:from>
      <xdr:col>4</xdr:col>
      <xdr:colOff>138265</xdr:colOff>
      <xdr:row>67</xdr:row>
      <xdr:rowOff>179233</xdr:rowOff>
    </xdr:from>
    <xdr:to>
      <xdr:col>6</xdr:col>
      <xdr:colOff>640120</xdr:colOff>
      <xdr:row>69</xdr:row>
      <xdr:rowOff>46088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967C88A6-D67D-4928-A06C-51675D80FD1E}"/>
            </a:ext>
          </a:extLst>
        </xdr:cNvPr>
        <xdr:cNvSpPr txBox="1"/>
      </xdr:nvSpPr>
      <xdr:spPr>
        <a:xfrm>
          <a:off x="2609243" y="15423834"/>
          <a:ext cx="1946710" cy="2441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C00000"/>
              </a:solidFill>
              <a:latin typeface="Arial Narrow" panose="020B0606020202030204" pitchFamily="34" charset="0"/>
            </a:rPr>
            <a:t>0902</a:t>
          </a:r>
          <a:r>
            <a:rPr lang="en-US" sz="1400" b="1" baseline="0">
              <a:solidFill>
                <a:srgbClr val="C00000"/>
              </a:solidFill>
              <a:latin typeface="Arial Narrow" panose="020B0606020202030204" pitchFamily="34" charset="0"/>
            </a:rPr>
            <a:t> 821 XXXX</a:t>
          </a:r>
          <a:endParaRPr lang="en-US" sz="1400" b="1">
            <a:solidFill>
              <a:srgbClr val="C00000"/>
            </a:solidFill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4</xdr:col>
      <xdr:colOff>128023</xdr:colOff>
      <xdr:row>70</xdr:row>
      <xdr:rowOff>102419</xdr:rowOff>
    </xdr:from>
    <xdr:to>
      <xdr:col>6</xdr:col>
      <xdr:colOff>629878</xdr:colOff>
      <xdr:row>71</xdr:row>
      <xdr:rowOff>158749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5884BE9B-09BC-4572-8429-08E6A10CE93D}"/>
            </a:ext>
          </a:extLst>
        </xdr:cNvPr>
        <xdr:cNvSpPr txBox="1"/>
      </xdr:nvSpPr>
      <xdr:spPr>
        <a:xfrm>
          <a:off x="2674373" y="15501169"/>
          <a:ext cx="2140155" cy="24365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C00000"/>
              </a:solidFill>
              <a:latin typeface="Arial Narrow" panose="020B0606020202030204" pitchFamily="34" charset="0"/>
            </a:rPr>
            <a:t>@cooldigitaltips</a:t>
          </a:r>
        </a:p>
      </xdr:txBody>
    </xdr:sp>
    <xdr:clientData/>
  </xdr:twoCellAnchor>
  <xdr:twoCellAnchor>
    <xdr:from>
      <xdr:col>9</xdr:col>
      <xdr:colOff>199716</xdr:colOff>
      <xdr:row>68</xdr:row>
      <xdr:rowOff>5120</xdr:rowOff>
    </xdr:from>
    <xdr:to>
      <xdr:col>11</xdr:col>
      <xdr:colOff>419918</xdr:colOff>
      <xdr:row>69</xdr:row>
      <xdr:rowOff>61451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48236D75-A583-4305-90D9-D30C5BA77236}"/>
            </a:ext>
          </a:extLst>
        </xdr:cNvPr>
        <xdr:cNvSpPr txBox="1"/>
      </xdr:nvSpPr>
      <xdr:spPr>
        <a:xfrm>
          <a:off x="6521141" y="15029220"/>
          <a:ext cx="2141077" cy="243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C00000"/>
              </a:solidFill>
              <a:latin typeface="Arial Narrow" panose="020B0606020202030204" pitchFamily="34" charset="0"/>
            </a:rPr>
            <a:t>Cool</a:t>
          </a:r>
          <a:r>
            <a:rPr lang="en-US" sz="1400" b="1" baseline="0">
              <a:solidFill>
                <a:srgbClr val="C00000"/>
              </a:solidFill>
              <a:latin typeface="Arial Narrow" panose="020B0606020202030204" pitchFamily="34" charset="0"/>
            </a:rPr>
            <a:t> Digital Tips</a:t>
          </a:r>
          <a:endParaRPr lang="en-US" sz="1400" b="1">
            <a:solidFill>
              <a:srgbClr val="C00000"/>
            </a:solidFill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9</xdr:col>
      <xdr:colOff>199715</xdr:colOff>
      <xdr:row>70</xdr:row>
      <xdr:rowOff>100541</xdr:rowOff>
    </xdr:from>
    <xdr:to>
      <xdr:col>13</xdr:col>
      <xdr:colOff>534458</xdr:colOff>
      <xdr:row>72</xdr:row>
      <xdr:rowOff>71693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B5E7A9D5-9079-4968-9979-98B9277CDAFE}"/>
            </a:ext>
          </a:extLst>
        </xdr:cNvPr>
        <xdr:cNvSpPr txBox="1"/>
      </xdr:nvSpPr>
      <xdr:spPr>
        <a:xfrm>
          <a:off x="6521140" y="15499291"/>
          <a:ext cx="3204943" cy="34580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C00000"/>
              </a:solidFill>
              <a:latin typeface="Arial Narrow" panose="020B0606020202030204" pitchFamily="34" charset="0"/>
            </a:rPr>
            <a:t>vrickcode@gmail.com</a:t>
          </a:r>
        </a:p>
      </xdr:txBody>
    </xdr:sp>
    <xdr:clientData/>
  </xdr:twoCellAnchor>
  <xdr:twoCellAnchor>
    <xdr:from>
      <xdr:col>10</xdr:col>
      <xdr:colOff>902368</xdr:colOff>
      <xdr:row>0</xdr:row>
      <xdr:rowOff>167105</xdr:rowOff>
    </xdr:from>
    <xdr:to>
      <xdr:col>15</xdr:col>
      <xdr:colOff>317499</xdr:colOff>
      <xdr:row>5</xdr:row>
      <xdr:rowOff>77983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243B99E-BFA5-437D-A6BB-910E1AD0BBD7}"/>
            </a:ext>
          </a:extLst>
        </xdr:cNvPr>
        <xdr:cNvSpPr txBox="1"/>
      </xdr:nvSpPr>
      <xdr:spPr>
        <a:xfrm>
          <a:off x="8188993" y="167105"/>
          <a:ext cx="2571081" cy="847503"/>
        </a:xfrm>
        <a:prstGeom prst="rect">
          <a:avLst/>
        </a:prstGeom>
        <a:solidFill>
          <a:srgbClr val="D62A3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>
              <a:solidFill>
                <a:schemeClr val="bg1"/>
              </a:solidFill>
              <a:latin typeface="Albertus Extra Bold" panose="020E0802040304020204" pitchFamily="34" charset="0"/>
            </a:rPr>
            <a:t>HALF</a:t>
          </a:r>
          <a:r>
            <a:rPr lang="en-US" sz="2000" baseline="0">
              <a:solidFill>
                <a:schemeClr val="bg1"/>
              </a:solidFill>
              <a:latin typeface="Albertus Extra Bold" panose="020E0802040304020204" pitchFamily="34" charset="0"/>
            </a:rPr>
            <a:t>-TERM REPORT</a:t>
          </a:r>
          <a:endParaRPr lang="en-US" sz="2000">
            <a:solidFill>
              <a:schemeClr val="bg1"/>
            </a:solidFill>
            <a:latin typeface="Albertus Extra Bold" panose="020E0802040304020204" pitchFamily="34" charset="0"/>
          </a:endParaRPr>
        </a:p>
      </xdr:txBody>
    </xdr:sp>
    <xdr:clientData/>
  </xdr:twoCellAnchor>
  <xdr:twoCellAnchor>
    <xdr:from>
      <xdr:col>2</xdr:col>
      <xdr:colOff>980350</xdr:colOff>
      <xdr:row>17</xdr:row>
      <xdr:rowOff>105833</xdr:rowOff>
    </xdr:from>
    <xdr:to>
      <xdr:col>10</xdr:col>
      <xdr:colOff>339779</xdr:colOff>
      <xdr:row>20</xdr:row>
      <xdr:rowOff>100264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89E4A1BA-6A75-A6D1-C1DE-7C30FBAE6E2C}"/>
            </a:ext>
          </a:extLst>
        </xdr:cNvPr>
        <xdr:cNvSpPr txBox="1"/>
      </xdr:nvSpPr>
      <xdr:spPr>
        <a:xfrm>
          <a:off x="1331271" y="3392237"/>
          <a:ext cx="6138333" cy="5681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>
              <a:latin typeface="Albertus Extra Bold" panose="020E0802040304020204" pitchFamily="34" charset="0"/>
            </a:rPr>
            <a:t>TERM 2 HALF-TERM REPORT (2023</a:t>
          </a:r>
          <a:r>
            <a:rPr lang="en-US" sz="1600" b="1" baseline="0">
              <a:latin typeface="Albertus Extra Bold" panose="020E0802040304020204" pitchFamily="34" charset="0"/>
            </a:rPr>
            <a:t> -2024 SESSION)</a:t>
          </a:r>
          <a:endParaRPr lang="en-US" sz="1600" b="1">
            <a:latin typeface="Albertus Extra Bold" panose="020E0802040304020204" pitchFamily="34" charset="0"/>
          </a:endParaRPr>
        </a:p>
      </xdr:txBody>
    </xdr:sp>
    <xdr:clientData/>
  </xdr:twoCellAnchor>
  <xdr:twoCellAnchor>
    <xdr:from>
      <xdr:col>17</xdr:col>
      <xdr:colOff>400327</xdr:colOff>
      <xdr:row>10</xdr:row>
      <xdr:rowOff>156450</xdr:rowOff>
    </xdr:from>
    <xdr:to>
      <xdr:col>20</xdr:col>
      <xdr:colOff>243635</xdr:colOff>
      <xdr:row>13</xdr:row>
      <xdr:rowOff>73382</xdr:rowOff>
    </xdr:to>
    <xdr:sp macro="[0]!SaveAsPdf" textlink="">
      <xdr:nvSpPr>
        <xdr:cNvPr id="23" name="Rectangle: Rounded Corners 22">
          <a:extLst>
            <a:ext uri="{FF2B5EF4-FFF2-40B4-BE49-F238E27FC236}">
              <a16:creationId xmlns:a16="http://schemas.microsoft.com/office/drawing/2014/main" id="{1486A28E-D591-46F4-BE31-A94CAA98118D}"/>
            </a:ext>
          </a:extLst>
        </xdr:cNvPr>
        <xdr:cNvSpPr/>
      </xdr:nvSpPr>
      <xdr:spPr>
        <a:xfrm>
          <a:off x="11499023" y="2052247"/>
          <a:ext cx="1665482" cy="501316"/>
        </a:xfrm>
        <a:prstGeom prst="roundRect">
          <a:avLst>
            <a:gd name="adj" fmla="val 47778"/>
          </a:avLst>
        </a:prstGeom>
        <a:solidFill>
          <a:schemeClr val="accent6"/>
        </a:solidFill>
        <a:ln cap="flat" cmpd="sng"/>
        <a:effectLst>
          <a:outerShdw blurRad="50800" dist="38100" dir="2700000" algn="tl" rotWithShape="0">
            <a:prstClr val="black">
              <a:alpha val="70000"/>
            </a:prstClr>
          </a:outerShdw>
        </a:effectLst>
        <a:scene3d>
          <a:camera prst="orthographicFront"/>
          <a:lightRig rig="threePt" dir="t"/>
        </a:scene3d>
        <a:sp3d>
          <a:bevelB/>
        </a:sp3d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SAVE</a:t>
          </a:r>
          <a:r>
            <a:rPr lang="en-US" sz="1800" b="1" baseline="0"/>
            <a:t> AS PDF</a:t>
          </a:r>
          <a:endParaRPr lang="en-US" sz="18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234674</xdr:colOff>
          <xdr:row>6</xdr:row>
          <xdr:rowOff>142644</xdr:rowOff>
        </xdr:from>
        <xdr:to>
          <xdr:col>15</xdr:col>
          <xdr:colOff>193260</xdr:colOff>
          <xdr:row>16</xdr:row>
          <xdr:rowOff>36812</xdr:rowOff>
        </xdr:to>
        <xdr:pic>
          <xdr:nvPicPr>
            <xdr:cNvPr id="24" name="Picture 23">
              <a:extLst>
                <a:ext uri="{FF2B5EF4-FFF2-40B4-BE49-F238E27FC236}">
                  <a16:creationId xmlns:a16="http://schemas.microsoft.com/office/drawing/2014/main" id="{CEB6A89C-3CB8-4D48-8555-6B7CFCD24EAA}"/>
                </a:ext>
              </a:extLst>
            </xdr:cNvPr>
            <xdr:cNvPicPr>
              <a:picLocks/>
              <a:extLst>
                <a:ext uri="{84589F7E-364E-4C9E-8A38-B11213B215E9}">
                  <a14:cameraTool cellRange="LearnersPicture" spid="_x0000_s2117"/>
                </a:ext>
              </a:extLst>
            </xdr:cNvPicPr>
          </xdr:nvPicPr>
          <xdr:blipFill rotWithShape="1">
            <a:blip xmlns:r="http://schemas.openxmlformats.org/officeDocument/2006/relationships" r:embed="rId5"/>
            <a:srcRect l="3111" t="11584" r="1555" b="9296"/>
            <a:stretch>
              <a:fillRect/>
            </a:stretch>
          </xdr:blipFill>
          <xdr:spPr>
            <a:xfrm>
              <a:off x="8103152" y="1274601"/>
              <a:ext cx="2102862" cy="1835979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 editAs="oneCell">
    <xdr:from>
      <xdr:col>0</xdr:col>
      <xdr:colOff>92029</xdr:colOff>
      <xdr:row>0</xdr:row>
      <xdr:rowOff>23007</xdr:rowOff>
    </xdr:from>
    <xdr:to>
      <xdr:col>5</xdr:col>
      <xdr:colOff>118772</xdr:colOff>
      <xdr:row>11</xdr:row>
      <xdr:rowOff>128841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3BE351F-D0B5-41D7-9F1E-1007DB30FB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2029" y="23007"/>
          <a:ext cx="3017685" cy="219029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241301</xdr:colOff>
      <xdr:row>0</xdr:row>
      <xdr:rowOff>0</xdr:rowOff>
    </xdr:from>
    <xdr:to>
      <xdr:col>1</xdr:col>
      <xdr:colOff>1120775</xdr:colOff>
      <xdr:row>5</xdr:row>
      <xdr:rowOff>129444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CAF7E1C-1A1A-4C44-8460-EDE89020C3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1301" y="0"/>
          <a:ext cx="1165224" cy="1186719"/>
        </a:xfrm>
        <a:prstGeom prst="rect">
          <a:avLst/>
        </a:prstGeom>
      </xdr:spPr>
    </xdr:pic>
    <xdr:clientData/>
  </xdr:twoCellAnchor>
  <xdr:twoCellAnchor>
    <xdr:from>
      <xdr:col>2</xdr:col>
      <xdr:colOff>101599</xdr:colOff>
      <xdr:row>0</xdr:row>
      <xdr:rowOff>69850</xdr:rowOff>
    </xdr:from>
    <xdr:to>
      <xdr:col>11</xdr:col>
      <xdr:colOff>244475</xdr:colOff>
      <xdr:row>4</xdr:row>
      <xdr:rowOff>154679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ECBA9E73-2C62-499C-92EB-BB75BCCFD24F}"/>
            </a:ext>
          </a:extLst>
        </xdr:cNvPr>
        <xdr:cNvGrpSpPr/>
      </xdr:nvGrpSpPr>
      <xdr:grpSpPr>
        <a:xfrm>
          <a:off x="2055445" y="69850"/>
          <a:ext cx="3883677" cy="915214"/>
          <a:chOff x="3029386" y="279920"/>
          <a:chExt cx="3946951" cy="557849"/>
        </a:xfrm>
      </xdr:grpSpPr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9F2C5E2D-7881-3480-9302-F87416E4B686}"/>
              </a:ext>
            </a:extLst>
          </xdr:cNvPr>
          <xdr:cNvSpPr txBox="1"/>
        </xdr:nvSpPr>
        <xdr:spPr>
          <a:xfrm>
            <a:off x="3029386" y="279920"/>
            <a:ext cx="3946951" cy="3754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600" b="1">
                <a:solidFill>
                  <a:srgbClr val="C00000"/>
                </a:solidFill>
                <a:latin typeface="Roboto Slab Black" pitchFamily="2" charset="0"/>
                <a:ea typeface="Roboto Slab Black" pitchFamily="2" charset="0"/>
              </a:rPr>
              <a:t>COOL</a:t>
            </a:r>
            <a:r>
              <a:rPr lang="en-US" sz="1600" b="1" baseline="0">
                <a:solidFill>
                  <a:srgbClr val="C00000"/>
                </a:solidFill>
                <a:latin typeface="Roboto Slab Black" pitchFamily="2" charset="0"/>
                <a:ea typeface="Roboto Slab Black" pitchFamily="2" charset="0"/>
              </a:rPr>
              <a:t> DIGITAL TIPS</a:t>
            </a:r>
            <a:endParaRPr lang="en-US" sz="1600" b="1">
              <a:solidFill>
                <a:srgbClr val="C00000"/>
              </a:solidFill>
              <a:latin typeface="Roboto Slab Black" pitchFamily="2" charset="0"/>
              <a:ea typeface="Roboto Slab Black" pitchFamily="2" charset="0"/>
            </a:endParaRPr>
          </a:p>
        </xdr:txBody>
      </xdr:sp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CD1BDCEA-AC6D-9DAA-DB02-4AA7221D1E56}"/>
              </a:ext>
            </a:extLst>
          </xdr:cNvPr>
          <xdr:cNvSpPr txBox="1"/>
        </xdr:nvSpPr>
        <xdr:spPr>
          <a:xfrm>
            <a:off x="3842510" y="581373"/>
            <a:ext cx="2325903" cy="2563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900" b="1">
                <a:solidFill>
                  <a:srgbClr val="C00000"/>
                </a:solidFill>
                <a:latin typeface="Arial Narrow" panose="020B0606020202030204" pitchFamily="34" charset="0"/>
              </a:rPr>
              <a:t>MORALS</a:t>
            </a:r>
            <a:r>
              <a:rPr lang="en-US" sz="900" b="1" baseline="0">
                <a:solidFill>
                  <a:srgbClr val="C00000"/>
                </a:solidFill>
                <a:latin typeface="Arial Narrow" panose="020B0606020202030204" pitchFamily="34" charset="0"/>
              </a:rPr>
              <a:t>, ETIQUETTE &amp; KNOWLEDGE</a:t>
            </a:r>
            <a:endParaRPr lang="en-US" sz="900" b="1">
              <a:solidFill>
                <a:srgbClr val="C00000"/>
              </a:solidFill>
              <a:latin typeface="Arial Narrow" panose="020B0606020202030204" pitchFamily="34" charset="0"/>
            </a:endParaRPr>
          </a:p>
        </xdr:txBody>
      </xdr:sp>
    </xdr:grpSp>
    <xdr:clientData/>
  </xdr:twoCellAnchor>
  <xdr:twoCellAnchor>
    <xdr:from>
      <xdr:col>2</xdr:col>
      <xdr:colOff>641350</xdr:colOff>
      <xdr:row>5</xdr:row>
      <xdr:rowOff>28575</xdr:rowOff>
    </xdr:from>
    <xdr:to>
      <xdr:col>9</xdr:col>
      <xdr:colOff>148123</xdr:colOff>
      <xdr:row>6</xdr:row>
      <xdr:rowOff>97144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7F8FB00E-7812-4A73-A196-6A670F6949D4}"/>
            </a:ext>
          </a:extLst>
        </xdr:cNvPr>
        <xdr:cNvSpPr txBox="1"/>
      </xdr:nvSpPr>
      <xdr:spPr>
        <a:xfrm>
          <a:off x="2597150" y="965200"/>
          <a:ext cx="2551598" cy="2558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effectLst/>
              <a:latin typeface="Albertus Extra Bold" panose="020E0802040304020204" pitchFamily="34" charset="0"/>
              <a:ea typeface="+mn-ea"/>
              <a:cs typeface="Arial" panose="020B0604020202020204" pitchFamily="34" charset="0"/>
            </a:rPr>
            <a:t>BROAD</a:t>
          </a:r>
          <a:r>
            <a:rPr lang="en-US" sz="1100" b="1" baseline="0">
              <a:solidFill>
                <a:sysClr val="windowText" lastClr="000000"/>
              </a:solidFill>
              <a:effectLst/>
              <a:latin typeface="Albertus Extra Bold" panose="020E0802040304020204" pitchFamily="34" charset="0"/>
              <a:ea typeface="+mn-ea"/>
              <a:cs typeface="Arial" panose="020B0604020202020204" pitchFamily="34" charset="0"/>
            </a:rPr>
            <a:t> SHEET REPORT</a:t>
          </a:r>
          <a:endParaRPr lang="en-US" sz="1100" b="1">
            <a:solidFill>
              <a:sysClr val="windowText" lastClr="000000"/>
            </a:solidFill>
            <a:latin typeface="Albertus Extra Bold" panose="020E0802040304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32564</xdr:colOff>
      <xdr:row>7</xdr:row>
      <xdr:rowOff>219808</xdr:rowOff>
    </xdr:from>
    <xdr:to>
      <xdr:col>24</xdr:col>
      <xdr:colOff>476892</xdr:colOff>
      <xdr:row>10</xdr:row>
      <xdr:rowOff>49489</xdr:rowOff>
    </xdr:to>
    <xdr:sp macro="[0]!SaveBroadsheet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9BB8A60B-EE32-427F-8BC2-4E52F20072A3}"/>
            </a:ext>
          </a:extLst>
        </xdr:cNvPr>
        <xdr:cNvSpPr/>
      </xdr:nvSpPr>
      <xdr:spPr>
        <a:xfrm>
          <a:off x="12524968" y="1648558"/>
          <a:ext cx="1665482" cy="501316"/>
        </a:xfrm>
        <a:prstGeom prst="roundRect">
          <a:avLst>
            <a:gd name="adj" fmla="val 47778"/>
          </a:avLst>
        </a:prstGeom>
        <a:solidFill>
          <a:schemeClr val="accent6"/>
        </a:solidFill>
        <a:ln cap="flat" cmpd="sng"/>
        <a:effectLst>
          <a:outerShdw blurRad="50800" dist="38100" dir="2700000" algn="tl" rotWithShape="0">
            <a:prstClr val="black">
              <a:alpha val="70000"/>
            </a:prstClr>
          </a:outerShdw>
        </a:effectLst>
        <a:scene3d>
          <a:camera prst="orthographicFront"/>
          <a:lightRig rig="threePt" dir="t"/>
        </a:scene3d>
        <a:sp3d>
          <a:bevelB/>
        </a:sp3d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SAVE</a:t>
          </a:r>
          <a:r>
            <a:rPr lang="en-US" sz="1800" b="1" baseline="0"/>
            <a:t> AS PDF</a:t>
          </a:r>
          <a:endParaRPr lang="en-US" sz="18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49530</xdr:colOff>
      <xdr:row>0</xdr:row>
      <xdr:rowOff>20484</xdr:rowOff>
    </xdr:from>
    <xdr:to>
      <xdr:col>15</xdr:col>
      <xdr:colOff>454333</xdr:colOff>
      <xdr:row>74</xdr:row>
      <xdr:rowOff>133350</xdr:rowOff>
    </xdr:to>
    <xdr:sp macro="" textlink="">
      <xdr:nvSpPr>
        <xdr:cNvPr id="7" name="Fram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9530" y="20484"/>
          <a:ext cx="10592654" cy="16305366"/>
        </a:xfrm>
        <a:prstGeom prst="frame">
          <a:avLst>
            <a:gd name="adj1" fmla="val 2058"/>
          </a:avLst>
        </a:prstGeom>
        <a:solidFill>
          <a:srgbClr val="D62A3A"/>
        </a:solidFill>
        <a:ln>
          <a:solidFill>
            <a:srgbClr val="FF0000"/>
          </a:solidFill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368240</xdr:colOff>
      <xdr:row>5</xdr:row>
      <xdr:rowOff>158740</xdr:rowOff>
    </xdr:from>
    <xdr:to>
      <xdr:col>9</xdr:col>
      <xdr:colOff>539435</xdr:colOff>
      <xdr:row>10</xdr:row>
      <xdr:rowOff>120349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3504249" y="1105670"/>
          <a:ext cx="3179090" cy="919679"/>
          <a:chOff x="3447118" y="926679"/>
          <a:chExt cx="3122178" cy="719851"/>
        </a:xfrm>
      </xdr:grpSpPr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3465970" y="1081063"/>
            <a:ext cx="3103326" cy="2563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 eaLnBrk="1" fontAlgn="auto" latinLnBrk="0" hangingPunct="1"/>
            <a:r>
              <a:rPr lang="en-US" sz="14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10,</a:t>
            </a:r>
            <a:r>
              <a:rPr lang="en-US" sz="1400" b="1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kaduna road, kaduna</a:t>
            </a:r>
            <a:endParaRPr lang="en-US" sz="1600">
              <a:effectLst/>
            </a:endParaRPr>
          </a:p>
        </xdr:txBody>
      </xdr:sp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 txBox="1"/>
        </xdr:nvSpPr>
        <xdr:spPr>
          <a:xfrm>
            <a:off x="3447118" y="1289535"/>
            <a:ext cx="3073801" cy="3569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200" b="1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www.github.com/vrickish</a:t>
            </a:r>
          </a:p>
        </xdr:txBody>
      </xdr:sp>
      <xdr:sp macro="" textlink="">
        <xdr:nvSpPr>
          <xdr:cNvPr id="19" name="TextBox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 txBox="1"/>
        </xdr:nvSpPr>
        <xdr:spPr>
          <a:xfrm>
            <a:off x="3865623" y="926679"/>
            <a:ext cx="2325903" cy="2563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000" b="1">
                <a:solidFill>
                  <a:srgbClr val="C00000"/>
                </a:solidFill>
                <a:latin typeface="Arial Narrow" panose="020B0606020202030204" pitchFamily="34" charset="0"/>
              </a:rPr>
              <a:t>MORALS</a:t>
            </a:r>
            <a:r>
              <a:rPr lang="en-US" sz="1000" b="1" baseline="0">
                <a:solidFill>
                  <a:srgbClr val="C00000"/>
                </a:solidFill>
                <a:latin typeface="Arial Narrow" panose="020B0606020202030204" pitchFamily="34" charset="0"/>
              </a:rPr>
              <a:t>, ETIQUETTE &amp; KNOWLEDGE</a:t>
            </a:r>
            <a:endParaRPr lang="en-US" sz="1000" b="1">
              <a:solidFill>
                <a:srgbClr val="C00000"/>
              </a:solidFill>
              <a:latin typeface="Arial Narrow" panose="020B0606020202030204" pitchFamily="34" charset="0"/>
            </a:endParaRPr>
          </a:p>
        </xdr:txBody>
      </xdr:sp>
    </xdr:grpSp>
    <xdr:clientData/>
  </xdr:twoCellAnchor>
  <xdr:twoCellAnchor>
    <xdr:from>
      <xdr:col>2</xdr:col>
      <xdr:colOff>1353345</xdr:colOff>
      <xdr:row>36</xdr:row>
      <xdr:rowOff>99218</xdr:rowOff>
    </xdr:from>
    <xdr:to>
      <xdr:col>6</xdr:col>
      <xdr:colOff>492126</xdr:colOff>
      <xdr:row>37</xdr:row>
      <xdr:rowOff>146844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1706564" y="7790656"/>
          <a:ext cx="2734468" cy="2301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AFFECTIVE AND PSYCHOMOTOR SKILLS</a:t>
          </a:r>
        </a:p>
      </xdr:txBody>
    </xdr:sp>
    <xdr:clientData/>
  </xdr:twoCellAnchor>
  <xdr:twoCellAnchor>
    <xdr:from>
      <xdr:col>11</xdr:col>
      <xdr:colOff>183817</xdr:colOff>
      <xdr:row>6</xdr:row>
      <xdr:rowOff>73070</xdr:rowOff>
    </xdr:from>
    <xdr:to>
      <xdr:col>15</xdr:col>
      <xdr:colOff>217238</xdr:colOff>
      <xdr:row>16</xdr:row>
      <xdr:rowOff>114823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204870" y="1209386"/>
          <a:ext cx="2177938" cy="1991314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116268</xdr:colOff>
      <xdr:row>64</xdr:row>
      <xdr:rowOff>169930</xdr:rowOff>
    </xdr:from>
    <xdr:to>
      <xdr:col>15</xdr:col>
      <xdr:colOff>233948</xdr:colOff>
      <xdr:row>64</xdr:row>
      <xdr:rowOff>169930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261093" y="14490851"/>
          <a:ext cx="10138425" cy="0"/>
        </a:xfrm>
        <a:prstGeom prst="line">
          <a:avLst/>
        </a:prstGeom>
        <a:ln w="381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424391</xdr:colOff>
      <xdr:row>67</xdr:row>
      <xdr:rowOff>159252</xdr:rowOff>
    </xdr:from>
    <xdr:to>
      <xdr:col>4</xdr:col>
      <xdr:colOff>62181</xdr:colOff>
      <xdr:row>69</xdr:row>
      <xdr:rowOff>107618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8423" y="14165099"/>
          <a:ext cx="324000" cy="327318"/>
        </a:xfrm>
        <a:prstGeom prst="rect">
          <a:avLst/>
        </a:prstGeom>
      </xdr:spPr>
    </xdr:pic>
    <xdr:clientData/>
  </xdr:twoCellAnchor>
  <xdr:twoCellAnchor editAs="oneCell">
    <xdr:from>
      <xdr:col>3</xdr:col>
      <xdr:colOff>424391</xdr:colOff>
      <xdr:row>70</xdr:row>
      <xdr:rowOff>92178</xdr:rowOff>
    </xdr:from>
    <xdr:to>
      <xdr:col>4</xdr:col>
      <xdr:colOff>62181</xdr:colOff>
      <xdr:row>72</xdr:row>
      <xdr:rowOff>38887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8423" y="14666452"/>
          <a:ext cx="324000" cy="325660"/>
        </a:xfrm>
        <a:prstGeom prst="rect">
          <a:avLst/>
        </a:prstGeom>
      </xdr:spPr>
    </xdr:pic>
    <xdr:clientData/>
  </xdr:twoCellAnchor>
  <xdr:twoCellAnchor editAs="oneCell">
    <xdr:from>
      <xdr:col>8</xdr:col>
      <xdr:colOff>425544</xdr:colOff>
      <xdr:row>67</xdr:row>
      <xdr:rowOff>159252</xdr:rowOff>
    </xdr:from>
    <xdr:to>
      <xdr:col>9</xdr:col>
      <xdr:colOff>124786</xdr:colOff>
      <xdr:row>69</xdr:row>
      <xdr:rowOff>107618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5181" y="14165099"/>
          <a:ext cx="324000" cy="327318"/>
        </a:xfrm>
        <a:prstGeom prst="rect">
          <a:avLst/>
        </a:prstGeom>
      </xdr:spPr>
    </xdr:pic>
    <xdr:clientData/>
  </xdr:twoCellAnchor>
  <xdr:twoCellAnchor>
    <xdr:from>
      <xdr:col>5</xdr:col>
      <xdr:colOff>380756</xdr:colOff>
      <xdr:row>65</xdr:row>
      <xdr:rowOff>101554</xdr:rowOff>
    </xdr:from>
    <xdr:to>
      <xdr:col>9</xdr:col>
      <xdr:colOff>60083</xdr:colOff>
      <xdr:row>66</xdr:row>
      <xdr:rowOff>183706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3617208" y="13728449"/>
          <a:ext cx="2767270" cy="27162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u="sng">
              <a:solidFill>
                <a:srgbClr val="C00000"/>
              </a:solidFill>
              <a:latin typeface="Roboto Slab Black" pitchFamily="2" charset="0"/>
              <a:ea typeface="Roboto Slab Black" pitchFamily="2" charset="0"/>
            </a:rPr>
            <a:t>CONTACT US</a:t>
          </a:r>
        </a:p>
      </xdr:txBody>
    </xdr:sp>
    <xdr:clientData/>
  </xdr:twoCellAnchor>
  <xdr:twoCellAnchor editAs="oneCell">
    <xdr:from>
      <xdr:col>8</xdr:col>
      <xdr:colOff>425544</xdr:colOff>
      <xdr:row>70</xdr:row>
      <xdr:rowOff>92178</xdr:rowOff>
    </xdr:from>
    <xdr:to>
      <xdr:col>9</xdr:col>
      <xdr:colOff>124786</xdr:colOff>
      <xdr:row>72</xdr:row>
      <xdr:rowOff>38887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5181" y="14666452"/>
          <a:ext cx="324000" cy="325660"/>
        </a:xfrm>
        <a:prstGeom prst="rect">
          <a:avLst/>
        </a:prstGeom>
      </xdr:spPr>
    </xdr:pic>
    <xdr:clientData/>
  </xdr:twoCellAnchor>
  <xdr:twoCellAnchor>
    <xdr:from>
      <xdr:col>10</xdr:col>
      <xdr:colOff>902368</xdr:colOff>
      <xdr:row>0</xdr:row>
      <xdr:rowOff>167105</xdr:rowOff>
    </xdr:from>
    <xdr:to>
      <xdr:col>15</xdr:col>
      <xdr:colOff>317499</xdr:colOff>
      <xdr:row>5</xdr:row>
      <xdr:rowOff>77983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E2F9EA05-320A-D02B-6F65-7D2B6D697624}"/>
            </a:ext>
          </a:extLst>
        </xdr:cNvPr>
        <xdr:cNvSpPr txBox="1"/>
      </xdr:nvSpPr>
      <xdr:spPr>
        <a:xfrm>
          <a:off x="8182587" y="167105"/>
          <a:ext cx="2567851" cy="857808"/>
        </a:xfrm>
        <a:prstGeom prst="rect">
          <a:avLst/>
        </a:prstGeom>
        <a:solidFill>
          <a:srgbClr val="D62A3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>
              <a:solidFill>
                <a:schemeClr val="bg1"/>
              </a:solidFill>
              <a:latin typeface="Albertus Extra Bold" panose="020E0802040304020204" pitchFamily="34" charset="0"/>
            </a:rPr>
            <a:t>REPORT</a:t>
          </a:r>
          <a:r>
            <a:rPr lang="en-US" sz="2400">
              <a:latin typeface="Albertus Extra Bold" panose="020E0802040304020204" pitchFamily="34" charset="0"/>
            </a:rPr>
            <a:t> </a:t>
          </a:r>
          <a:r>
            <a:rPr lang="en-US" sz="2400">
              <a:solidFill>
                <a:schemeClr val="bg1"/>
              </a:solidFill>
              <a:latin typeface="Albertus Extra Bold" panose="020E0802040304020204" pitchFamily="34" charset="0"/>
            </a:rPr>
            <a:t>CARD</a:t>
          </a:r>
        </a:p>
      </xdr:txBody>
    </xdr:sp>
    <xdr:clientData/>
  </xdr:twoCellAnchor>
  <xdr:twoCellAnchor>
    <xdr:from>
      <xdr:col>3</xdr:col>
      <xdr:colOff>83552</xdr:colOff>
      <xdr:row>17</xdr:row>
      <xdr:rowOff>50132</xdr:rowOff>
    </xdr:from>
    <xdr:to>
      <xdr:col>9</xdr:col>
      <xdr:colOff>679562</xdr:colOff>
      <xdr:row>19</xdr:row>
      <xdr:rowOff>44563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8ACB1BEA-84BC-4F6E-A92A-5494BD22EC88}"/>
            </a:ext>
          </a:extLst>
        </xdr:cNvPr>
        <xdr:cNvSpPr txBox="1"/>
      </xdr:nvSpPr>
      <xdr:spPr>
        <a:xfrm>
          <a:off x="1943991" y="3336536"/>
          <a:ext cx="5052150" cy="3787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latin typeface="Albertus Extra Bold" panose="020E0802040304020204" pitchFamily="34" charset="0"/>
            </a:rPr>
            <a:t>END</a:t>
          </a:r>
          <a:r>
            <a:rPr lang="en-US" sz="1400" b="1" baseline="0">
              <a:latin typeface="Albertus Extra Bold" panose="020E0802040304020204" pitchFamily="34" charset="0"/>
            </a:rPr>
            <a:t> OF</a:t>
          </a:r>
          <a:r>
            <a:rPr lang="en-US" sz="1400" b="1">
              <a:latin typeface="Albertus Extra Bold" panose="020E0802040304020204" pitchFamily="34" charset="0"/>
            </a:rPr>
            <a:t> TERM 2 REPORT (2023</a:t>
          </a:r>
          <a:r>
            <a:rPr lang="en-US" sz="1400" b="1" baseline="0">
              <a:latin typeface="Albertus Extra Bold" panose="020E0802040304020204" pitchFamily="34" charset="0"/>
            </a:rPr>
            <a:t> -2024 SESSION)</a:t>
          </a:r>
          <a:endParaRPr lang="en-US" sz="1400" b="1">
            <a:latin typeface="Albertus Extra Bold" panose="020E0802040304020204" pitchFamily="34" charset="0"/>
          </a:endParaRPr>
        </a:p>
      </xdr:txBody>
    </xdr:sp>
    <xdr:clientData/>
  </xdr:twoCellAnchor>
  <xdr:twoCellAnchor>
    <xdr:from>
      <xdr:col>18</xdr:col>
      <xdr:colOff>122544</xdr:colOff>
      <xdr:row>9</xdr:row>
      <xdr:rowOff>139254</xdr:rowOff>
    </xdr:from>
    <xdr:to>
      <xdr:col>20</xdr:col>
      <xdr:colOff>573728</xdr:colOff>
      <xdr:row>12</xdr:row>
      <xdr:rowOff>55702</xdr:rowOff>
    </xdr:to>
    <xdr:sp macro="[0]!SaveAsPdf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76AA384-57A8-9C6A-444E-50FBB3FAAC7E}"/>
            </a:ext>
          </a:extLst>
        </xdr:cNvPr>
        <xdr:cNvSpPr/>
      </xdr:nvSpPr>
      <xdr:spPr>
        <a:xfrm>
          <a:off x="11981448" y="1843728"/>
          <a:ext cx="1665482" cy="501316"/>
        </a:xfrm>
        <a:prstGeom prst="roundRect">
          <a:avLst>
            <a:gd name="adj" fmla="val 47778"/>
          </a:avLst>
        </a:prstGeom>
        <a:solidFill>
          <a:schemeClr val="accent6"/>
        </a:solidFill>
        <a:ln cap="flat" cmpd="sng"/>
        <a:effectLst>
          <a:outerShdw blurRad="50800" dist="38100" dir="2700000" algn="tl" rotWithShape="0">
            <a:prstClr val="black">
              <a:alpha val="70000"/>
            </a:prstClr>
          </a:outerShdw>
        </a:effectLst>
        <a:scene3d>
          <a:camera prst="orthographicFront"/>
          <a:lightRig rig="threePt" dir="t"/>
        </a:scene3d>
        <a:sp3d>
          <a:bevelB/>
        </a:sp3d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SAVE</a:t>
          </a:r>
          <a:r>
            <a:rPr lang="en-US" sz="1800" b="1" baseline="0"/>
            <a:t> AS PDF</a:t>
          </a:r>
          <a:endParaRPr lang="en-US" sz="18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228377</xdr:colOff>
          <xdr:row>6</xdr:row>
          <xdr:rowOff>150394</xdr:rowOff>
        </xdr:from>
        <xdr:to>
          <xdr:col>15</xdr:col>
          <xdr:colOff>186722</xdr:colOff>
          <xdr:row>16</xdr:row>
          <xdr:rowOff>36812</xdr:rowOff>
        </xdr:to>
        <xdr:pic>
          <xdr:nvPicPr>
            <xdr:cNvPr id="13" name="Picture 12">
              <a:extLst>
                <a:ext uri="{FF2B5EF4-FFF2-40B4-BE49-F238E27FC236}">
                  <a16:creationId xmlns:a16="http://schemas.microsoft.com/office/drawing/2014/main" id="{D95635E0-89FB-4889-9E62-1EE59209403B}"/>
                </a:ext>
              </a:extLst>
            </xdr:cNvPr>
            <xdr:cNvPicPr>
              <a:picLocks/>
              <a:extLst>
                <a:ext uri="{84589F7E-364E-4C9E-8A38-B11213B215E9}">
                  <a14:cameraTool cellRange="LearnersPictureExam" spid="_x0000_s4144"/>
                </a:ext>
              </a:extLst>
            </xdr:cNvPicPr>
          </xdr:nvPicPr>
          <xdr:blipFill rotWithShape="1">
            <a:blip xmlns:r="http://schemas.openxmlformats.org/officeDocument/2006/relationships" r:embed="rId5"/>
            <a:srcRect l="3111" t="11584" r="1555" b="9296"/>
            <a:stretch>
              <a:fillRect/>
            </a:stretch>
          </xdr:blipFill>
          <xdr:spPr>
            <a:xfrm>
              <a:off x="8249430" y="1286710"/>
              <a:ext cx="2102862" cy="1835979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 editAs="oneCell">
    <xdr:from>
      <xdr:col>0</xdr:col>
      <xdr:colOff>0</xdr:colOff>
      <xdr:row>0</xdr:row>
      <xdr:rowOff>89122</xdr:rowOff>
    </xdr:from>
    <xdr:to>
      <xdr:col>4</xdr:col>
      <xdr:colOff>550097</xdr:colOff>
      <xdr:row>11</xdr:row>
      <xdr:rowOff>185027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C3132A8F-505E-497C-B81E-884DDE719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89122"/>
          <a:ext cx="3017685" cy="2190291"/>
        </a:xfrm>
        <a:prstGeom prst="rect">
          <a:avLst/>
        </a:prstGeom>
      </xdr:spPr>
    </xdr:pic>
    <xdr:clientData/>
  </xdr:twoCellAnchor>
  <xdr:twoCellAnchor>
    <xdr:from>
      <xdr:col>4</xdr:col>
      <xdr:colOff>116075</xdr:colOff>
      <xdr:row>67</xdr:row>
      <xdr:rowOff>178246</xdr:rowOff>
    </xdr:from>
    <xdr:to>
      <xdr:col>6</xdr:col>
      <xdr:colOff>469715</xdr:colOff>
      <xdr:row>69</xdr:row>
      <xdr:rowOff>43648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1984D097-4F26-4235-8483-1731C233B82D}"/>
            </a:ext>
          </a:extLst>
        </xdr:cNvPr>
        <xdr:cNvSpPr txBox="1"/>
      </xdr:nvSpPr>
      <xdr:spPr>
        <a:xfrm>
          <a:off x="2583663" y="15100746"/>
          <a:ext cx="1946710" cy="2441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C00000"/>
              </a:solidFill>
              <a:latin typeface="Arial Narrow" panose="020B0606020202030204" pitchFamily="34" charset="0"/>
            </a:rPr>
            <a:t>0902</a:t>
          </a:r>
          <a:r>
            <a:rPr lang="en-US" sz="1400" b="1" baseline="0">
              <a:solidFill>
                <a:srgbClr val="C00000"/>
              </a:solidFill>
              <a:latin typeface="Arial Narrow" panose="020B0606020202030204" pitchFamily="34" charset="0"/>
            </a:rPr>
            <a:t> 821 XXXX</a:t>
          </a:r>
          <a:endParaRPr lang="en-US" sz="1400" b="1">
            <a:solidFill>
              <a:srgbClr val="C00000"/>
            </a:solidFill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4</xdr:col>
      <xdr:colOff>105833</xdr:colOff>
      <xdr:row>70</xdr:row>
      <xdr:rowOff>99253</xdr:rowOff>
    </xdr:from>
    <xdr:to>
      <xdr:col>6</xdr:col>
      <xdr:colOff>459473</xdr:colOff>
      <xdr:row>71</xdr:row>
      <xdr:rowOff>154856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7BABEBE3-A257-4CC3-B8B8-E868C0E19360}"/>
            </a:ext>
          </a:extLst>
        </xdr:cNvPr>
        <xdr:cNvSpPr txBox="1"/>
      </xdr:nvSpPr>
      <xdr:spPr>
        <a:xfrm>
          <a:off x="2573421" y="15589911"/>
          <a:ext cx="1946710" cy="24498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C00000"/>
              </a:solidFill>
              <a:latin typeface="Arial Narrow" panose="020B0606020202030204" pitchFamily="34" charset="0"/>
            </a:rPr>
            <a:t>@cooldigitaltips</a:t>
          </a:r>
        </a:p>
      </xdr:txBody>
    </xdr:sp>
    <xdr:clientData/>
  </xdr:twoCellAnchor>
  <xdr:twoCellAnchor>
    <xdr:from>
      <xdr:col>9</xdr:col>
      <xdr:colOff>120613</xdr:colOff>
      <xdr:row>68</xdr:row>
      <xdr:rowOff>8977</xdr:rowOff>
    </xdr:from>
    <xdr:to>
      <xdr:col>11</xdr:col>
      <xdr:colOff>336456</xdr:colOff>
      <xdr:row>69</xdr:row>
      <xdr:rowOff>64581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42CC3DE6-9B28-4B03-8098-8424FD4A5950}"/>
            </a:ext>
          </a:extLst>
        </xdr:cNvPr>
        <xdr:cNvSpPr txBox="1"/>
      </xdr:nvSpPr>
      <xdr:spPr>
        <a:xfrm>
          <a:off x="6264517" y="15120863"/>
          <a:ext cx="2092992" cy="2449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C00000"/>
              </a:solidFill>
              <a:latin typeface="Arial Narrow" panose="020B0606020202030204" pitchFamily="34" charset="0"/>
            </a:rPr>
            <a:t>Cool</a:t>
          </a:r>
          <a:r>
            <a:rPr lang="en-US" sz="1400" b="1" baseline="0">
              <a:solidFill>
                <a:srgbClr val="C00000"/>
              </a:solidFill>
              <a:latin typeface="Arial Narrow" panose="020B0606020202030204" pitchFamily="34" charset="0"/>
            </a:rPr>
            <a:t> Digital Tips</a:t>
          </a:r>
          <a:endParaRPr lang="en-US" sz="1400" b="1">
            <a:solidFill>
              <a:srgbClr val="C00000"/>
            </a:solidFill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9</xdr:col>
      <xdr:colOff>120612</xdr:colOff>
      <xdr:row>70</xdr:row>
      <xdr:rowOff>102945</xdr:rowOff>
    </xdr:from>
    <xdr:to>
      <xdr:col>13</xdr:col>
      <xdr:colOff>450270</xdr:colOff>
      <xdr:row>72</xdr:row>
      <xdr:rowOff>72644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C0B67A6E-A69A-4099-915C-9E4E4FFF5148}"/>
            </a:ext>
          </a:extLst>
        </xdr:cNvPr>
        <xdr:cNvSpPr txBox="1"/>
      </xdr:nvSpPr>
      <xdr:spPr>
        <a:xfrm>
          <a:off x="6264516" y="15593603"/>
          <a:ext cx="3137026" cy="34847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C00000"/>
              </a:solidFill>
              <a:latin typeface="Arial Narrow" panose="020B0606020202030204" pitchFamily="34" charset="0"/>
            </a:rPr>
            <a:t>vrickcode@gmail.com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AC66F5-2A18-44C1-A226-C78EAF861882}" name="Table8" displayName="Table8" ref="A5:AX55" headerRowCount="0" totalsRowShown="0" headerRowDxfId="142">
  <sortState xmlns:xlrd2="http://schemas.microsoft.com/office/spreadsheetml/2017/richdata2" ref="A5:AQ55">
    <sortCondition ref="B3:B55"/>
  </sortState>
  <tableColumns count="50">
    <tableColumn id="1" xr3:uid="{638911A0-7786-42D6-BB11-7DB35815A934}" name="Column1"/>
    <tableColumn id="2" xr3:uid="{9A311190-8640-432E-96A4-12B79A2D7C34}" name="Column2"/>
    <tableColumn id="44" xr3:uid="{5584501D-3B86-4002-BF1B-DB51ACACD7CB}" name="Column44"/>
    <tableColumn id="4" xr3:uid="{DAF410CB-2D34-486A-8EBB-513BBC20C108}" name="Column4" headerRowDxfId="141" dataDxfId="140"/>
    <tableColumn id="5" xr3:uid="{14CD85E7-411A-4E8E-A9A7-67837A1E5142}" name="Column5" headerRowDxfId="139" dataDxfId="138"/>
    <tableColumn id="6" xr3:uid="{FFE2FCC7-7D53-44E5-B2BA-BC35525EBABD}" name="Column6" headerRowDxfId="137" dataDxfId="136"/>
    <tableColumn id="7" xr3:uid="{95FED537-4B7A-4D8F-A229-C1286D0E68D9}" name="Column7" headerRowDxfId="135" dataDxfId="134">
      <calculatedColumnFormula>SUM($D5:$F5)</calculatedColumnFormula>
    </tableColumn>
    <tableColumn id="8" xr3:uid="{C424DE9A-5E23-4BD9-90BA-1C168CA081CF}" name="Column8" headerRowDxfId="133" dataDxfId="132"/>
    <tableColumn id="9" xr3:uid="{86AA837D-579C-4A0B-897A-1F8341A2D1A6}" name="Column9" headerRowDxfId="131" dataDxfId="130"/>
    <tableColumn id="10" xr3:uid="{18A87EF5-7D30-440D-8B4F-4A5AA7940946}" name="Column10" headerRowDxfId="129" dataDxfId="128"/>
    <tableColumn id="11" xr3:uid="{EEC223F5-CC7E-48E0-82D4-39DEE8E68E05}" name="Column11" headerRowDxfId="127" dataDxfId="126">
      <calculatedColumnFormula>SUM($H5:$J5)</calculatedColumnFormula>
    </tableColumn>
    <tableColumn id="12" xr3:uid="{0B382018-3469-46FB-A977-53EA2B156C2D}" name="Column12" headerRowDxfId="125" dataDxfId="124"/>
    <tableColumn id="13" xr3:uid="{C6FFC3F0-EAC7-4B32-BC58-C12E31AF8C10}" name="Column13" headerRowDxfId="123" dataDxfId="122"/>
    <tableColumn id="14" xr3:uid="{2A9E74A1-8E3F-4766-9CED-44BBC6120210}" name="Column14" headerRowDxfId="121" dataDxfId="120"/>
    <tableColumn id="15" xr3:uid="{B0C14F52-1261-420C-A745-FDA20A957C6C}" name="Column15" headerRowDxfId="119" dataDxfId="118">
      <calculatedColumnFormula>SUM($L5:$N5)</calculatedColumnFormula>
    </tableColumn>
    <tableColumn id="16" xr3:uid="{B24FBBFC-6A38-4E5F-B52D-250F8E933784}" name="Column16" headerRowDxfId="117" dataDxfId="116"/>
    <tableColumn id="17" xr3:uid="{2D71DBED-88B7-4ABD-9549-B684DB21D113}" name="Column17" headerRowDxfId="115" dataDxfId="114"/>
    <tableColumn id="18" xr3:uid="{47943F62-1AF1-4955-B744-C812E1ED455F}" name="Column18" headerRowDxfId="113" dataDxfId="112"/>
    <tableColumn id="19" xr3:uid="{B4261F83-42C8-4C1F-8887-8DC0BD255464}" name="Column19" headerRowDxfId="111" dataDxfId="110">
      <calculatedColumnFormula>SUM($P5:$R5)</calculatedColumnFormula>
    </tableColumn>
    <tableColumn id="20" xr3:uid="{5EA5F441-706E-4EF5-80C8-D5DBE81ED033}" name="Column20" headerRowDxfId="109" dataDxfId="108"/>
    <tableColumn id="21" xr3:uid="{B5B3F653-D66B-46F6-B8E6-9E34A2CB589D}" name="Column21" headerRowDxfId="107" dataDxfId="106"/>
    <tableColumn id="22" xr3:uid="{8B49193E-2C6A-4D53-AFE9-6897FEB54A25}" name="Column22" headerRowDxfId="105" dataDxfId="104"/>
    <tableColumn id="23" xr3:uid="{7828235C-289A-4815-A210-621F3FB63C9D}" name="Column23" headerRowDxfId="103" dataDxfId="102">
      <calculatedColumnFormula>SUM($T5:$V5)</calculatedColumnFormula>
    </tableColumn>
    <tableColumn id="24" xr3:uid="{B75600E7-3F06-4C63-832C-5430AC11A7E2}" name="Column24" headerRowDxfId="101" dataDxfId="100"/>
    <tableColumn id="25" xr3:uid="{3D9AAEDA-1049-45B0-A73F-63428F950E2F}" name="Column25" headerRowDxfId="99" dataDxfId="98"/>
    <tableColumn id="26" xr3:uid="{6B42E339-029E-4105-87B8-217A2137F088}" name="Column26" headerRowDxfId="97" dataDxfId="96"/>
    <tableColumn id="27" xr3:uid="{FC9144D2-E1F0-4A93-86A1-BEE175E6E0F0}" name="Column27" headerRowDxfId="95" dataDxfId="94">
      <calculatedColumnFormula>SUM($X5:$Z5)</calculatedColumnFormula>
    </tableColumn>
    <tableColumn id="28" xr3:uid="{58472D77-84D4-456B-AD04-C5B43FBDD861}" name="Column28" headerRowDxfId="93" dataDxfId="92"/>
    <tableColumn id="29" xr3:uid="{6D61F369-6050-4958-9EE2-6D95A530A521}" name="Column29" headerRowDxfId="91" dataDxfId="90"/>
    <tableColumn id="30" xr3:uid="{CB08FFEA-42A2-4FC8-90D9-6D89BC287428}" name="Column30" headerRowDxfId="89" dataDxfId="88"/>
    <tableColumn id="31" xr3:uid="{AE89FDE6-3B6C-4B7E-85C8-5AF187023D6E}" name="Column31" headerRowDxfId="87" dataDxfId="86">
      <calculatedColumnFormula>SUM($AB5:$AD5)</calculatedColumnFormula>
    </tableColumn>
    <tableColumn id="32" xr3:uid="{AEA1ED5F-CC43-47D4-8CBE-C7D4A63ACA02}" name="Column32" headerRowDxfId="85" dataDxfId="84"/>
    <tableColumn id="33" xr3:uid="{77E81190-8152-4E3B-99CC-56802683BD9C}" name="Column33" headerRowDxfId="83" dataDxfId="82"/>
    <tableColumn id="34" xr3:uid="{149B5C64-B157-45AD-9178-4AA7E1257787}" name="Column34" headerRowDxfId="81" dataDxfId="80"/>
    <tableColumn id="35" xr3:uid="{FF682FD0-2E80-4FF0-9289-EDDBE9BD8A50}" name="Column35" headerRowDxfId="79" dataDxfId="78">
      <calculatedColumnFormula>SUM($AF5:$AH5)</calculatedColumnFormula>
    </tableColumn>
    <tableColumn id="36" xr3:uid="{697B9DA0-D1FF-4DBB-AA12-D6E8314195A1}" name="Column36" headerRowDxfId="77" dataDxfId="76"/>
    <tableColumn id="37" xr3:uid="{F474B749-AE6F-422E-8235-2609E3FE112D}" name="Column37" headerRowDxfId="75" dataDxfId="74"/>
    <tableColumn id="38" xr3:uid="{B1935AE9-1A05-4ACC-85F1-AB6AA5C3C176}" name="Column38" headerRowDxfId="73" dataDxfId="72"/>
    <tableColumn id="39" xr3:uid="{A0118FFC-AB05-4C45-879F-DA35E539C255}" name="Column39" headerRowDxfId="71" dataDxfId="70">
      <calculatedColumnFormula>SUM($AJ5:$AL5)</calculatedColumnFormula>
    </tableColumn>
    <tableColumn id="40" xr3:uid="{2250965D-AAF6-4804-9C3E-706B1142AC6F}" name="Column40" headerRowDxfId="69" dataDxfId="68"/>
    <tableColumn id="41" xr3:uid="{C2E0822F-A096-418C-8A0C-DA172005A7BA}" name="Column41" headerRowDxfId="67" dataDxfId="66"/>
    <tableColumn id="42" xr3:uid="{1FB22BC7-FF56-4EA9-97AC-65E3CD100B6C}" name="Column42" headerRowDxfId="65" dataDxfId="64"/>
    <tableColumn id="43" xr3:uid="{479E5E26-77BB-4F90-95B3-DC7C3FB36472}" name="Column43" headerRowDxfId="63" dataDxfId="62">
      <calculatedColumnFormula>SUM($AN5:$AP5)</calculatedColumnFormula>
    </tableColumn>
    <tableColumn id="45" xr3:uid="{4E8DAD81-5B87-43BE-AA70-F247E08489DC}" name="Column3" headerRowDxfId="61" dataDxfId="60"/>
    <tableColumn id="46" xr3:uid="{EFB67020-9EA8-4882-B58F-DFFBD8410700}" name="Column45" headerRowDxfId="59" dataDxfId="58"/>
    <tableColumn id="47" xr3:uid="{7F8EAE9D-110A-4225-81A5-CF19C99B1D05}" name="Column46" headerRowDxfId="57" dataDxfId="56"/>
    <tableColumn id="48" xr3:uid="{0F2A8672-C601-4D5C-A5C6-C7F56C0F89FB}" name="Column47" headerRowDxfId="55" dataDxfId="54"/>
    <tableColumn id="3" xr3:uid="{09791144-B460-492C-B4CC-17DB679989F7}" name="Column48" headerRowDxfId="53" dataDxfId="52"/>
    <tableColumn id="49" xr3:uid="{91A4D0B2-6DFA-4044-9186-5E68D8A840EB}" name="Column49" headerRowDxfId="51" dataDxfId="50"/>
    <tableColumn id="50" xr3:uid="{71FC2F65-F758-48D8-8C34-26426E7A771F}" name="Column50" headerRowDxfId="49" dataDxfId="48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232B57B-A8A8-4A72-8828-9BBD137F1A68}" name="Table142" displayName="Table142" ref="A8:Q58" totalsRowShown="0" headerRowDxfId="47" dataDxfId="45" headerRowBorderDxfId="46">
  <autoFilter ref="A8:Q58" xr:uid="{4DC96A09-7593-4D3E-A65F-B30E63B2D99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sortState xmlns:xlrd2="http://schemas.microsoft.com/office/spreadsheetml/2017/richdata2" ref="A9:Q31">
    <sortCondition ref="B8:B31"/>
  </sortState>
  <tableColumns count="17">
    <tableColumn id="1" xr3:uid="{41A18F3C-832E-4770-9EB2-401B7898AAFB}" name="S/No" dataDxfId="44"/>
    <tableColumn id="2" xr3:uid="{D1D291C7-A417-48CC-9DC1-8E539E91C760}" name="Name" dataDxfId="43">
      <calculatedColumnFormula>VLOOKUP(Table142[[#This Row],[S/No]],DATABASE!A6:AQ55,2,FALSE)</calculatedColumnFormula>
    </tableColumn>
    <tableColumn id="3" xr3:uid="{2110D6E9-8559-415E-8169-0904E597CACD}" name="Reg. No" dataDxfId="42">
      <calculatedColumnFormula>VLOOKUP(Table142[[#This Row],[S/No]],DATABASE!A6:AQ55,3,FALSE)</calculatedColumnFormula>
    </tableColumn>
    <tableColumn id="4" xr3:uid="{ACAEBC7E-06F5-4256-8205-12B1B92263FE}" name="Ctz" dataDxfId="41">
      <calculatedColumnFormula>VLOOKUP(Table142[[#This Row],[S/No]],Table8[#All],4,FALSE)</calculatedColumnFormula>
    </tableColumn>
    <tableColumn id="5" xr3:uid="{D55AC588-D663-4532-9BDA-210B6A2AA729}" name="Eng" dataDxfId="40">
      <calculatedColumnFormula>VLOOKUP(Table142[[#This Row],[S/No]],Table8[#All],8,FALSE)</calculatedColumnFormula>
    </tableColumn>
    <tableColumn id="6" xr3:uid="{70FAF2AA-E8A2-4109-81CA-7A3CB15A8CA5}" name="FA" dataDxfId="39">
      <calculatedColumnFormula>VLOOKUP(Table142[[#This Row],[S/No]],Table8[#All],12,FALSE)</calculatedColumnFormula>
    </tableColumn>
    <tableColumn id="7" xr3:uid="{1466102C-7FFC-4F74-8F3A-D44FD72DF250}" name="French" dataDxfId="38">
      <calculatedColumnFormula>VLOOKUP(Table142[[#This Row],[S/No]],Table8[#All],16,FALSE)</calculatedColumnFormula>
    </tableColumn>
    <tableColumn id="8" xr3:uid="{9CE468A1-F799-4398-BC77-AA0D5B5004C1}" name="Gen" dataDxfId="37">
      <calculatedColumnFormula>VLOOKUP(Table142[[#This Row],[S/No]],Table8[#All],20,FALSE)</calculatedColumnFormula>
    </tableColumn>
    <tableColumn id="9" xr3:uid="{6DD2D14A-4EC4-4CA4-87ED-F43F96A44D78}" name="HIS" dataDxfId="36">
      <calculatedColumnFormula>VLOOKUP(Table142[[#This Row],[S/No]],Table8[#All],24,FALSE)</calculatedColumnFormula>
    </tableColumn>
    <tableColumn id="10" xr3:uid="{F990AB31-05E0-4967-BDAA-DED738B9EB68}" name="ICT" dataDxfId="35">
      <calculatedColumnFormula>VLOOKUP(Table142[[#This Row],[S/No]],Table8[#All],28,FALSE)</calculatedColumnFormula>
    </tableColumn>
    <tableColumn id="11" xr3:uid="{1656EA29-C263-46FB-9B5E-139C77A4D96E}" name="Math" dataDxfId="34">
      <calculatedColumnFormula>VLOOKUP(Table142[[#This Row],[S/No]],Table8[#All],32,FALSE)</calculatedColumnFormula>
    </tableColumn>
    <tableColumn id="12" xr3:uid="{40F72A04-3CDB-4AEF-A27B-FE3C84C6A8B0}" name="Sci" dataDxfId="33">
      <calculatedColumnFormula>VLOOKUP(Table142[[#This Row],[S/No]],Table8[#All],36,FALSE)</calculatedColumnFormula>
    </tableColumn>
    <tableColumn id="13" xr3:uid="{F601FFA8-6CA4-438B-B9FB-BB3FDECF877C}" name="Spell" dataDxfId="32">
      <calculatedColumnFormula>VLOOKUP(Table142[[#This Row],[S/No]],Table8[#All],40,FALSE)</calculatedColumnFormula>
    </tableColumn>
    <tableColumn id="14" xr3:uid="{B63B9BFF-5B0A-4726-9C19-47AC1D85C452}" name="No. of Sub." dataDxfId="31"/>
    <tableColumn id="15" xr3:uid="{DF8E8DB3-C2EF-4CEA-A891-DF3C38BF223F}" name="TOTAL" dataDxfId="30">
      <calculatedColumnFormula>SUM(D9:M9)</calculatedColumnFormula>
    </tableColumn>
    <tableColumn id="16" xr3:uid="{6B725F0C-03E2-4637-AFC6-AC43C542B0C2}" name="AVE" dataDxfId="29" dataCellStyle="Percent">
      <calculatedColumnFormula>SUM(Table142[[#This Row],[Ctz]:[Spell]])/(Table142[[#This Row],[No. of Sub.]]*20)</calculatedColumnFormula>
    </tableColumn>
    <tableColumn id="17" xr3:uid="{B6748667-E293-4EAE-AA0E-D02DCB34911F}" name="POS" dataDxfId="28">
      <calculatedColumnFormula>IF(P9&gt;0, RANK(P9, $P$9:$P$58))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36419E7-2824-4CF0-92FD-D3AB8B4EA69A}" name="Table25" displayName="Table25" ref="S8:T12" totalsRowShown="0" headerRowDxfId="27" headerRowBorderDxfId="26">
  <autoFilter ref="S8:T12" xr:uid="{036AB2E6-0FFE-4131-893C-C88083C539AD}">
    <filterColumn colId="0" hiddenButton="1"/>
    <filterColumn colId="1" hiddenButton="1"/>
  </autoFilter>
  <tableColumns count="2">
    <tableColumn id="1" xr3:uid="{907546F9-38A9-4658-ACA3-32EDB197ED83}" name="CLASS STATISTICS" dataDxfId="25"/>
    <tableColumn id="2" xr3:uid="{F43657CB-D948-42AA-8C1C-9520D0049381}" name="Value" dataDxfId="24">
      <calculatedColumnFormula>AVERAGEIF(Table142[AVE], "&gt;0")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DC96A09-7593-4D3E-A65F-B30E63B2D99C}" name="Table14" displayName="Table14" ref="A8:Q58" totalsRowShown="0" headerRowDxfId="23" dataDxfId="21" headerRowBorderDxfId="22">
  <autoFilter ref="A8:Q58" xr:uid="{4DC96A09-7593-4D3E-A65F-B30E63B2D99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sortState xmlns:xlrd2="http://schemas.microsoft.com/office/spreadsheetml/2017/richdata2" ref="A9:Q31">
    <sortCondition ref="B8:B31"/>
  </sortState>
  <tableColumns count="17">
    <tableColumn id="1" xr3:uid="{FFB02AC9-EC4D-450F-AE5F-F617493BFEB7}" name="S/No" dataDxfId="20"/>
    <tableColumn id="2" xr3:uid="{1C33DBAF-1778-4ACB-AC5C-ADC95EEA108B}" name="Name" dataDxfId="19">
      <calculatedColumnFormula>VLOOKUP(Table14[[#This Row],[S/No]],DATABASE!A6:AQ55,2,FALSE)</calculatedColumnFormula>
    </tableColumn>
    <tableColumn id="3" xr3:uid="{7DB079DD-5B39-491D-BD94-E4334F63B6D1}" name="Reg. No" dataDxfId="18">
      <calculatedColumnFormula>VLOOKUP(Table14[[#This Row],[S/No]],DATABASE!A6:AQ55,3,FALSE)</calculatedColumnFormula>
    </tableColumn>
    <tableColumn id="4" xr3:uid="{84E88EDF-8153-4D2A-87AD-7BE367A027C5}" name="Ctz" dataDxfId="17">
      <calculatedColumnFormula>VLOOKUP(Table14[[#This Row],[S/No]],Table8[#All],7,FALSE)</calculatedColumnFormula>
    </tableColumn>
    <tableColumn id="5" xr3:uid="{2852D8C0-5326-49E3-9618-B75CA35CEFC3}" name="Eng" dataDxfId="16">
      <calculatedColumnFormula>VLOOKUP(Table14[[#This Row],[S/No]],Table8[#All],11,FALSE)</calculatedColumnFormula>
    </tableColumn>
    <tableColumn id="6" xr3:uid="{3A49B38B-EEB7-4980-B4A4-5EE3AECEE7D4}" name="FA" dataDxfId="15">
      <calculatedColumnFormula>VLOOKUP(Table14[[#This Row],[S/No]],Table8[#All],15,FALSE)</calculatedColumnFormula>
    </tableColumn>
    <tableColumn id="7" xr3:uid="{7DEDD631-5908-4D56-A1CD-A0620C4017EB}" name="French" dataDxfId="14">
      <calculatedColumnFormula>VLOOKUP(Table14[[#This Row],[S/No]],Table8[#All],19,FALSE)</calculatedColumnFormula>
    </tableColumn>
    <tableColumn id="8" xr3:uid="{3F46257B-2179-46E7-9E83-0BECED131684}" name="Gen" dataDxfId="13">
      <calculatedColumnFormula>VLOOKUP(Table14[[#This Row],[S/No]],Table8[#All],23,FALSE)</calculatedColumnFormula>
    </tableColumn>
    <tableColumn id="9" xr3:uid="{F582D9DB-AB81-4AA3-82AB-5336844EFA65}" name="HIS" dataDxfId="12">
      <calculatedColumnFormula>VLOOKUP(Table14[[#This Row],[S/No]],Table8[#All],27,FALSE)</calculatedColumnFormula>
    </tableColumn>
    <tableColumn id="10" xr3:uid="{E269C788-3798-407B-83CE-9D9144256089}" name="ICT" dataDxfId="11">
      <calculatedColumnFormula>VLOOKUP(Table14[[#This Row],[S/No]],Table8[#All],31,FALSE)</calculatedColumnFormula>
    </tableColumn>
    <tableColumn id="11" xr3:uid="{F9DAF245-A26C-4019-9C75-98D18EF40555}" name="Math" dataDxfId="10">
      <calculatedColumnFormula>VLOOKUP(Table14[[#This Row],[S/No]],Table8[#All],35,FALSE)</calculatedColumnFormula>
    </tableColumn>
    <tableColumn id="12" xr3:uid="{BC4E8476-DAF5-4DD2-B786-BE0D614934BF}" name="Sci" dataDxfId="9">
      <calculatedColumnFormula>VLOOKUP(Table14[[#This Row],[S/No]],Table8[#All],39,FALSE)</calculatedColumnFormula>
    </tableColumn>
    <tableColumn id="13" xr3:uid="{3D187186-75B5-4520-8EA7-CFB10DAADE9D}" name="Spell" dataDxfId="8">
      <calculatedColumnFormula>VLOOKUP(Table14[[#This Row],[S/No]],Table8[#All],43,FALSE)</calculatedColumnFormula>
    </tableColumn>
    <tableColumn id="14" xr3:uid="{CD23BF6C-A890-45E3-A838-3D1F43A5033F}" name="No. of Sub." dataDxfId="7"/>
    <tableColumn id="15" xr3:uid="{C907881D-7124-47C0-98A4-52FE5BAFA14B}" name="TOTAL" dataDxfId="6">
      <calculatedColumnFormula>SUM(D9:M9)</calculatedColumnFormula>
    </tableColumn>
    <tableColumn id="16" xr3:uid="{55B72D70-DD4E-4D0E-A97F-A2ED79AC6CA3}" name="AVE" dataDxfId="5" dataCellStyle="Percent">
      <calculatedColumnFormula>SUM(Table14[[#This Row],[Ctz]:[Spell]])/(Table14[[#This Row],[No. of Sub.]]*100)</calculatedColumnFormula>
    </tableColumn>
    <tableColumn id="17" xr3:uid="{7CA5F431-82C9-438C-91E6-B705E7B8A5C1}" name="POS" dataDxfId="4">
      <calculatedColumnFormula>IF(P9&gt;0, RANK(P9, $P$9:$P$58))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6AB2E6-0FFE-4131-893C-C88083C539AD}" name="Table2" displayName="Table2" ref="S8:T12" totalsRowShown="0" headerRowDxfId="3" headerRowBorderDxfId="2">
  <autoFilter ref="S8:T12" xr:uid="{036AB2E6-0FFE-4131-893C-C88083C539AD}">
    <filterColumn colId="0" hiddenButton="1"/>
    <filterColumn colId="1" hiddenButton="1"/>
  </autoFilter>
  <tableColumns count="2">
    <tableColumn id="1" xr3:uid="{E6C6ECA5-E85F-4131-BDD7-137E90B19822}" name="CLASS STATISTICS" dataDxfId="1"/>
    <tableColumn id="2" xr3:uid="{9F38ED9D-2B5C-4489-B136-E58FEEE2A402}" name="Value" dataDxfId="0">
      <calculatedColumnFormula>AVERAGEIF(Table14[AVE], "&gt;0")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FAF9F-0E86-4805-86C4-FCA3B383422D}">
  <sheetPr codeName="Sheet3">
    <pageSetUpPr fitToPage="1"/>
  </sheetPr>
  <dimension ref="A2:A3"/>
  <sheetViews>
    <sheetView tabSelected="1" workbookViewId="0">
      <selection activeCell="A3" sqref="A3"/>
    </sheetView>
  </sheetViews>
  <sheetFormatPr defaultColWidth="10.58984375" defaultRowHeight="14.75" x14ac:dyDescent="0.75"/>
  <sheetData>
    <row r="2" spans="1:1" x14ac:dyDescent="0.75">
      <c r="A2" t="s">
        <v>242</v>
      </c>
    </row>
    <row r="3" spans="1:1" x14ac:dyDescent="0.75">
      <c r="A3" t="s">
        <v>243</v>
      </c>
    </row>
  </sheetData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3F8F8-5A0F-4F7B-9B41-B706A3830AFE}">
  <sheetPr codeName="Sheet5"/>
  <dimension ref="A1:BB56"/>
  <sheetViews>
    <sheetView topLeftCell="AJ4" zoomScale="74" zoomScaleNormal="74" workbookViewId="0">
      <selection activeCell="AW8" sqref="AW8"/>
    </sheetView>
  </sheetViews>
  <sheetFormatPr defaultRowHeight="14.75" x14ac:dyDescent="0.75"/>
  <cols>
    <col min="1" max="1" width="9.7265625" customWidth="1"/>
    <col min="2" max="2" width="34.5" customWidth="1"/>
    <col min="3" max="3" width="13.08984375" customWidth="1"/>
    <col min="4" max="9" width="9.7265625" customWidth="1"/>
    <col min="10" max="43" width="10.7265625" customWidth="1"/>
    <col min="44" max="44" width="12" bestFit="1" customWidth="1"/>
    <col min="45" max="45" width="11.54296875" bestFit="1" customWidth="1"/>
    <col min="46" max="46" width="11.6328125" bestFit="1" customWidth="1"/>
    <col min="47" max="47" width="11.1796875" bestFit="1" customWidth="1"/>
    <col min="48" max="48" width="18.1796875" style="17" bestFit="1" customWidth="1"/>
    <col min="49" max="49" width="18.1796875" style="17" customWidth="1"/>
    <col min="50" max="50" width="10.08984375" style="119" customWidth="1"/>
    <col min="51" max="51" width="41" customWidth="1"/>
    <col min="52" max="52" width="37" customWidth="1"/>
    <col min="53" max="53" width="37.08984375" customWidth="1"/>
    <col min="54" max="54" width="28.90625" customWidth="1"/>
  </cols>
  <sheetData>
    <row r="1" spans="1:54" ht="15.5" thickBot="1" x14ac:dyDescent="0.9"/>
    <row r="2" spans="1:54" ht="18.399999999999999" customHeight="1" thickTop="1" x14ac:dyDescent="0.75">
      <c r="A2" s="157" t="s">
        <v>141</v>
      </c>
      <c r="B2" s="157"/>
      <c r="C2" s="158"/>
      <c r="D2" s="159" t="s">
        <v>62</v>
      </c>
      <c r="E2" s="160"/>
      <c r="F2" s="160"/>
      <c r="G2" s="161"/>
      <c r="H2" s="165" t="s">
        <v>68</v>
      </c>
      <c r="I2" s="166"/>
      <c r="J2" s="166"/>
      <c r="K2" s="167"/>
      <c r="L2" s="171" t="s">
        <v>67</v>
      </c>
      <c r="M2" s="172"/>
      <c r="N2" s="172"/>
      <c r="O2" s="173"/>
      <c r="P2" s="177" t="s">
        <v>51</v>
      </c>
      <c r="Q2" s="178"/>
      <c r="R2" s="178"/>
      <c r="S2" s="179"/>
      <c r="T2" s="183" t="s">
        <v>69</v>
      </c>
      <c r="U2" s="184"/>
      <c r="V2" s="184"/>
      <c r="W2" s="185"/>
      <c r="X2" s="189" t="s">
        <v>70</v>
      </c>
      <c r="Y2" s="190"/>
      <c r="Z2" s="190"/>
      <c r="AA2" s="191"/>
      <c r="AB2" s="171" t="s">
        <v>54</v>
      </c>
      <c r="AC2" s="172"/>
      <c r="AD2" s="172"/>
      <c r="AE2" s="173"/>
      <c r="AF2" s="177" t="s">
        <v>71</v>
      </c>
      <c r="AG2" s="178"/>
      <c r="AH2" s="178"/>
      <c r="AI2" s="179"/>
      <c r="AJ2" s="183" t="s">
        <v>72</v>
      </c>
      <c r="AK2" s="184"/>
      <c r="AL2" s="184"/>
      <c r="AM2" s="185"/>
      <c r="AN2" s="189" t="s">
        <v>73</v>
      </c>
      <c r="AO2" s="190"/>
      <c r="AP2" s="190"/>
      <c r="AQ2" s="191"/>
      <c r="AR2" s="171" t="s">
        <v>80</v>
      </c>
      <c r="AS2" s="172"/>
      <c r="AT2" s="172"/>
      <c r="AU2" s="172"/>
      <c r="AV2" s="172"/>
      <c r="AW2" s="172"/>
      <c r="AX2" s="173"/>
      <c r="AY2" s="153" t="s">
        <v>155</v>
      </c>
      <c r="AZ2" s="154"/>
      <c r="BA2" s="153" t="s">
        <v>156</v>
      </c>
      <c r="BB2" s="154"/>
    </row>
    <row r="3" spans="1:54" ht="18.399999999999999" customHeight="1" thickBot="1" x14ac:dyDescent="0.9">
      <c r="A3" s="157"/>
      <c r="B3" s="157"/>
      <c r="C3" s="158"/>
      <c r="D3" s="162"/>
      <c r="E3" s="163"/>
      <c r="F3" s="163"/>
      <c r="G3" s="164"/>
      <c r="H3" s="168"/>
      <c r="I3" s="169"/>
      <c r="J3" s="169"/>
      <c r="K3" s="170"/>
      <c r="L3" s="174"/>
      <c r="M3" s="175"/>
      <c r="N3" s="175"/>
      <c r="O3" s="176"/>
      <c r="P3" s="180"/>
      <c r="Q3" s="181"/>
      <c r="R3" s="181"/>
      <c r="S3" s="182"/>
      <c r="T3" s="186"/>
      <c r="U3" s="187"/>
      <c r="V3" s="187"/>
      <c r="W3" s="188"/>
      <c r="X3" s="192"/>
      <c r="Y3" s="193"/>
      <c r="Z3" s="193"/>
      <c r="AA3" s="194"/>
      <c r="AB3" s="174"/>
      <c r="AC3" s="175"/>
      <c r="AD3" s="175"/>
      <c r="AE3" s="176"/>
      <c r="AF3" s="180"/>
      <c r="AG3" s="181"/>
      <c r="AH3" s="181"/>
      <c r="AI3" s="182"/>
      <c r="AJ3" s="186"/>
      <c r="AK3" s="187"/>
      <c r="AL3" s="187"/>
      <c r="AM3" s="188"/>
      <c r="AN3" s="192"/>
      <c r="AO3" s="193"/>
      <c r="AP3" s="193"/>
      <c r="AQ3" s="194"/>
      <c r="AR3" s="174"/>
      <c r="AS3" s="175"/>
      <c r="AT3" s="175"/>
      <c r="AU3" s="175"/>
      <c r="AV3" s="175"/>
      <c r="AW3" s="175"/>
      <c r="AX3" s="176"/>
      <c r="AY3" s="155"/>
      <c r="AZ3" s="156"/>
      <c r="BA3" s="155"/>
      <c r="BB3" s="156"/>
    </row>
    <row r="4" spans="1:54" ht="15" customHeight="1" thickTop="1" thickBot="1" x14ac:dyDescent="0.9">
      <c r="AV4"/>
      <c r="AW4"/>
      <c r="AY4" s="64"/>
      <c r="AZ4" s="65"/>
      <c r="BA4" s="64"/>
      <c r="BB4" s="65"/>
    </row>
    <row r="5" spans="1:54" ht="19.75" thickTop="1" x14ac:dyDescent="1.25">
      <c r="A5" s="148" t="s">
        <v>46</v>
      </c>
      <c r="B5" s="148" t="s">
        <v>47</v>
      </c>
      <c r="C5" s="149" t="s">
        <v>79</v>
      </c>
      <c r="D5" s="128" t="s">
        <v>63</v>
      </c>
      <c r="E5" s="129" t="s">
        <v>64</v>
      </c>
      <c r="F5" s="129" t="s">
        <v>65</v>
      </c>
      <c r="G5" s="130" t="s">
        <v>74</v>
      </c>
      <c r="H5" s="131" t="s">
        <v>63</v>
      </c>
      <c r="I5" s="132" t="s">
        <v>64</v>
      </c>
      <c r="J5" s="132" t="s">
        <v>65</v>
      </c>
      <c r="K5" s="133" t="s">
        <v>74</v>
      </c>
      <c r="L5" s="134" t="s">
        <v>63</v>
      </c>
      <c r="M5" s="135" t="s">
        <v>66</v>
      </c>
      <c r="N5" s="135" t="s">
        <v>65</v>
      </c>
      <c r="O5" s="136" t="s">
        <v>74</v>
      </c>
      <c r="P5" s="137" t="s">
        <v>63</v>
      </c>
      <c r="Q5" s="138" t="s">
        <v>64</v>
      </c>
      <c r="R5" s="138" t="s">
        <v>65</v>
      </c>
      <c r="S5" s="139" t="s">
        <v>74</v>
      </c>
      <c r="T5" s="128" t="s">
        <v>63</v>
      </c>
      <c r="U5" s="129" t="s">
        <v>64</v>
      </c>
      <c r="V5" s="129" t="s">
        <v>65</v>
      </c>
      <c r="W5" s="130" t="s">
        <v>74</v>
      </c>
      <c r="X5" s="131" t="s">
        <v>63</v>
      </c>
      <c r="Y5" s="132" t="s">
        <v>64</v>
      </c>
      <c r="Z5" s="132" t="s">
        <v>65</v>
      </c>
      <c r="AA5" s="133" t="s">
        <v>74</v>
      </c>
      <c r="AB5" s="134" t="s">
        <v>63</v>
      </c>
      <c r="AC5" s="135" t="s">
        <v>64</v>
      </c>
      <c r="AD5" s="135" t="s">
        <v>65</v>
      </c>
      <c r="AE5" s="136" t="s">
        <v>74</v>
      </c>
      <c r="AF5" s="137" t="s">
        <v>63</v>
      </c>
      <c r="AG5" s="138" t="s">
        <v>64</v>
      </c>
      <c r="AH5" s="138" t="s">
        <v>65</v>
      </c>
      <c r="AI5" s="139" t="s">
        <v>74</v>
      </c>
      <c r="AJ5" s="128" t="s">
        <v>63</v>
      </c>
      <c r="AK5" s="129" t="s">
        <v>64</v>
      </c>
      <c r="AL5" s="129" t="s">
        <v>65</v>
      </c>
      <c r="AM5" s="130" t="s">
        <v>74</v>
      </c>
      <c r="AN5" s="131" t="s">
        <v>63</v>
      </c>
      <c r="AO5" s="132" t="s">
        <v>64</v>
      </c>
      <c r="AP5" s="132" t="s">
        <v>65</v>
      </c>
      <c r="AQ5" s="133" t="s">
        <v>74</v>
      </c>
      <c r="AR5" s="140" t="s">
        <v>77</v>
      </c>
      <c r="AS5" s="141" t="s">
        <v>78</v>
      </c>
      <c r="AT5" s="141" t="s">
        <v>75</v>
      </c>
      <c r="AU5" s="141" t="s">
        <v>76</v>
      </c>
      <c r="AV5" s="142" t="s">
        <v>154</v>
      </c>
      <c r="AW5" s="143" t="s">
        <v>183</v>
      </c>
      <c r="AX5" s="144" t="s">
        <v>234</v>
      </c>
      <c r="AY5" s="126" t="s">
        <v>139</v>
      </c>
      <c r="AZ5" s="127" t="s">
        <v>140</v>
      </c>
      <c r="BA5" s="126" t="s">
        <v>139</v>
      </c>
      <c r="BB5" s="127" t="s">
        <v>140</v>
      </c>
    </row>
    <row r="6" spans="1:54" ht="40" customHeight="1" x14ac:dyDescent="0.75">
      <c r="A6" s="145">
        <v>1</v>
      </c>
      <c r="B6" s="146" t="s">
        <v>13</v>
      </c>
      <c r="C6" s="147" t="s">
        <v>12</v>
      </c>
      <c r="D6" s="44">
        <v>10</v>
      </c>
      <c r="E6" s="45">
        <v>11</v>
      </c>
      <c r="F6" s="45">
        <v>35</v>
      </c>
      <c r="G6" s="5">
        <f>SUM($D6:$F6)</f>
        <v>56</v>
      </c>
      <c r="H6" s="48">
        <v>10</v>
      </c>
      <c r="I6" s="49">
        <v>15</v>
      </c>
      <c r="J6" s="49">
        <v>45</v>
      </c>
      <c r="K6" s="6">
        <f t="shared" ref="K6:K55" si="0">SUM($H6:$J6)</f>
        <v>70</v>
      </c>
      <c r="L6" s="52">
        <v>10</v>
      </c>
      <c r="M6" s="53">
        <v>15</v>
      </c>
      <c r="N6" s="53">
        <v>45</v>
      </c>
      <c r="O6" s="7">
        <f t="shared" ref="O6:O55" si="1">SUM($L6:$N6)</f>
        <v>70</v>
      </c>
      <c r="P6" s="56">
        <v>10</v>
      </c>
      <c r="Q6" s="57">
        <v>15</v>
      </c>
      <c r="R6" s="57">
        <v>45</v>
      </c>
      <c r="S6" s="8">
        <f t="shared" ref="S6:S55" si="2">SUM($P6:$R6)</f>
        <v>70</v>
      </c>
      <c r="T6" s="44">
        <v>10</v>
      </c>
      <c r="U6" s="45">
        <v>15</v>
      </c>
      <c r="V6" s="45">
        <v>45</v>
      </c>
      <c r="W6" s="5">
        <f t="shared" ref="W6:W55" si="3">SUM($T6:$V6)</f>
        <v>70</v>
      </c>
      <c r="X6" s="48">
        <v>10</v>
      </c>
      <c r="Y6" s="49">
        <v>15</v>
      </c>
      <c r="Z6" s="49">
        <v>45</v>
      </c>
      <c r="AA6" s="6">
        <f t="shared" ref="AA6:AA55" si="4">SUM($X6:$Z6)</f>
        <v>70</v>
      </c>
      <c r="AB6" s="52">
        <v>10</v>
      </c>
      <c r="AC6" s="53">
        <v>15</v>
      </c>
      <c r="AD6" s="53">
        <v>45</v>
      </c>
      <c r="AE6" s="7">
        <f t="shared" ref="AE6:AE55" si="5">SUM($AB6:$AD6)</f>
        <v>70</v>
      </c>
      <c r="AF6" s="56">
        <v>10</v>
      </c>
      <c r="AG6" s="57">
        <v>15</v>
      </c>
      <c r="AH6" s="57">
        <v>45</v>
      </c>
      <c r="AI6" s="8">
        <f t="shared" ref="AI6:AI55" si="6">SUM($AF6:$AH6)</f>
        <v>70</v>
      </c>
      <c r="AJ6" s="44">
        <v>10</v>
      </c>
      <c r="AK6" s="45">
        <v>15</v>
      </c>
      <c r="AL6" s="45">
        <v>45</v>
      </c>
      <c r="AM6" s="5">
        <f t="shared" ref="AM6:AM55" si="7">SUM($AJ6:$AL6)</f>
        <v>70</v>
      </c>
      <c r="AN6" s="48">
        <v>10</v>
      </c>
      <c r="AO6" s="49">
        <v>15</v>
      </c>
      <c r="AP6" s="49">
        <v>45</v>
      </c>
      <c r="AQ6" s="6">
        <f t="shared" ref="AQ6:AQ55" si="8">SUM($AN6:$AP6)</f>
        <v>70</v>
      </c>
      <c r="AR6" s="52">
        <v>117</v>
      </c>
      <c r="AS6" s="53">
        <v>1</v>
      </c>
      <c r="AT6" s="53" t="s">
        <v>81</v>
      </c>
      <c r="AU6" s="53" t="s">
        <v>88</v>
      </c>
      <c r="AV6" s="114">
        <v>41795</v>
      </c>
      <c r="AW6" s="111"/>
      <c r="AX6" s="124" t="s">
        <v>184</v>
      </c>
      <c r="AY6" s="60" t="s">
        <v>235</v>
      </c>
      <c r="AZ6" s="61" t="s">
        <v>236</v>
      </c>
      <c r="BA6" s="60" t="s">
        <v>158</v>
      </c>
      <c r="BB6" s="61" t="s">
        <v>159</v>
      </c>
    </row>
    <row r="7" spans="1:54" ht="40" customHeight="1" x14ac:dyDescent="0.75">
      <c r="A7" s="145">
        <v>2</v>
      </c>
      <c r="B7" s="146" t="s">
        <v>19</v>
      </c>
      <c r="C7" s="147" t="s">
        <v>18</v>
      </c>
      <c r="D7" s="44">
        <v>11</v>
      </c>
      <c r="E7" s="45">
        <v>14</v>
      </c>
      <c r="F7" s="45">
        <v>50</v>
      </c>
      <c r="G7" s="5">
        <f t="shared" ref="G7:G55" si="9">SUM($D7:$F7)</f>
        <v>75</v>
      </c>
      <c r="H7" s="48">
        <v>11</v>
      </c>
      <c r="I7" s="49">
        <v>14</v>
      </c>
      <c r="J7" s="49">
        <v>50</v>
      </c>
      <c r="K7" s="6">
        <f t="shared" si="0"/>
        <v>75</v>
      </c>
      <c r="L7" s="52">
        <v>11</v>
      </c>
      <c r="M7" s="53">
        <v>14</v>
      </c>
      <c r="N7" s="53">
        <v>50</v>
      </c>
      <c r="O7" s="7">
        <f t="shared" si="1"/>
        <v>75</v>
      </c>
      <c r="P7" s="56">
        <v>11</v>
      </c>
      <c r="Q7" s="57">
        <v>14</v>
      </c>
      <c r="R7" s="57">
        <v>50</v>
      </c>
      <c r="S7" s="8">
        <f t="shared" si="2"/>
        <v>75</v>
      </c>
      <c r="T7" s="44">
        <v>11</v>
      </c>
      <c r="U7" s="45">
        <v>14</v>
      </c>
      <c r="V7" s="45">
        <v>50</v>
      </c>
      <c r="W7" s="5">
        <f t="shared" si="3"/>
        <v>75</v>
      </c>
      <c r="X7" s="48">
        <v>11</v>
      </c>
      <c r="Y7" s="49">
        <v>14</v>
      </c>
      <c r="Z7" s="49">
        <v>50</v>
      </c>
      <c r="AA7" s="6">
        <f t="shared" si="4"/>
        <v>75</v>
      </c>
      <c r="AB7" s="52">
        <v>11</v>
      </c>
      <c r="AC7" s="53">
        <v>14</v>
      </c>
      <c r="AD7" s="53">
        <v>50</v>
      </c>
      <c r="AE7" s="7">
        <f t="shared" si="5"/>
        <v>75</v>
      </c>
      <c r="AF7" s="56">
        <v>11</v>
      </c>
      <c r="AG7" s="57">
        <v>14</v>
      </c>
      <c r="AH7" s="57">
        <v>50</v>
      </c>
      <c r="AI7" s="8">
        <f t="shared" si="6"/>
        <v>75</v>
      </c>
      <c r="AJ7" s="44">
        <v>11</v>
      </c>
      <c r="AK7" s="45">
        <v>14</v>
      </c>
      <c r="AL7" s="45">
        <v>50</v>
      </c>
      <c r="AM7" s="5">
        <f t="shared" si="7"/>
        <v>75</v>
      </c>
      <c r="AN7" s="48">
        <v>11</v>
      </c>
      <c r="AO7" s="49">
        <v>14</v>
      </c>
      <c r="AP7" s="49">
        <v>50</v>
      </c>
      <c r="AQ7" s="6">
        <f t="shared" si="8"/>
        <v>75</v>
      </c>
      <c r="AR7" s="52">
        <v>112</v>
      </c>
      <c r="AS7" s="53">
        <v>6</v>
      </c>
      <c r="AT7" s="53" t="s">
        <v>82</v>
      </c>
      <c r="AU7" s="53" t="s">
        <v>89</v>
      </c>
      <c r="AV7" s="115">
        <v>41857</v>
      </c>
      <c r="AW7" s="112"/>
      <c r="AX7" s="124" t="s">
        <v>185</v>
      </c>
      <c r="AY7" s="60"/>
      <c r="AZ7" s="61"/>
      <c r="BA7" s="60" t="s">
        <v>158</v>
      </c>
      <c r="BB7" s="61" t="s">
        <v>159</v>
      </c>
    </row>
    <row r="8" spans="1:54" ht="40" customHeight="1" x14ac:dyDescent="0.75">
      <c r="A8" s="145">
        <v>3</v>
      </c>
      <c r="B8" s="146" t="s">
        <v>45</v>
      </c>
      <c r="C8" s="147" t="s">
        <v>44</v>
      </c>
      <c r="D8" s="44">
        <v>12</v>
      </c>
      <c r="E8" s="45">
        <v>12</v>
      </c>
      <c r="F8" s="45">
        <v>42</v>
      </c>
      <c r="G8" s="5">
        <f t="shared" si="9"/>
        <v>66</v>
      </c>
      <c r="H8" s="48">
        <v>12</v>
      </c>
      <c r="I8" s="49">
        <v>12</v>
      </c>
      <c r="J8" s="49">
        <v>42</v>
      </c>
      <c r="K8" s="6">
        <f t="shared" si="0"/>
        <v>66</v>
      </c>
      <c r="L8" s="52">
        <v>12</v>
      </c>
      <c r="M8" s="53">
        <v>12</v>
      </c>
      <c r="N8" s="53">
        <v>42</v>
      </c>
      <c r="O8" s="7">
        <f t="shared" si="1"/>
        <v>66</v>
      </c>
      <c r="P8" s="56">
        <v>12</v>
      </c>
      <c r="Q8" s="57">
        <v>12</v>
      </c>
      <c r="R8" s="57">
        <v>42</v>
      </c>
      <c r="S8" s="8">
        <f t="shared" si="2"/>
        <v>66</v>
      </c>
      <c r="T8" s="44">
        <v>12</v>
      </c>
      <c r="U8" s="45">
        <v>12</v>
      </c>
      <c r="V8" s="45">
        <v>42</v>
      </c>
      <c r="W8" s="5">
        <f t="shared" si="3"/>
        <v>66</v>
      </c>
      <c r="X8" s="48">
        <v>12</v>
      </c>
      <c r="Y8" s="49">
        <v>12</v>
      </c>
      <c r="Z8" s="49">
        <v>42</v>
      </c>
      <c r="AA8" s="6">
        <f t="shared" si="4"/>
        <v>66</v>
      </c>
      <c r="AB8" s="52">
        <v>12</v>
      </c>
      <c r="AC8" s="53">
        <v>12</v>
      </c>
      <c r="AD8" s="53">
        <v>42</v>
      </c>
      <c r="AE8" s="7">
        <f t="shared" si="5"/>
        <v>66</v>
      </c>
      <c r="AF8" s="56">
        <v>12</v>
      </c>
      <c r="AG8" s="57">
        <v>12</v>
      </c>
      <c r="AH8" s="57">
        <v>42</v>
      </c>
      <c r="AI8" s="8">
        <f t="shared" si="6"/>
        <v>66</v>
      </c>
      <c r="AJ8" s="44">
        <v>12</v>
      </c>
      <c r="AK8" s="45">
        <v>12</v>
      </c>
      <c r="AL8" s="45">
        <v>42</v>
      </c>
      <c r="AM8" s="5">
        <f t="shared" si="7"/>
        <v>66</v>
      </c>
      <c r="AN8" s="48">
        <v>12</v>
      </c>
      <c r="AO8" s="49">
        <v>12</v>
      </c>
      <c r="AP8" s="49">
        <v>42</v>
      </c>
      <c r="AQ8" s="6">
        <f t="shared" si="8"/>
        <v>66</v>
      </c>
      <c r="AR8" s="52">
        <v>118</v>
      </c>
      <c r="AS8" s="53">
        <v>0</v>
      </c>
      <c r="AT8" s="53" t="s">
        <v>83</v>
      </c>
      <c r="AU8" s="53" t="s">
        <v>90</v>
      </c>
      <c r="AV8" s="114">
        <v>41877</v>
      </c>
      <c r="AW8" s="111"/>
      <c r="AX8" s="124" t="s">
        <v>186</v>
      </c>
      <c r="AY8" s="60"/>
      <c r="AZ8" s="61"/>
      <c r="BA8" s="60" t="s">
        <v>158</v>
      </c>
      <c r="BB8" s="61" t="s">
        <v>159</v>
      </c>
    </row>
    <row r="9" spans="1:54" ht="40" customHeight="1" x14ac:dyDescent="0.75">
      <c r="A9" s="145">
        <v>4</v>
      </c>
      <c r="B9" s="146" t="s">
        <v>7</v>
      </c>
      <c r="C9" s="147" t="s">
        <v>6</v>
      </c>
      <c r="D9" s="44">
        <v>17</v>
      </c>
      <c r="E9" s="45">
        <v>14</v>
      </c>
      <c r="F9" s="45">
        <v>55</v>
      </c>
      <c r="G9" s="5">
        <f t="shared" si="9"/>
        <v>86</v>
      </c>
      <c r="H9" s="48">
        <v>17</v>
      </c>
      <c r="I9" s="49">
        <v>14</v>
      </c>
      <c r="J9" s="49">
        <v>55</v>
      </c>
      <c r="K9" s="6">
        <f t="shared" si="0"/>
        <v>86</v>
      </c>
      <c r="L9" s="52">
        <v>17</v>
      </c>
      <c r="M9" s="53">
        <v>14</v>
      </c>
      <c r="N9" s="53">
        <v>55</v>
      </c>
      <c r="O9" s="7">
        <f t="shared" si="1"/>
        <v>86</v>
      </c>
      <c r="P9" s="56">
        <v>17</v>
      </c>
      <c r="Q9" s="57">
        <v>14</v>
      </c>
      <c r="R9" s="57">
        <v>55</v>
      </c>
      <c r="S9" s="8">
        <f t="shared" si="2"/>
        <v>86</v>
      </c>
      <c r="T9" s="44">
        <v>17</v>
      </c>
      <c r="U9" s="45">
        <v>14</v>
      </c>
      <c r="V9" s="45">
        <v>55</v>
      </c>
      <c r="W9" s="5">
        <f t="shared" si="3"/>
        <v>86</v>
      </c>
      <c r="X9" s="48">
        <v>17</v>
      </c>
      <c r="Y9" s="49">
        <v>14</v>
      </c>
      <c r="Z9" s="49">
        <v>55</v>
      </c>
      <c r="AA9" s="6">
        <f t="shared" si="4"/>
        <v>86</v>
      </c>
      <c r="AB9" s="52">
        <v>17</v>
      </c>
      <c r="AC9" s="53">
        <v>14</v>
      </c>
      <c r="AD9" s="53">
        <v>55</v>
      </c>
      <c r="AE9" s="7">
        <f t="shared" si="5"/>
        <v>86</v>
      </c>
      <c r="AF9" s="56">
        <v>17</v>
      </c>
      <c r="AG9" s="57">
        <v>14</v>
      </c>
      <c r="AH9" s="57">
        <v>55</v>
      </c>
      <c r="AI9" s="8">
        <f t="shared" si="6"/>
        <v>86</v>
      </c>
      <c r="AJ9" s="44">
        <v>17</v>
      </c>
      <c r="AK9" s="45">
        <v>14</v>
      </c>
      <c r="AL9" s="45">
        <v>55</v>
      </c>
      <c r="AM9" s="5">
        <f t="shared" si="7"/>
        <v>86</v>
      </c>
      <c r="AN9" s="48">
        <v>17</v>
      </c>
      <c r="AO9" s="49">
        <v>14</v>
      </c>
      <c r="AP9" s="49">
        <v>55</v>
      </c>
      <c r="AQ9" s="6">
        <f t="shared" si="8"/>
        <v>86</v>
      </c>
      <c r="AR9" s="52">
        <v>114</v>
      </c>
      <c r="AS9" s="53">
        <v>4</v>
      </c>
      <c r="AT9" s="53" t="s">
        <v>84</v>
      </c>
      <c r="AU9" s="53" t="s">
        <v>91</v>
      </c>
      <c r="AV9" s="115">
        <v>41886</v>
      </c>
      <c r="AW9" s="112"/>
      <c r="AX9" s="124" t="s">
        <v>187</v>
      </c>
      <c r="AY9" s="60"/>
      <c r="AZ9" s="61"/>
      <c r="BA9" s="60" t="s">
        <v>158</v>
      </c>
      <c r="BB9" s="61" t="s">
        <v>159</v>
      </c>
    </row>
    <row r="10" spans="1:54" ht="40" customHeight="1" x14ac:dyDescent="0.75">
      <c r="A10" s="145">
        <v>5</v>
      </c>
      <c r="B10" s="146" t="s">
        <v>39</v>
      </c>
      <c r="C10" s="147" t="s">
        <v>38</v>
      </c>
      <c r="D10" s="44">
        <v>16</v>
      </c>
      <c r="E10" s="45">
        <v>18</v>
      </c>
      <c r="F10" s="45">
        <v>52</v>
      </c>
      <c r="G10" s="5">
        <f t="shared" si="9"/>
        <v>86</v>
      </c>
      <c r="H10" s="48">
        <v>16</v>
      </c>
      <c r="I10" s="49">
        <v>12</v>
      </c>
      <c r="J10" s="49">
        <v>52</v>
      </c>
      <c r="K10" s="6">
        <f t="shared" si="0"/>
        <v>80</v>
      </c>
      <c r="L10" s="52">
        <v>16</v>
      </c>
      <c r="M10" s="53">
        <v>12</v>
      </c>
      <c r="N10" s="53">
        <v>52</v>
      </c>
      <c r="O10" s="7">
        <f t="shared" si="1"/>
        <v>80</v>
      </c>
      <c r="P10" s="56">
        <v>16</v>
      </c>
      <c r="Q10" s="57">
        <v>12</v>
      </c>
      <c r="R10" s="57">
        <v>52</v>
      </c>
      <c r="S10" s="8">
        <f t="shared" si="2"/>
        <v>80</v>
      </c>
      <c r="T10" s="44">
        <v>16</v>
      </c>
      <c r="U10" s="45">
        <v>12</v>
      </c>
      <c r="V10" s="45">
        <v>52</v>
      </c>
      <c r="W10" s="5">
        <f t="shared" si="3"/>
        <v>80</v>
      </c>
      <c r="X10" s="48">
        <v>16</v>
      </c>
      <c r="Y10" s="49">
        <v>12</v>
      </c>
      <c r="Z10" s="49">
        <v>52</v>
      </c>
      <c r="AA10" s="6">
        <f t="shared" si="4"/>
        <v>80</v>
      </c>
      <c r="AB10" s="52">
        <v>16</v>
      </c>
      <c r="AC10" s="53">
        <v>12</v>
      </c>
      <c r="AD10" s="53">
        <v>52</v>
      </c>
      <c r="AE10" s="7">
        <f t="shared" si="5"/>
        <v>80</v>
      </c>
      <c r="AF10" s="56">
        <v>16</v>
      </c>
      <c r="AG10" s="57">
        <v>12</v>
      </c>
      <c r="AH10" s="57">
        <v>52</v>
      </c>
      <c r="AI10" s="8">
        <f t="shared" si="6"/>
        <v>80</v>
      </c>
      <c r="AJ10" s="44">
        <v>16</v>
      </c>
      <c r="AK10" s="45">
        <v>12</v>
      </c>
      <c r="AL10" s="45">
        <v>52</v>
      </c>
      <c r="AM10" s="5">
        <f t="shared" si="7"/>
        <v>80</v>
      </c>
      <c r="AN10" s="48">
        <v>16</v>
      </c>
      <c r="AO10" s="49">
        <v>12</v>
      </c>
      <c r="AP10" s="49">
        <v>52</v>
      </c>
      <c r="AQ10" s="6">
        <f t="shared" si="8"/>
        <v>80</v>
      </c>
      <c r="AR10" s="52">
        <v>118</v>
      </c>
      <c r="AS10" s="53">
        <v>0</v>
      </c>
      <c r="AT10" s="53" t="s">
        <v>85</v>
      </c>
      <c r="AU10" s="53" t="s">
        <v>92</v>
      </c>
      <c r="AV10" s="114">
        <v>41820</v>
      </c>
      <c r="AW10" s="111"/>
      <c r="AX10" s="124" t="s">
        <v>188</v>
      </c>
      <c r="AY10" s="60"/>
      <c r="AZ10" s="61"/>
      <c r="BA10" s="60" t="s">
        <v>158</v>
      </c>
      <c r="BB10" s="61" t="s">
        <v>159</v>
      </c>
    </row>
    <row r="11" spans="1:54" ht="40" customHeight="1" x14ac:dyDescent="0.75">
      <c r="A11" s="145">
        <v>6</v>
      </c>
      <c r="B11" s="146" t="s">
        <v>5</v>
      </c>
      <c r="C11" s="147" t="s">
        <v>4</v>
      </c>
      <c r="D11" s="44">
        <v>13</v>
      </c>
      <c r="E11" s="45">
        <v>17</v>
      </c>
      <c r="F11" s="45">
        <v>48</v>
      </c>
      <c r="G11" s="5">
        <f t="shared" si="9"/>
        <v>78</v>
      </c>
      <c r="H11" s="48">
        <v>13</v>
      </c>
      <c r="I11" s="49">
        <v>17</v>
      </c>
      <c r="J11" s="49">
        <v>48</v>
      </c>
      <c r="K11" s="6">
        <f t="shared" si="0"/>
        <v>78</v>
      </c>
      <c r="L11" s="52">
        <v>13</v>
      </c>
      <c r="M11" s="53">
        <v>17</v>
      </c>
      <c r="N11" s="53">
        <v>48</v>
      </c>
      <c r="O11" s="7">
        <f t="shared" si="1"/>
        <v>78</v>
      </c>
      <c r="P11" s="56">
        <v>13</v>
      </c>
      <c r="Q11" s="57">
        <v>17</v>
      </c>
      <c r="R11" s="57">
        <v>48</v>
      </c>
      <c r="S11" s="8">
        <f t="shared" si="2"/>
        <v>78</v>
      </c>
      <c r="T11" s="44">
        <v>13</v>
      </c>
      <c r="U11" s="45">
        <v>17</v>
      </c>
      <c r="V11" s="45">
        <v>48</v>
      </c>
      <c r="W11" s="5">
        <f t="shared" si="3"/>
        <v>78</v>
      </c>
      <c r="X11" s="48">
        <v>13</v>
      </c>
      <c r="Y11" s="49">
        <v>17</v>
      </c>
      <c r="Z11" s="49">
        <v>48</v>
      </c>
      <c r="AA11" s="6">
        <f t="shared" si="4"/>
        <v>78</v>
      </c>
      <c r="AB11" s="52">
        <v>13</v>
      </c>
      <c r="AC11" s="53">
        <v>17</v>
      </c>
      <c r="AD11" s="53">
        <v>48</v>
      </c>
      <c r="AE11" s="7">
        <f t="shared" si="5"/>
        <v>78</v>
      </c>
      <c r="AF11" s="56">
        <v>13</v>
      </c>
      <c r="AG11" s="57">
        <v>17</v>
      </c>
      <c r="AH11" s="57">
        <v>48</v>
      </c>
      <c r="AI11" s="8">
        <f t="shared" si="6"/>
        <v>78</v>
      </c>
      <c r="AJ11" s="44">
        <v>13</v>
      </c>
      <c r="AK11" s="45">
        <v>17</v>
      </c>
      <c r="AL11" s="45">
        <v>48</v>
      </c>
      <c r="AM11" s="5">
        <f t="shared" si="7"/>
        <v>78</v>
      </c>
      <c r="AN11" s="48">
        <v>13</v>
      </c>
      <c r="AO11" s="49">
        <v>17</v>
      </c>
      <c r="AP11" s="49">
        <v>48</v>
      </c>
      <c r="AQ11" s="6">
        <f t="shared" si="8"/>
        <v>78</v>
      </c>
      <c r="AR11" s="52">
        <v>117</v>
      </c>
      <c r="AS11" s="53">
        <v>1</v>
      </c>
      <c r="AT11" s="53" t="s">
        <v>83</v>
      </c>
      <c r="AU11" s="53" t="s">
        <v>93</v>
      </c>
      <c r="AV11" s="114">
        <v>41786</v>
      </c>
      <c r="AW11" s="111"/>
      <c r="AX11" s="124" t="s">
        <v>189</v>
      </c>
      <c r="AY11" s="60"/>
      <c r="AZ11" s="61"/>
      <c r="BA11" s="60" t="s">
        <v>158</v>
      </c>
      <c r="BB11" s="61" t="s">
        <v>159</v>
      </c>
    </row>
    <row r="12" spans="1:54" ht="40" customHeight="1" x14ac:dyDescent="0.75">
      <c r="A12" s="145">
        <v>7</v>
      </c>
      <c r="B12" s="146" t="s">
        <v>21</v>
      </c>
      <c r="C12" s="147" t="s">
        <v>20</v>
      </c>
      <c r="D12" s="44">
        <v>18</v>
      </c>
      <c r="E12" s="45">
        <v>14</v>
      </c>
      <c r="F12" s="45">
        <v>50</v>
      </c>
      <c r="G12" s="5">
        <f t="shared" si="9"/>
        <v>82</v>
      </c>
      <c r="H12" s="48">
        <v>18</v>
      </c>
      <c r="I12" s="49">
        <v>14</v>
      </c>
      <c r="J12" s="49">
        <v>50</v>
      </c>
      <c r="K12" s="6">
        <f t="shared" si="0"/>
        <v>82</v>
      </c>
      <c r="L12" s="52">
        <v>18</v>
      </c>
      <c r="M12" s="53">
        <v>14</v>
      </c>
      <c r="N12" s="53">
        <v>50</v>
      </c>
      <c r="O12" s="7">
        <f t="shared" si="1"/>
        <v>82</v>
      </c>
      <c r="P12" s="56">
        <v>18</v>
      </c>
      <c r="Q12" s="57">
        <v>14</v>
      </c>
      <c r="R12" s="57">
        <v>50</v>
      </c>
      <c r="S12" s="8">
        <f t="shared" si="2"/>
        <v>82</v>
      </c>
      <c r="T12" s="44">
        <v>18</v>
      </c>
      <c r="U12" s="45">
        <v>14</v>
      </c>
      <c r="V12" s="45">
        <v>50</v>
      </c>
      <c r="W12" s="5">
        <f t="shared" si="3"/>
        <v>82</v>
      </c>
      <c r="X12" s="48">
        <v>18</v>
      </c>
      <c r="Y12" s="49">
        <v>14</v>
      </c>
      <c r="Z12" s="49">
        <v>50</v>
      </c>
      <c r="AA12" s="6">
        <f t="shared" si="4"/>
        <v>82</v>
      </c>
      <c r="AB12" s="52">
        <v>18</v>
      </c>
      <c r="AC12" s="53">
        <v>14</v>
      </c>
      <c r="AD12" s="53">
        <v>50</v>
      </c>
      <c r="AE12" s="7">
        <f t="shared" si="5"/>
        <v>82</v>
      </c>
      <c r="AF12" s="56">
        <v>18</v>
      </c>
      <c r="AG12" s="57">
        <v>14</v>
      </c>
      <c r="AH12" s="57">
        <v>50</v>
      </c>
      <c r="AI12" s="8">
        <f t="shared" si="6"/>
        <v>82</v>
      </c>
      <c r="AJ12" s="44">
        <v>18</v>
      </c>
      <c r="AK12" s="45">
        <v>14</v>
      </c>
      <c r="AL12" s="45">
        <v>50</v>
      </c>
      <c r="AM12" s="5">
        <f t="shared" si="7"/>
        <v>82</v>
      </c>
      <c r="AN12" s="48">
        <v>18</v>
      </c>
      <c r="AO12" s="49">
        <v>14</v>
      </c>
      <c r="AP12" s="49">
        <v>50</v>
      </c>
      <c r="AQ12" s="6">
        <f t="shared" si="8"/>
        <v>82</v>
      </c>
      <c r="AR12" s="52">
        <v>115</v>
      </c>
      <c r="AS12" s="53">
        <v>3</v>
      </c>
      <c r="AT12" s="53" t="s">
        <v>86</v>
      </c>
      <c r="AU12" s="53" t="s">
        <v>94</v>
      </c>
      <c r="AV12" s="115">
        <v>41674</v>
      </c>
      <c r="AW12" s="112"/>
      <c r="AX12" s="124" t="s">
        <v>190</v>
      </c>
      <c r="AY12" s="60"/>
      <c r="AZ12" s="61"/>
      <c r="BA12" s="60" t="s">
        <v>158</v>
      </c>
      <c r="BB12" s="61" t="s">
        <v>159</v>
      </c>
    </row>
    <row r="13" spans="1:54" ht="40" customHeight="1" x14ac:dyDescent="0.75">
      <c r="A13" s="145">
        <v>8</v>
      </c>
      <c r="B13" s="146" t="s">
        <v>27</v>
      </c>
      <c r="C13" s="147" t="s">
        <v>26</v>
      </c>
      <c r="D13" s="44">
        <v>16</v>
      </c>
      <c r="E13" s="45">
        <v>18</v>
      </c>
      <c r="F13" s="45">
        <v>54</v>
      </c>
      <c r="G13" s="5">
        <f>SUM($D13:$F13)</f>
        <v>88</v>
      </c>
      <c r="H13" s="48">
        <v>16</v>
      </c>
      <c r="I13" s="49">
        <v>18</v>
      </c>
      <c r="J13" s="49">
        <v>54</v>
      </c>
      <c r="K13" s="6">
        <f t="shared" si="0"/>
        <v>88</v>
      </c>
      <c r="L13" s="52">
        <v>16</v>
      </c>
      <c r="M13" s="53">
        <v>18</v>
      </c>
      <c r="N13" s="53">
        <v>54</v>
      </c>
      <c r="O13" s="7">
        <f t="shared" si="1"/>
        <v>88</v>
      </c>
      <c r="P13" s="56">
        <v>16</v>
      </c>
      <c r="Q13" s="57">
        <v>18</v>
      </c>
      <c r="R13" s="57">
        <v>54</v>
      </c>
      <c r="S13" s="8">
        <f t="shared" si="2"/>
        <v>88</v>
      </c>
      <c r="T13" s="44">
        <v>16</v>
      </c>
      <c r="U13" s="45">
        <v>18</v>
      </c>
      <c r="V13" s="45">
        <v>54</v>
      </c>
      <c r="W13" s="5">
        <f t="shared" si="3"/>
        <v>88</v>
      </c>
      <c r="X13" s="48">
        <v>16</v>
      </c>
      <c r="Y13" s="49">
        <v>18</v>
      </c>
      <c r="Z13" s="49">
        <v>54</v>
      </c>
      <c r="AA13" s="6">
        <f t="shared" si="4"/>
        <v>88</v>
      </c>
      <c r="AB13" s="52">
        <v>16</v>
      </c>
      <c r="AC13" s="53">
        <v>18</v>
      </c>
      <c r="AD13" s="53">
        <v>54</v>
      </c>
      <c r="AE13" s="7">
        <f t="shared" si="5"/>
        <v>88</v>
      </c>
      <c r="AF13" s="56">
        <v>16</v>
      </c>
      <c r="AG13" s="57">
        <v>18</v>
      </c>
      <c r="AH13" s="57">
        <v>54</v>
      </c>
      <c r="AI13" s="8">
        <f t="shared" si="6"/>
        <v>88</v>
      </c>
      <c r="AJ13" s="44">
        <v>16</v>
      </c>
      <c r="AK13" s="45">
        <v>18</v>
      </c>
      <c r="AL13" s="45">
        <v>54</v>
      </c>
      <c r="AM13" s="5">
        <f t="shared" si="7"/>
        <v>88</v>
      </c>
      <c r="AN13" s="48">
        <v>16</v>
      </c>
      <c r="AO13" s="49">
        <v>18</v>
      </c>
      <c r="AP13" s="49">
        <v>54</v>
      </c>
      <c r="AQ13" s="6">
        <f t="shared" si="8"/>
        <v>88</v>
      </c>
      <c r="AR13" s="52">
        <v>116</v>
      </c>
      <c r="AS13" s="53">
        <v>2</v>
      </c>
      <c r="AT13" s="53" t="s">
        <v>87</v>
      </c>
      <c r="AU13" s="53" t="s">
        <v>95</v>
      </c>
      <c r="AV13" s="115">
        <v>41717</v>
      </c>
      <c r="AW13" s="112"/>
      <c r="AX13" s="124" t="s">
        <v>191</v>
      </c>
      <c r="AY13" s="60"/>
      <c r="AZ13" s="61"/>
      <c r="BA13" s="60" t="s">
        <v>158</v>
      </c>
      <c r="BB13" s="61" t="s">
        <v>159</v>
      </c>
    </row>
    <row r="14" spans="1:54" ht="40" customHeight="1" x14ac:dyDescent="0.75">
      <c r="A14" s="145">
        <v>9</v>
      </c>
      <c r="B14" s="146" t="s">
        <v>29</v>
      </c>
      <c r="C14" s="147" t="s">
        <v>28</v>
      </c>
      <c r="D14" s="44">
        <v>11</v>
      </c>
      <c r="E14" s="45">
        <v>14</v>
      </c>
      <c r="F14" s="45">
        <v>43</v>
      </c>
      <c r="G14" s="5">
        <f t="shared" si="9"/>
        <v>68</v>
      </c>
      <c r="H14" s="48">
        <v>11</v>
      </c>
      <c r="I14" s="49">
        <v>14</v>
      </c>
      <c r="J14" s="49">
        <v>43</v>
      </c>
      <c r="K14" s="6">
        <f t="shared" si="0"/>
        <v>68</v>
      </c>
      <c r="L14" s="52">
        <v>11</v>
      </c>
      <c r="M14" s="53">
        <v>14</v>
      </c>
      <c r="N14" s="53">
        <v>43</v>
      </c>
      <c r="O14" s="7">
        <f t="shared" si="1"/>
        <v>68</v>
      </c>
      <c r="P14" s="56">
        <v>11</v>
      </c>
      <c r="Q14" s="57">
        <v>14</v>
      </c>
      <c r="R14" s="57">
        <v>43</v>
      </c>
      <c r="S14" s="8">
        <f t="shared" si="2"/>
        <v>68</v>
      </c>
      <c r="T14" s="44">
        <v>11</v>
      </c>
      <c r="U14" s="45">
        <v>14</v>
      </c>
      <c r="V14" s="45">
        <v>43</v>
      </c>
      <c r="W14" s="5">
        <f t="shared" si="3"/>
        <v>68</v>
      </c>
      <c r="X14" s="48">
        <v>11</v>
      </c>
      <c r="Y14" s="49">
        <v>14</v>
      </c>
      <c r="Z14" s="49">
        <v>43</v>
      </c>
      <c r="AA14" s="6">
        <f t="shared" si="4"/>
        <v>68</v>
      </c>
      <c r="AB14" s="52">
        <v>11</v>
      </c>
      <c r="AC14" s="53">
        <v>14</v>
      </c>
      <c r="AD14" s="53">
        <v>43</v>
      </c>
      <c r="AE14" s="7">
        <f t="shared" si="5"/>
        <v>68</v>
      </c>
      <c r="AF14" s="56">
        <v>11</v>
      </c>
      <c r="AG14" s="57">
        <v>14</v>
      </c>
      <c r="AH14" s="57">
        <v>43</v>
      </c>
      <c r="AI14" s="8">
        <f t="shared" si="6"/>
        <v>68</v>
      </c>
      <c r="AJ14" s="44">
        <v>11</v>
      </c>
      <c r="AK14" s="45">
        <v>14</v>
      </c>
      <c r="AL14" s="45">
        <v>43</v>
      </c>
      <c r="AM14" s="5">
        <f t="shared" si="7"/>
        <v>68</v>
      </c>
      <c r="AN14" s="48">
        <v>11</v>
      </c>
      <c r="AO14" s="49">
        <v>14</v>
      </c>
      <c r="AP14" s="49">
        <v>43</v>
      </c>
      <c r="AQ14" s="6">
        <f t="shared" si="8"/>
        <v>68</v>
      </c>
      <c r="AR14" s="52">
        <v>117</v>
      </c>
      <c r="AS14" s="53">
        <v>1</v>
      </c>
      <c r="AT14" s="53" t="s">
        <v>81</v>
      </c>
      <c r="AU14" s="53" t="s">
        <v>88</v>
      </c>
      <c r="AV14" s="115">
        <v>41760</v>
      </c>
      <c r="AW14" s="112"/>
      <c r="AX14" s="124" t="s">
        <v>192</v>
      </c>
      <c r="AY14" s="60"/>
      <c r="AZ14" s="61"/>
      <c r="BA14" s="60" t="s">
        <v>158</v>
      </c>
      <c r="BB14" s="61" t="s">
        <v>159</v>
      </c>
    </row>
    <row r="15" spans="1:54" ht="40" customHeight="1" x14ac:dyDescent="0.75">
      <c r="A15" s="145">
        <v>10</v>
      </c>
      <c r="B15" s="146" t="s">
        <v>1</v>
      </c>
      <c r="C15" s="147" t="s">
        <v>0</v>
      </c>
      <c r="D15" s="44">
        <v>17</v>
      </c>
      <c r="E15" s="45">
        <v>15</v>
      </c>
      <c r="F15" s="45">
        <v>50</v>
      </c>
      <c r="G15" s="5">
        <f t="shared" si="9"/>
        <v>82</v>
      </c>
      <c r="H15" s="48">
        <v>15</v>
      </c>
      <c r="I15" s="49">
        <v>15</v>
      </c>
      <c r="J15" s="49">
        <v>50</v>
      </c>
      <c r="K15" s="6">
        <f t="shared" si="0"/>
        <v>80</v>
      </c>
      <c r="L15" s="52">
        <v>15</v>
      </c>
      <c r="M15" s="53">
        <v>15</v>
      </c>
      <c r="N15" s="53">
        <v>50</v>
      </c>
      <c r="O15" s="7">
        <f t="shared" si="1"/>
        <v>80</v>
      </c>
      <c r="P15" s="56">
        <v>15</v>
      </c>
      <c r="Q15" s="57">
        <v>15</v>
      </c>
      <c r="R15" s="57">
        <v>50</v>
      </c>
      <c r="S15" s="8">
        <f t="shared" si="2"/>
        <v>80</v>
      </c>
      <c r="T15" s="44">
        <v>15</v>
      </c>
      <c r="U15" s="45">
        <v>15</v>
      </c>
      <c r="V15" s="45">
        <v>50</v>
      </c>
      <c r="W15" s="5">
        <f t="shared" si="3"/>
        <v>80</v>
      </c>
      <c r="X15" s="48">
        <v>15</v>
      </c>
      <c r="Y15" s="49">
        <v>15</v>
      </c>
      <c r="Z15" s="49">
        <v>50</v>
      </c>
      <c r="AA15" s="6">
        <f t="shared" si="4"/>
        <v>80</v>
      </c>
      <c r="AB15" s="52">
        <v>15</v>
      </c>
      <c r="AC15" s="53">
        <v>15</v>
      </c>
      <c r="AD15" s="53">
        <v>50</v>
      </c>
      <c r="AE15" s="7">
        <f t="shared" si="5"/>
        <v>80</v>
      </c>
      <c r="AF15" s="56">
        <v>15</v>
      </c>
      <c r="AG15" s="57">
        <v>15</v>
      </c>
      <c r="AH15" s="57">
        <v>50</v>
      </c>
      <c r="AI15" s="8">
        <f t="shared" si="6"/>
        <v>80</v>
      </c>
      <c r="AJ15" s="44">
        <v>15</v>
      </c>
      <c r="AK15" s="45">
        <v>15</v>
      </c>
      <c r="AL15" s="45">
        <v>50</v>
      </c>
      <c r="AM15" s="5">
        <f t="shared" si="7"/>
        <v>80</v>
      </c>
      <c r="AN15" s="48">
        <v>15</v>
      </c>
      <c r="AO15" s="49">
        <v>15</v>
      </c>
      <c r="AP15" s="49">
        <v>50</v>
      </c>
      <c r="AQ15" s="6">
        <f t="shared" si="8"/>
        <v>80</v>
      </c>
      <c r="AR15" s="52">
        <v>112</v>
      </c>
      <c r="AS15" s="53">
        <v>6</v>
      </c>
      <c r="AT15" s="53" t="s">
        <v>82</v>
      </c>
      <c r="AU15" s="53" t="s">
        <v>89</v>
      </c>
      <c r="AV15" s="115">
        <v>41911</v>
      </c>
      <c r="AW15" s="112"/>
      <c r="AX15" s="124" t="s">
        <v>193</v>
      </c>
      <c r="AY15" s="60"/>
      <c r="AZ15" s="61"/>
      <c r="BA15" s="60" t="s">
        <v>158</v>
      </c>
      <c r="BB15" s="61" t="s">
        <v>159</v>
      </c>
    </row>
    <row r="16" spans="1:54" ht="40" customHeight="1" x14ac:dyDescent="0.75">
      <c r="A16" s="145">
        <v>11</v>
      </c>
      <c r="B16" s="146" t="s">
        <v>35</v>
      </c>
      <c r="C16" s="147" t="s">
        <v>34</v>
      </c>
      <c r="D16" s="44">
        <v>18</v>
      </c>
      <c r="E16" s="45">
        <v>16</v>
      </c>
      <c r="F16" s="45">
        <v>42</v>
      </c>
      <c r="G16" s="5">
        <f t="shared" si="9"/>
        <v>76</v>
      </c>
      <c r="H16" s="48">
        <v>18</v>
      </c>
      <c r="I16" s="49">
        <v>16</v>
      </c>
      <c r="J16" s="49">
        <v>42</v>
      </c>
      <c r="K16" s="6">
        <f t="shared" si="0"/>
        <v>76</v>
      </c>
      <c r="L16" s="52">
        <v>18</v>
      </c>
      <c r="M16" s="53">
        <v>16</v>
      </c>
      <c r="N16" s="53">
        <v>42</v>
      </c>
      <c r="O16" s="7">
        <f t="shared" si="1"/>
        <v>76</v>
      </c>
      <c r="P16" s="56">
        <v>18</v>
      </c>
      <c r="Q16" s="57">
        <v>16</v>
      </c>
      <c r="R16" s="57">
        <v>42</v>
      </c>
      <c r="S16" s="8">
        <f t="shared" si="2"/>
        <v>76</v>
      </c>
      <c r="T16" s="44">
        <v>18</v>
      </c>
      <c r="U16" s="45">
        <v>16</v>
      </c>
      <c r="V16" s="45">
        <v>42</v>
      </c>
      <c r="W16" s="5">
        <f t="shared" si="3"/>
        <v>76</v>
      </c>
      <c r="X16" s="48">
        <v>18</v>
      </c>
      <c r="Y16" s="49">
        <v>16</v>
      </c>
      <c r="Z16" s="49">
        <v>42</v>
      </c>
      <c r="AA16" s="6">
        <f t="shared" si="4"/>
        <v>76</v>
      </c>
      <c r="AB16" s="52">
        <v>18</v>
      </c>
      <c r="AC16" s="53">
        <v>16</v>
      </c>
      <c r="AD16" s="53">
        <v>42</v>
      </c>
      <c r="AE16" s="7">
        <f t="shared" si="5"/>
        <v>76</v>
      </c>
      <c r="AF16" s="56">
        <v>18</v>
      </c>
      <c r="AG16" s="57">
        <v>16</v>
      </c>
      <c r="AH16" s="57">
        <v>42</v>
      </c>
      <c r="AI16" s="8">
        <f t="shared" si="6"/>
        <v>76</v>
      </c>
      <c r="AJ16" s="44">
        <v>18</v>
      </c>
      <c r="AK16" s="45">
        <v>16</v>
      </c>
      <c r="AL16" s="45">
        <v>42</v>
      </c>
      <c r="AM16" s="5">
        <f t="shared" si="7"/>
        <v>76</v>
      </c>
      <c r="AN16" s="48">
        <v>18</v>
      </c>
      <c r="AO16" s="49">
        <v>16</v>
      </c>
      <c r="AP16" s="49">
        <v>42</v>
      </c>
      <c r="AQ16" s="6">
        <f t="shared" si="8"/>
        <v>76</v>
      </c>
      <c r="AR16" s="52">
        <v>118</v>
      </c>
      <c r="AS16" s="53">
        <v>0</v>
      </c>
      <c r="AT16" s="53" t="s">
        <v>83</v>
      </c>
      <c r="AU16" s="53" t="s">
        <v>90</v>
      </c>
      <c r="AV16" s="115">
        <v>41693</v>
      </c>
      <c r="AW16" s="112"/>
      <c r="AX16" s="124" t="s">
        <v>194</v>
      </c>
      <c r="AY16" s="60"/>
      <c r="AZ16" s="61"/>
      <c r="BA16" s="60" t="s">
        <v>158</v>
      </c>
      <c r="BB16" s="61" t="s">
        <v>159</v>
      </c>
    </row>
    <row r="17" spans="1:54" ht="40" customHeight="1" x14ac:dyDescent="0.75">
      <c r="A17" s="145">
        <v>12</v>
      </c>
      <c r="B17" s="146" t="s">
        <v>33</v>
      </c>
      <c r="C17" s="147" t="s">
        <v>32</v>
      </c>
      <c r="D17" s="44">
        <v>19</v>
      </c>
      <c r="E17" s="45">
        <v>17</v>
      </c>
      <c r="F17" s="45">
        <v>52</v>
      </c>
      <c r="G17" s="5">
        <f t="shared" si="9"/>
        <v>88</v>
      </c>
      <c r="H17" s="48">
        <v>19</v>
      </c>
      <c r="I17" s="49">
        <v>17</v>
      </c>
      <c r="J17" s="49">
        <v>52</v>
      </c>
      <c r="K17" s="6">
        <f t="shared" si="0"/>
        <v>88</v>
      </c>
      <c r="L17" s="52">
        <v>19</v>
      </c>
      <c r="M17" s="53">
        <v>17</v>
      </c>
      <c r="N17" s="53">
        <v>52</v>
      </c>
      <c r="O17" s="7">
        <f t="shared" si="1"/>
        <v>88</v>
      </c>
      <c r="P17" s="56">
        <v>19</v>
      </c>
      <c r="Q17" s="57">
        <v>17</v>
      </c>
      <c r="R17" s="57">
        <v>52</v>
      </c>
      <c r="S17" s="8">
        <f t="shared" si="2"/>
        <v>88</v>
      </c>
      <c r="T17" s="44">
        <v>19</v>
      </c>
      <c r="U17" s="45">
        <v>17</v>
      </c>
      <c r="V17" s="45">
        <v>52</v>
      </c>
      <c r="W17" s="5">
        <f t="shared" si="3"/>
        <v>88</v>
      </c>
      <c r="X17" s="48">
        <v>19</v>
      </c>
      <c r="Y17" s="49">
        <v>17</v>
      </c>
      <c r="Z17" s="49">
        <v>52</v>
      </c>
      <c r="AA17" s="6">
        <f t="shared" si="4"/>
        <v>88</v>
      </c>
      <c r="AB17" s="52">
        <v>19</v>
      </c>
      <c r="AC17" s="53">
        <v>17</v>
      </c>
      <c r="AD17" s="53">
        <v>52</v>
      </c>
      <c r="AE17" s="7">
        <f t="shared" si="5"/>
        <v>88</v>
      </c>
      <c r="AF17" s="56">
        <v>19</v>
      </c>
      <c r="AG17" s="57">
        <v>17</v>
      </c>
      <c r="AH17" s="57">
        <v>52</v>
      </c>
      <c r="AI17" s="8">
        <f t="shared" si="6"/>
        <v>88</v>
      </c>
      <c r="AJ17" s="44">
        <v>19</v>
      </c>
      <c r="AK17" s="45">
        <v>17</v>
      </c>
      <c r="AL17" s="45">
        <v>52</v>
      </c>
      <c r="AM17" s="5">
        <f t="shared" si="7"/>
        <v>88</v>
      </c>
      <c r="AN17" s="48">
        <v>19</v>
      </c>
      <c r="AO17" s="49">
        <v>17</v>
      </c>
      <c r="AP17" s="49">
        <v>52</v>
      </c>
      <c r="AQ17" s="6">
        <f t="shared" si="8"/>
        <v>88</v>
      </c>
      <c r="AR17" s="52">
        <v>114</v>
      </c>
      <c r="AS17" s="53">
        <v>4</v>
      </c>
      <c r="AT17" s="53" t="s">
        <v>84</v>
      </c>
      <c r="AU17" s="53" t="s">
        <v>91</v>
      </c>
      <c r="AV17" s="115">
        <v>41751</v>
      </c>
      <c r="AW17" s="112"/>
      <c r="AX17" s="124" t="s">
        <v>195</v>
      </c>
      <c r="AY17" s="60"/>
      <c r="AZ17" s="61"/>
      <c r="BA17" s="60" t="s">
        <v>158</v>
      </c>
      <c r="BB17" s="61" t="s">
        <v>159</v>
      </c>
    </row>
    <row r="18" spans="1:54" ht="40" customHeight="1" x14ac:dyDescent="0.75">
      <c r="A18" s="145">
        <v>13</v>
      </c>
      <c r="B18" s="146" t="s">
        <v>37</v>
      </c>
      <c r="C18" s="147" t="s">
        <v>36</v>
      </c>
      <c r="D18" s="44">
        <v>12</v>
      </c>
      <c r="E18" s="45">
        <v>15</v>
      </c>
      <c r="F18" s="45">
        <v>47</v>
      </c>
      <c r="G18" s="5">
        <f t="shared" si="9"/>
        <v>74</v>
      </c>
      <c r="H18" s="48">
        <v>12</v>
      </c>
      <c r="I18" s="49">
        <v>15</v>
      </c>
      <c r="J18" s="49">
        <v>47</v>
      </c>
      <c r="K18" s="6">
        <f t="shared" si="0"/>
        <v>74</v>
      </c>
      <c r="L18" s="52">
        <v>12</v>
      </c>
      <c r="M18" s="53">
        <v>15</v>
      </c>
      <c r="N18" s="53">
        <v>47</v>
      </c>
      <c r="O18" s="7">
        <f t="shared" si="1"/>
        <v>74</v>
      </c>
      <c r="P18" s="56">
        <v>12</v>
      </c>
      <c r="Q18" s="57">
        <v>15</v>
      </c>
      <c r="R18" s="57">
        <v>47</v>
      </c>
      <c r="S18" s="8">
        <f t="shared" si="2"/>
        <v>74</v>
      </c>
      <c r="T18" s="44">
        <v>12</v>
      </c>
      <c r="U18" s="45">
        <v>15</v>
      </c>
      <c r="V18" s="45">
        <v>47</v>
      </c>
      <c r="W18" s="5">
        <f t="shared" si="3"/>
        <v>74</v>
      </c>
      <c r="X18" s="48">
        <v>12</v>
      </c>
      <c r="Y18" s="49">
        <v>15</v>
      </c>
      <c r="Z18" s="49">
        <v>47</v>
      </c>
      <c r="AA18" s="6">
        <f t="shared" si="4"/>
        <v>74</v>
      </c>
      <c r="AB18" s="52">
        <v>12</v>
      </c>
      <c r="AC18" s="53">
        <v>15</v>
      </c>
      <c r="AD18" s="53">
        <v>47</v>
      </c>
      <c r="AE18" s="7">
        <f t="shared" si="5"/>
        <v>74</v>
      </c>
      <c r="AF18" s="56">
        <v>12</v>
      </c>
      <c r="AG18" s="57">
        <v>15</v>
      </c>
      <c r="AH18" s="57">
        <v>47</v>
      </c>
      <c r="AI18" s="8">
        <f t="shared" si="6"/>
        <v>74</v>
      </c>
      <c r="AJ18" s="44">
        <v>12</v>
      </c>
      <c r="AK18" s="45">
        <v>15</v>
      </c>
      <c r="AL18" s="45">
        <v>47</v>
      </c>
      <c r="AM18" s="5">
        <f t="shared" si="7"/>
        <v>74</v>
      </c>
      <c r="AN18" s="48">
        <v>12</v>
      </c>
      <c r="AO18" s="49">
        <v>15</v>
      </c>
      <c r="AP18" s="49">
        <v>47</v>
      </c>
      <c r="AQ18" s="6">
        <f t="shared" si="8"/>
        <v>74</v>
      </c>
      <c r="AR18" s="52">
        <v>118</v>
      </c>
      <c r="AS18" s="53">
        <v>0</v>
      </c>
      <c r="AT18" s="53" t="s">
        <v>85</v>
      </c>
      <c r="AU18" s="53" t="s">
        <v>92</v>
      </c>
      <c r="AV18" s="115">
        <v>41787</v>
      </c>
      <c r="AW18" s="112"/>
      <c r="AX18" s="124" t="s">
        <v>196</v>
      </c>
      <c r="AY18" s="60"/>
      <c r="AZ18" s="61"/>
      <c r="BA18" s="60" t="s">
        <v>158</v>
      </c>
      <c r="BB18" s="61" t="s">
        <v>159</v>
      </c>
    </row>
    <row r="19" spans="1:54" ht="40" customHeight="1" x14ac:dyDescent="0.75">
      <c r="A19" s="145">
        <v>14</v>
      </c>
      <c r="B19" s="146" t="s">
        <v>17</v>
      </c>
      <c r="C19" s="147" t="s">
        <v>16</v>
      </c>
      <c r="D19" s="44">
        <v>16</v>
      </c>
      <c r="E19" s="45">
        <v>17</v>
      </c>
      <c r="F19" s="45">
        <v>49</v>
      </c>
      <c r="G19" s="5">
        <f t="shared" si="9"/>
        <v>82</v>
      </c>
      <c r="H19" s="48">
        <v>16</v>
      </c>
      <c r="I19" s="49">
        <v>17</v>
      </c>
      <c r="J19" s="49">
        <v>49</v>
      </c>
      <c r="K19" s="6">
        <f t="shared" si="0"/>
        <v>82</v>
      </c>
      <c r="L19" s="52">
        <v>16</v>
      </c>
      <c r="M19" s="53">
        <v>17</v>
      </c>
      <c r="N19" s="53">
        <v>49</v>
      </c>
      <c r="O19" s="7">
        <f t="shared" si="1"/>
        <v>82</v>
      </c>
      <c r="P19" s="56">
        <v>16</v>
      </c>
      <c r="Q19" s="57">
        <v>17</v>
      </c>
      <c r="R19" s="57">
        <v>49</v>
      </c>
      <c r="S19" s="8">
        <f t="shared" si="2"/>
        <v>82</v>
      </c>
      <c r="T19" s="44">
        <v>16</v>
      </c>
      <c r="U19" s="45">
        <v>17</v>
      </c>
      <c r="V19" s="45">
        <v>49</v>
      </c>
      <c r="W19" s="5">
        <f t="shared" si="3"/>
        <v>82</v>
      </c>
      <c r="X19" s="48">
        <v>16</v>
      </c>
      <c r="Y19" s="49">
        <v>17</v>
      </c>
      <c r="Z19" s="49">
        <v>49</v>
      </c>
      <c r="AA19" s="6">
        <f t="shared" si="4"/>
        <v>82</v>
      </c>
      <c r="AB19" s="52">
        <v>16</v>
      </c>
      <c r="AC19" s="53">
        <v>17</v>
      </c>
      <c r="AD19" s="53">
        <v>49</v>
      </c>
      <c r="AE19" s="7">
        <f t="shared" si="5"/>
        <v>82</v>
      </c>
      <c r="AF19" s="56">
        <v>16</v>
      </c>
      <c r="AG19" s="57">
        <v>17</v>
      </c>
      <c r="AH19" s="57">
        <v>49</v>
      </c>
      <c r="AI19" s="8">
        <f t="shared" si="6"/>
        <v>82</v>
      </c>
      <c r="AJ19" s="44">
        <v>16</v>
      </c>
      <c r="AK19" s="45">
        <v>17</v>
      </c>
      <c r="AL19" s="45">
        <v>49</v>
      </c>
      <c r="AM19" s="5">
        <f t="shared" si="7"/>
        <v>82</v>
      </c>
      <c r="AN19" s="48">
        <v>16</v>
      </c>
      <c r="AO19" s="49">
        <v>17</v>
      </c>
      <c r="AP19" s="49">
        <v>49</v>
      </c>
      <c r="AQ19" s="6">
        <f t="shared" si="8"/>
        <v>82</v>
      </c>
      <c r="AR19" s="52">
        <v>117</v>
      </c>
      <c r="AS19" s="53">
        <v>1</v>
      </c>
      <c r="AT19" s="53" t="s">
        <v>83</v>
      </c>
      <c r="AU19" s="53" t="s">
        <v>93</v>
      </c>
      <c r="AV19" s="115">
        <v>41907</v>
      </c>
      <c r="AW19" s="112"/>
      <c r="AX19" s="124" t="s">
        <v>197</v>
      </c>
      <c r="AY19" s="60"/>
      <c r="AZ19" s="61"/>
      <c r="BA19" s="60" t="s">
        <v>158</v>
      </c>
      <c r="BB19" s="61" t="s">
        <v>159</v>
      </c>
    </row>
    <row r="20" spans="1:54" ht="40" customHeight="1" x14ac:dyDescent="0.75">
      <c r="A20" s="145">
        <v>15</v>
      </c>
      <c r="B20" s="146" t="s">
        <v>43</v>
      </c>
      <c r="C20" s="147" t="s">
        <v>42</v>
      </c>
      <c r="D20" s="44">
        <v>18</v>
      </c>
      <c r="E20" s="45">
        <v>15</v>
      </c>
      <c r="F20" s="45">
        <v>57</v>
      </c>
      <c r="G20" s="5">
        <f t="shared" si="9"/>
        <v>90</v>
      </c>
      <c r="H20" s="48">
        <v>18</v>
      </c>
      <c r="I20" s="49">
        <v>15</v>
      </c>
      <c r="J20" s="49">
        <v>57</v>
      </c>
      <c r="K20" s="6">
        <f t="shared" si="0"/>
        <v>90</v>
      </c>
      <c r="L20" s="52">
        <v>18</v>
      </c>
      <c r="M20" s="53">
        <v>15</v>
      </c>
      <c r="N20" s="53">
        <v>57</v>
      </c>
      <c r="O20" s="7">
        <f t="shared" si="1"/>
        <v>90</v>
      </c>
      <c r="P20" s="56">
        <v>18</v>
      </c>
      <c r="Q20" s="57">
        <v>15</v>
      </c>
      <c r="R20" s="57">
        <v>57</v>
      </c>
      <c r="S20" s="8">
        <f t="shared" si="2"/>
        <v>90</v>
      </c>
      <c r="T20" s="44">
        <v>18</v>
      </c>
      <c r="U20" s="45">
        <v>15</v>
      </c>
      <c r="V20" s="45">
        <v>57</v>
      </c>
      <c r="W20" s="5">
        <f t="shared" si="3"/>
        <v>90</v>
      </c>
      <c r="X20" s="48">
        <v>18</v>
      </c>
      <c r="Y20" s="49">
        <v>15</v>
      </c>
      <c r="Z20" s="49">
        <v>57</v>
      </c>
      <c r="AA20" s="6">
        <f t="shared" si="4"/>
        <v>90</v>
      </c>
      <c r="AB20" s="52">
        <v>18</v>
      </c>
      <c r="AC20" s="53">
        <v>15</v>
      </c>
      <c r="AD20" s="53">
        <v>57</v>
      </c>
      <c r="AE20" s="7">
        <f t="shared" si="5"/>
        <v>90</v>
      </c>
      <c r="AF20" s="56">
        <v>18</v>
      </c>
      <c r="AG20" s="57">
        <v>15</v>
      </c>
      <c r="AH20" s="57">
        <v>57</v>
      </c>
      <c r="AI20" s="8">
        <f t="shared" si="6"/>
        <v>90</v>
      </c>
      <c r="AJ20" s="44">
        <v>18</v>
      </c>
      <c r="AK20" s="45">
        <v>15</v>
      </c>
      <c r="AL20" s="45">
        <v>57</v>
      </c>
      <c r="AM20" s="5">
        <f t="shared" si="7"/>
        <v>90</v>
      </c>
      <c r="AN20" s="48">
        <v>18</v>
      </c>
      <c r="AO20" s="49">
        <v>15</v>
      </c>
      <c r="AP20" s="49">
        <v>57</v>
      </c>
      <c r="AQ20" s="6">
        <f t="shared" si="8"/>
        <v>90</v>
      </c>
      <c r="AR20" s="52">
        <v>115</v>
      </c>
      <c r="AS20" s="53">
        <v>3</v>
      </c>
      <c r="AT20" s="53" t="s">
        <v>86</v>
      </c>
      <c r="AU20" s="53" t="s">
        <v>94</v>
      </c>
      <c r="AV20" s="115">
        <v>41746</v>
      </c>
      <c r="AW20" s="112"/>
      <c r="AX20" s="124" t="s">
        <v>198</v>
      </c>
      <c r="AY20" s="60"/>
      <c r="AZ20" s="61"/>
      <c r="BA20" s="60" t="s">
        <v>158</v>
      </c>
      <c r="BB20" s="61" t="s">
        <v>159</v>
      </c>
    </row>
    <row r="21" spans="1:54" ht="40" customHeight="1" x14ac:dyDescent="0.75">
      <c r="A21" s="145">
        <v>16</v>
      </c>
      <c r="B21" s="146" t="s">
        <v>31</v>
      </c>
      <c r="C21" s="147" t="s">
        <v>30</v>
      </c>
      <c r="D21" s="44">
        <v>17</v>
      </c>
      <c r="E21" s="45">
        <v>11</v>
      </c>
      <c r="F21" s="45">
        <v>46</v>
      </c>
      <c r="G21" s="5">
        <f t="shared" si="9"/>
        <v>74</v>
      </c>
      <c r="H21" s="48">
        <v>17</v>
      </c>
      <c r="I21" s="49">
        <v>11</v>
      </c>
      <c r="J21" s="49">
        <v>46</v>
      </c>
      <c r="K21" s="6">
        <f t="shared" si="0"/>
        <v>74</v>
      </c>
      <c r="L21" s="52">
        <v>17</v>
      </c>
      <c r="M21" s="53">
        <v>11</v>
      </c>
      <c r="N21" s="53">
        <v>46</v>
      </c>
      <c r="O21" s="7">
        <f t="shared" si="1"/>
        <v>74</v>
      </c>
      <c r="P21" s="56">
        <v>17</v>
      </c>
      <c r="Q21" s="57">
        <v>11</v>
      </c>
      <c r="R21" s="57">
        <v>46</v>
      </c>
      <c r="S21" s="8">
        <f t="shared" si="2"/>
        <v>74</v>
      </c>
      <c r="T21" s="44">
        <v>17</v>
      </c>
      <c r="U21" s="45">
        <v>11</v>
      </c>
      <c r="V21" s="45">
        <v>46</v>
      </c>
      <c r="W21" s="5">
        <f t="shared" si="3"/>
        <v>74</v>
      </c>
      <c r="X21" s="48">
        <v>17</v>
      </c>
      <c r="Y21" s="49">
        <v>11</v>
      </c>
      <c r="Z21" s="49">
        <v>46</v>
      </c>
      <c r="AA21" s="6">
        <f t="shared" si="4"/>
        <v>74</v>
      </c>
      <c r="AB21" s="52">
        <v>17</v>
      </c>
      <c r="AC21" s="53">
        <v>11</v>
      </c>
      <c r="AD21" s="53">
        <v>46</v>
      </c>
      <c r="AE21" s="7">
        <f t="shared" si="5"/>
        <v>74</v>
      </c>
      <c r="AF21" s="56">
        <v>17</v>
      </c>
      <c r="AG21" s="57">
        <v>11</v>
      </c>
      <c r="AH21" s="57">
        <v>46</v>
      </c>
      <c r="AI21" s="8">
        <f t="shared" si="6"/>
        <v>74</v>
      </c>
      <c r="AJ21" s="44">
        <v>17</v>
      </c>
      <c r="AK21" s="45">
        <v>11</v>
      </c>
      <c r="AL21" s="45">
        <v>46</v>
      </c>
      <c r="AM21" s="5">
        <f t="shared" si="7"/>
        <v>74</v>
      </c>
      <c r="AN21" s="48">
        <v>17</v>
      </c>
      <c r="AO21" s="49">
        <v>11</v>
      </c>
      <c r="AP21" s="49">
        <v>46</v>
      </c>
      <c r="AQ21" s="6">
        <f t="shared" si="8"/>
        <v>74</v>
      </c>
      <c r="AR21" s="52">
        <v>116</v>
      </c>
      <c r="AS21" s="53">
        <v>2</v>
      </c>
      <c r="AT21" s="53" t="s">
        <v>87</v>
      </c>
      <c r="AU21" s="53" t="s">
        <v>95</v>
      </c>
      <c r="AV21" s="115">
        <v>41923</v>
      </c>
      <c r="AW21" s="112"/>
      <c r="AX21" s="124" t="s">
        <v>199</v>
      </c>
      <c r="AY21" s="60"/>
      <c r="AZ21" s="61"/>
      <c r="BA21" s="60" t="s">
        <v>158</v>
      </c>
      <c r="BB21" s="61" t="s">
        <v>159</v>
      </c>
    </row>
    <row r="22" spans="1:54" ht="40" customHeight="1" x14ac:dyDescent="0.75">
      <c r="A22" s="145">
        <v>17</v>
      </c>
      <c r="B22" s="146" t="s">
        <v>3</v>
      </c>
      <c r="C22" s="147" t="s">
        <v>2</v>
      </c>
      <c r="D22" s="44">
        <v>11</v>
      </c>
      <c r="E22" s="45">
        <v>13</v>
      </c>
      <c r="F22" s="45">
        <v>40</v>
      </c>
      <c r="G22" s="5">
        <f t="shared" si="9"/>
        <v>64</v>
      </c>
      <c r="H22" s="48">
        <v>11</v>
      </c>
      <c r="I22" s="49">
        <v>13</v>
      </c>
      <c r="J22" s="49">
        <v>40</v>
      </c>
      <c r="K22" s="6">
        <f t="shared" si="0"/>
        <v>64</v>
      </c>
      <c r="L22" s="52">
        <v>11</v>
      </c>
      <c r="M22" s="53">
        <v>13</v>
      </c>
      <c r="N22" s="53">
        <v>40</v>
      </c>
      <c r="O22" s="7">
        <f t="shared" si="1"/>
        <v>64</v>
      </c>
      <c r="P22" s="56">
        <v>11</v>
      </c>
      <c r="Q22" s="57">
        <v>13</v>
      </c>
      <c r="R22" s="57">
        <v>40</v>
      </c>
      <c r="S22" s="8">
        <f t="shared" si="2"/>
        <v>64</v>
      </c>
      <c r="T22" s="44">
        <v>11</v>
      </c>
      <c r="U22" s="45">
        <v>13</v>
      </c>
      <c r="V22" s="45">
        <v>40</v>
      </c>
      <c r="W22" s="5">
        <f t="shared" si="3"/>
        <v>64</v>
      </c>
      <c r="X22" s="48">
        <v>11</v>
      </c>
      <c r="Y22" s="49">
        <v>13</v>
      </c>
      <c r="Z22" s="49">
        <v>40</v>
      </c>
      <c r="AA22" s="6">
        <f t="shared" si="4"/>
        <v>64</v>
      </c>
      <c r="AB22" s="52">
        <v>11</v>
      </c>
      <c r="AC22" s="53">
        <v>13</v>
      </c>
      <c r="AD22" s="53">
        <v>40</v>
      </c>
      <c r="AE22" s="7">
        <f t="shared" si="5"/>
        <v>64</v>
      </c>
      <c r="AF22" s="56">
        <v>11</v>
      </c>
      <c r="AG22" s="57">
        <v>13</v>
      </c>
      <c r="AH22" s="57">
        <v>40</v>
      </c>
      <c r="AI22" s="8">
        <f t="shared" si="6"/>
        <v>64</v>
      </c>
      <c r="AJ22" s="44">
        <v>11</v>
      </c>
      <c r="AK22" s="45">
        <v>13</v>
      </c>
      <c r="AL22" s="45">
        <v>40</v>
      </c>
      <c r="AM22" s="5">
        <f t="shared" si="7"/>
        <v>64</v>
      </c>
      <c r="AN22" s="48">
        <v>11</v>
      </c>
      <c r="AO22" s="49">
        <v>13</v>
      </c>
      <c r="AP22" s="49">
        <v>40</v>
      </c>
      <c r="AQ22" s="6">
        <f t="shared" si="8"/>
        <v>64</v>
      </c>
      <c r="AR22" s="52">
        <v>117</v>
      </c>
      <c r="AS22" s="53">
        <v>1</v>
      </c>
      <c r="AT22" s="53" t="s">
        <v>81</v>
      </c>
      <c r="AU22" s="53" t="s">
        <v>88</v>
      </c>
      <c r="AV22" s="114">
        <v>41918</v>
      </c>
      <c r="AW22" s="111"/>
      <c r="AX22" s="124" t="s">
        <v>200</v>
      </c>
      <c r="AY22" s="60"/>
      <c r="AZ22" s="61"/>
      <c r="BA22" s="60" t="s">
        <v>158</v>
      </c>
      <c r="BB22" s="61" t="s">
        <v>159</v>
      </c>
    </row>
    <row r="23" spans="1:54" ht="40" customHeight="1" x14ac:dyDescent="0.75">
      <c r="A23" s="145">
        <v>18</v>
      </c>
      <c r="B23" s="146" t="s">
        <v>41</v>
      </c>
      <c r="C23" s="147" t="s">
        <v>40</v>
      </c>
      <c r="D23" s="44">
        <v>8</v>
      </c>
      <c r="E23" s="45">
        <v>15</v>
      </c>
      <c r="F23" s="45">
        <v>38</v>
      </c>
      <c r="G23" s="5">
        <f t="shared" si="9"/>
        <v>61</v>
      </c>
      <c r="H23" s="48">
        <v>9</v>
      </c>
      <c r="I23" s="49">
        <v>15</v>
      </c>
      <c r="J23" s="49">
        <v>45</v>
      </c>
      <c r="K23" s="6">
        <f t="shared" si="0"/>
        <v>69</v>
      </c>
      <c r="L23" s="52">
        <v>9</v>
      </c>
      <c r="M23" s="53">
        <v>15</v>
      </c>
      <c r="N23" s="53">
        <v>45</v>
      </c>
      <c r="O23" s="7">
        <f t="shared" si="1"/>
        <v>69</v>
      </c>
      <c r="P23" s="56">
        <v>9</v>
      </c>
      <c r="Q23" s="57">
        <v>15</v>
      </c>
      <c r="R23" s="57">
        <v>45</v>
      </c>
      <c r="S23" s="8">
        <f t="shared" si="2"/>
        <v>69</v>
      </c>
      <c r="T23" s="44">
        <v>9</v>
      </c>
      <c r="U23" s="45">
        <v>15</v>
      </c>
      <c r="V23" s="45">
        <v>45</v>
      </c>
      <c r="W23" s="5">
        <f t="shared" si="3"/>
        <v>69</v>
      </c>
      <c r="X23" s="48">
        <v>9</v>
      </c>
      <c r="Y23" s="49">
        <v>15</v>
      </c>
      <c r="Z23" s="49">
        <v>45</v>
      </c>
      <c r="AA23" s="6">
        <f t="shared" si="4"/>
        <v>69</v>
      </c>
      <c r="AB23" s="52">
        <v>10</v>
      </c>
      <c r="AC23" s="53">
        <v>15</v>
      </c>
      <c r="AD23" s="53">
        <v>45</v>
      </c>
      <c r="AE23" s="7">
        <f t="shared" si="5"/>
        <v>70</v>
      </c>
      <c r="AF23" s="56">
        <v>9</v>
      </c>
      <c r="AG23" s="57">
        <v>15</v>
      </c>
      <c r="AH23" s="57">
        <v>45</v>
      </c>
      <c r="AI23" s="8">
        <f t="shared" si="6"/>
        <v>69</v>
      </c>
      <c r="AJ23" s="44">
        <v>9</v>
      </c>
      <c r="AK23" s="45">
        <v>15</v>
      </c>
      <c r="AL23" s="45">
        <v>45</v>
      </c>
      <c r="AM23" s="5">
        <f t="shared" si="7"/>
        <v>69</v>
      </c>
      <c r="AN23" s="48">
        <v>9</v>
      </c>
      <c r="AO23" s="49">
        <v>15</v>
      </c>
      <c r="AP23" s="49">
        <v>45</v>
      </c>
      <c r="AQ23" s="6">
        <f t="shared" si="8"/>
        <v>69</v>
      </c>
      <c r="AR23" s="52">
        <v>112</v>
      </c>
      <c r="AS23" s="53">
        <v>6</v>
      </c>
      <c r="AT23" s="53" t="s">
        <v>82</v>
      </c>
      <c r="AU23" s="53" t="s">
        <v>89</v>
      </c>
      <c r="AV23" s="115">
        <v>41935</v>
      </c>
      <c r="AW23" s="112"/>
      <c r="AX23" s="124" t="s">
        <v>201</v>
      </c>
      <c r="AY23" s="60"/>
      <c r="AZ23" s="61"/>
      <c r="BA23" s="60" t="s">
        <v>158</v>
      </c>
      <c r="BB23" s="61" t="s">
        <v>159</v>
      </c>
    </row>
    <row r="24" spans="1:54" ht="40" customHeight="1" x14ac:dyDescent="0.75">
      <c r="A24" s="145">
        <v>19</v>
      </c>
      <c r="B24" s="146" t="s">
        <v>25</v>
      </c>
      <c r="C24" s="147" t="s">
        <v>24</v>
      </c>
      <c r="D24" s="44">
        <v>11</v>
      </c>
      <c r="E24" s="45">
        <v>17</v>
      </c>
      <c r="F24" s="45">
        <v>37</v>
      </c>
      <c r="G24" s="5">
        <f t="shared" si="9"/>
        <v>65</v>
      </c>
      <c r="H24" s="48">
        <v>11</v>
      </c>
      <c r="I24" s="49">
        <v>17</v>
      </c>
      <c r="J24" s="49">
        <v>37</v>
      </c>
      <c r="K24" s="6">
        <f t="shared" si="0"/>
        <v>65</v>
      </c>
      <c r="L24" s="52">
        <v>11</v>
      </c>
      <c r="M24" s="53">
        <v>17</v>
      </c>
      <c r="N24" s="53">
        <v>37</v>
      </c>
      <c r="O24" s="7">
        <f t="shared" si="1"/>
        <v>65</v>
      </c>
      <c r="P24" s="56">
        <v>11</v>
      </c>
      <c r="Q24" s="57">
        <v>17</v>
      </c>
      <c r="R24" s="57">
        <v>37</v>
      </c>
      <c r="S24" s="8">
        <f t="shared" si="2"/>
        <v>65</v>
      </c>
      <c r="T24" s="44">
        <v>11</v>
      </c>
      <c r="U24" s="45">
        <v>17</v>
      </c>
      <c r="V24" s="45">
        <v>37</v>
      </c>
      <c r="W24" s="5">
        <f t="shared" si="3"/>
        <v>65</v>
      </c>
      <c r="X24" s="48">
        <v>11</v>
      </c>
      <c r="Y24" s="49">
        <v>17</v>
      </c>
      <c r="Z24" s="49">
        <v>37</v>
      </c>
      <c r="AA24" s="6">
        <f t="shared" si="4"/>
        <v>65</v>
      </c>
      <c r="AB24" s="52">
        <v>11</v>
      </c>
      <c r="AC24" s="53">
        <v>17</v>
      </c>
      <c r="AD24" s="53">
        <v>37</v>
      </c>
      <c r="AE24" s="7">
        <f t="shared" si="5"/>
        <v>65</v>
      </c>
      <c r="AF24" s="56">
        <v>11</v>
      </c>
      <c r="AG24" s="57">
        <v>17</v>
      </c>
      <c r="AH24" s="57">
        <v>37</v>
      </c>
      <c r="AI24" s="8">
        <f t="shared" si="6"/>
        <v>65</v>
      </c>
      <c r="AJ24" s="44">
        <v>11</v>
      </c>
      <c r="AK24" s="45">
        <v>17</v>
      </c>
      <c r="AL24" s="45">
        <v>37</v>
      </c>
      <c r="AM24" s="5">
        <f t="shared" si="7"/>
        <v>65</v>
      </c>
      <c r="AN24" s="48">
        <v>11</v>
      </c>
      <c r="AO24" s="49">
        <v>17</v>
      </c>
      <c r="AP24" s="49">
        <v>37</v>
      </c>
      <c r="AQ24" s="6">
        <f t="shared" si="8"/>
        <v>65</v>
      </c>
      <c r="AR24" s="52">
        <v>118</v>
      </c>
      <c r="AS24" s="53">
        <v>0</v>
      </c>
      <c r="AT24" s="53" t="s">
        <v>83</v>
      </c>
      <c r="AU24" s="53" t="s">
        <v>90</v>
      </c>
      <c r="AV24" s="115">
        <v>41702</v>
      </c>
      <c r="AW24" s="112"/>
      <c r="AX24" s="124" t="s">
        <v>202</v>
      </c>
      <c r="AY24" s="60" t="s">
        <v>180</v>
      </c>
      <c r="AZ24" s="61" t="s">
        <v>181</v>
      </c>
      <c r="BA24" s="60" t="s">
        <v>158</v>
      </c>
      <c r="BB24" s="61" t="s">
        <v>159</v>
      </c>
    </row>
    <row r="25" spans="1:54" ht="40" customHeight="1" x14ac:dyDescent="0.75">
      <c r="A25" s="145">
        <v>20</v>
      </c>
      <c r="B25" s="146" t="s">
        <v>9</v>
      </c>
      <c r="C25" s="147" t="s">
        <v>8</v>
      </c>
      <c r="D25" s="44">
        <v>15</v>
      </c>
      <c r="E25" s="45">
        <v>17</v>
      </c>
      <c r="F25" s="45">
        <v>51</v>
      </c>
      <c r="G25" s="5">
        <f t="shared" si="9"/>
        <v>83</v>
      </c>
      <c r="H25" s="48">
        <v>15</v>
      </c>
      <c r="I25" s="49">
        <v>17</v>
      </c>
      <c r="J25" s="49">
        <v>51</v>
      </c>
      <c r="K25" s="6">
        <f t="shared" si="0"/>
        <v>83</v>
      </c>
      <c r="L25" s="52">
        <v>15</v>
      </c>
      <c r="M25" s="53">
        <v>17</v>
      </c>
      <c r="N25" s="53">
        <v>51</v>
      </c>
      <c r="O25" s="7">
        <f t="shared" si="1"/>
        <v>83</v>
      </c>
      <c r="P25" s="56">
        <v>15</v>
      </c>
      <c r="Q25" s="57">
        <v>17</v>
      </c>
      <c r="R25" s="57">
        <v>51</v>
      </c>
      <c r="S25" s="8">
        <f t="shared" si="2"/>
        <v>83</v>
      </c>
      <c r="T25" s="44">
        <v>15</v>
      </c>
      <c r="U25" s="45">
        <v>17</v>
      </c>
      <c r="V25" s="45">
        <v>51</v>
      </c>
      <c r="W25" s="5">
        <f t="shared" si="3"/>
        <v>83</v>
      </c>
      <c r="X25" s="48">
        <v>15</v>
      </c>
      <c r="Y25" s="49">
        <v>17</v>
      </c>
      <c r="Z25" s="49">
        <v>51</v>
      </c>
      <c r="AA25" s="6">
        <f t="shared" si="4"/>
        <v>83</v>
      </c>
      <c r="AB25" s="52">
        <v>15</v>
      </c>
      <c r="AC25" s="53">
        <v>17</v>
      </c>
      <c r="AD25" s="53">
        <v>51</v>
      </c>
      <c r="AE25" s="7">
        <f t="shared" si="5"/>
        <v>83</v>
      </c>
      <c r="AF25" s="56">
        <v>15</v>
      </c>
      <c r="AG25" s="57">
        <v>17</v>
      </c>
      <c r="AH25" s="57">
        <v>51</v>
      </c>
      <c r="AI25" s="8">
        <f t="shared" si="6"/>
        <v>83</v>
      </c>
      <c r="AJ25" s="44">
        <v>15</v>
      </c>
      <c r="AK25" s="45">
        <v>17</v>
      </c>
      <c r="AL25" s="45">
        <v>51</v>
      </c>
      <c r="AM25" s="5">
        <f t="shared" si="7"/>
        <v>83</v>
      </c>
      <c r="AN25" s="48">
        <v>15</v>
      </c>
      <c r="AO25" s="49">
        <v>17</v>
      </c>
      <c r="AP25" s="49">
        <v>51</v>
      </c>
      <c r="AQ25" s="6">
        <f t="shared" si="8"/>
        <v>83</v>
      </c>
      <c r="AR25" s="52">
        <v>114</v>
      </c>
      <c r="AS25" s="53">
        <v>4</v>
      </c>
      <c r="AT25" s="53" t="s">
        <v>84</v>
      </c>
      <c r="AU25" s="53" t="s">
        <v>91</v>
      </c>
      <c r="AV25" s="115">
        <v>41856</v>
      </c>
      <c r="AW25" s="112"/>
      <c r="AX25" s="124" t="s">
        <v>203</v>
      </c>
      <c r="AY25" s="60"/>
      <c r="AZ25" s="61"/>
      <c r="BA25" s="60" t="s">
        <v>158</v>
      </c>
      <c r="BB25" s="61" t="s">
        <v>159</v>
      </c>
    </row>
    <row r="26" spans="1:54" ht="40" customHeight="1" x14ac:dyDescent="0.75">
      <c r="A26" s="145">
        <v>21</v>
      </c>
      <c r="B26" s="146" t="s">
        <v>15</v>
      </c>
      <c r="C26" s="147" t="s">
        <v>14</v>
      </c>
      <c r="D26" s="44">
        <v>16</v>
      </c>
      <c r="E26" s="45">
        <v>13</v>
      </c>
      <c r="F26" s="45">
        <v>56</v>
      </c>
      <c r="G26" s="5">
        <f t="shared" si="9"/>
        <v>85</v>
      </c>
      <c r="H26" s="48">
        <v>16</v>
      </c>
      <c r="I26" s="49">
        <v>13</v>
      </c>
      <c r="J26" s="49">
        <v>56</v>
      </c>
      <c r="K26" s="6">
        <f t="shared" si="0"/>
        <v>85</v>
      </c>
      <c r="L26" s="52">
        <v>16</v>
      </c>
      <c r="M26" s="53">
        <v>13</v>
      </c>
      <c r="N26" s="53">
        <v>56</v>
      </c>
      <c r="O26" s="7">
        <f t="shared" si="1"/>
        <v>85</v>
      </c>
      <c r="P26" s="56">
        <v>16</v>
      </c>
      <c r="Q26" s="57">
        <v>13</v>
      </c>
      <c r="R26" s="57">
        <v>56</v>
      </c>
      <c r="S26" s="8">
        <f t="shared" si="2"/>
        <v>85</v>
      </c>
      <c r="T26" s="44">
        <v>16</v>
      </c>
      <c r="U26" s="45">
        <v>13</v>
      </c>
      <c r="V26" s="45">
        <v>56</v>
      </c>
      <c r="W26" s="5">
        <f t="shared" si="3"/>
        <v>85</v>
      </c>
      <c r="X26" s="48">
        <v>16</v>
      </c>
      <c r="Y26" s="49">
        <v>13</v>
      </c>
      <c r="Z26" s="49">
        <v>56</v>
      </c>
      <c r="AA26" s="6">
        <f t="shared" si="4"/>
        <v>85</v>
      </c>
      <c r="AB26" s="52">
        <v>16</v>
      </c>
      <c r="AC26" s="53">
        <v>13</v>
      </c>
      <c r="AD26" s="53">
        <v>56</v>
      </c>
      <c r="AE26" s="7">
        <f t="shared" si="5"/>
        <v>85</v>
      </c>
      <c r="AF26" s="56">
        <v>16</v>
      </c>
      <c r="AG26" s="57">
        <v>13</v>
      </c>
      <c r="AH26" s="57">
        <v>56</v>
      </c>
      <c r="AI26" s="8">
        <f t="shared" si="6"/>
        <v>85</v>
      </c>
      <c r="AJ26" s="44">
        <v>16</v>
      </c>
      <c r="AK26" s="45">
        <v>13</v>
      </c>
      <c r="AL26" s="45">
        <v>56</v>
      </c>
      <c r="AM26" s="5">
        <f t="shared" si="7"/>
        <v>85</v>
      </c>
      <c r="AN26" s="48">
        <v>16</v>
      </c>
      <c r="AO26" s="49">
        <v>13</v>
      </c>
      <c r="AP26" s="49">
        <v>56</v>
      </c>
      <c r="AQ26" s="6">
        <f t="shared" si="8"/>
        <v>85</v>
      </c>
      <c r="AR26" s="52">
        <v>118</v>
      </c>
      <c r="AS26" s="53">
        <v>0</v>
      </c>
      <c r="AT26" s="53" t="s">
        <v>85</v>
      </c>
      <c r="AU26" s="53" t="s">
        <v>92</v>
      </c>
      <c r="AV26" s="114">
        <v>41935</v>
      </c>
      <c r="AW26" s="111"/>
      <c r="AX26" s="124" t="s">
        <v>204</v>
      </c>
      <c r="AY26" s="60"/>
      <c r="AZ26" s="61"/>
      <c r="BA26" s="60" t="s">
        <v>158</v>
      </c>
      <c r="BB26" s="61" t="s">
        <v>159</v>
      </c>
    </row>
    <row r="27" spans="1:54" ht="40" customHeight="1" x14ac:dyDescent="0.75">
      <c r="A27" s="145">
        <v>22</v>
      </c>
      <c r="B27" s="146" t="s">
        <v>11</v>
      </c>
      <c r="C27" s="147" t="s">
        <v>10</v>
      </c>
      <c r="D27" s="44">
        <v>18</v>
      </c>
      <c r="E27" s="45">
        <v>17</v>
      </c>
      <c r="F27" s="45">
        <v>57</v>
      </c>
      <c r="G27" s="5">
        <f t="shared" si="9"/>
        <v>92</v>
      </c>
      <c r="H27" s="48">
        <v>12</v>
      </c>
      <c r="I27" s="49">
        <v>17</v>
      </c>
      <c r="J27" s="49">
        <v>57</v>
      </c>
      <c r="K27" s="6">
        <f t="shared" si="0"/>
        <v>86</v>
      </c>
      <c r="L27" s="52">
        <v>18</v>
      </c>
      <c r="M27" s="53">
        <v>17</v>
      </c>
      <c r="N27" s="53">
        <v>57</v>
      </c>
      <c r="O27" s="7">
        <f t="shared" si="1"/>
        <v>92</v>
      </c>
      <c r="P27" s="56">
        <v>18</v>
      </c>
      <c r="Q27" s="57">
        <v>17</v>
      </c>
      <c r="R27" s="57">
        <v>57</v>
      </c>
      <c r="S27" s="8">
        <f t="shared" si="2"/>
        <v>92</v>
      </c>
      <c r="T27" s="44">
        <v>18</v>
      </c>
      <c r="U27" s="45">
        <v>17</v>
      </c>
      <c r="V27" s="45">
        <v>57</v>
      </c>
      <c r="W27" s="5">
        <f t="shared" si="3"/>
        <v>92</v>
      </c>
      <c r="X27" s="48">
        <v>18</v>
      </c>
      <c r="Y27" s="49">
        <v>17</v>
      </c>
      <c r="Z27" s="49">
        <v>57</v>
      </c>
      <c r="AA27" s="6">
        <f t="shared" si="4"/>
        <v>92</v>
      </c>
      <c r="AB27" s="52">
        <v>12</v>
      </c>
      <c r="AC27" s="53">
        <v>15</v>
      </c>
      <c r="AD27" s="53">
        <v>57</v>
      </c>
      <c r="AE27" s="7">
        <f t="shared" si="5"/>
        <v>84</v>
      </c>
      <c r="AF27" s="56">
        <v>18</v>
      </c>
      <c r="AG27" s="57">
        <v>17</v>
      </c>
      <c r="AH27" s="57">
        <v>57</v>
      </c>
      <c r="AI27" s="8">
        <f t="shared" si="6"/>
        <v>92</v>
      </c>
      <c r="AJ27" s="44">
        <v>18</v>
      </c>
      <c r="AK27" s="45">
        <v>17</v>
      </c>
      <c r="AL27" s="45">
        <v>57</v>
      </c>
      <c r="AM27" s="5">
        <f t="shared" si="7"/>
        <v>92</v>
      </c>
      <c r="AN27" s="48">
        <v>18</v>
      </c>
      <c r="AO27" s="49">
        <v>17</v>
      </c>
      <c r="AP27" s="49">
        <v>57</v>
      </c>
      <c r="AQ27" s="6">
        <f t="shared" si="8"/>
        <v>92</v>
      </c>
      <c r="AR27" s="52">
        <v>117</v>
      </c>
      <c r="AS27" s="53">
        <v>1</v>
      </c>
      <c r="AT27" s="53" t="s">
        <v>83</v>
      </c>
      <c r="AU27" s="53" t="s">
        <v>93</v>
      </c>
      <c r="AV27" s="114">
        <v>41702</v>
      </c>
      <c r="AW27" s="111"/>
      <c r="AX27" s="124" t="s">
        <v>205</v>
      </c>
      <c r="AY27" s="60"/>
      <c r="AZ27" s="61"/>
      <c r="BA27" s="60" t="s">
        <v>158</v>
      </c>
      <c r="BB27" s="61" t="s">
        <v>159</v>
      </c>
    </row>
    <row r="28" spans="1:54" ht="40" customHeight="1" x14ac:dyDescent="0.75">
      <c r="A28" s="145">
        <v>23</v>
      </c>
      <c r="B28" s="146" t="s">
        <v>23</v>
      </c>
      <c r="C28" s="147" t="s">
        <v>22</v>
      </c>
      <c r="D28" s="44">
        <v>19</v>
      </c>
      <c r="E28" s="45">
        <v>15</v>
      </c>
      <c r="F28" s="45">
        <v>45</v>
      </c>
      <c r="G28" s="5">
        <f t="shared" si="9"/>
        <v>79</v>
      </c>
      <c r="H28" s="48">
        <v>19</v>
      </c>
      <c r="I28" s="49">
        <v>15</v>
      </c>
      <c r="J28" s="49">
        <v>45</v>
      </c>
      <c r="K28" s="6">
        <f t="shared" si="0"/>
        <v>79</v>
      </c>
      <c r="L28" s="52">
        <v>19</v>
      </c>
      <c r="M28" s="53">
        <v>15</v>
      </c>
      <c r="N28" s="53">
        <v>45</v>
      </c>
      <c r="O28" s="7">
        <f t="shared" si="1"/>
        <v>79</v>
      </c>
      <c r="P28" s="56">
        <v>19</v>
      </c>
      <c r="Q28" s="57">
        <v>15</v>
      </c>
      <c r="R28" s="57">
        <v>45</v>
      </c>
      <c r="S28" s="8">
        <f t="shared" si="2"/>
        <v>79</v>
      </c>
      <c r="T28" s="44">
        <v>19</v>
      </c>
      <c r="U28" s="45">
        <v>15</v>
      </c>
      <c r="V28" s="45">
        <v>45</v>
      </c>
      <c r="W28" s="5">
        <f t="shared" si="3"/>
        <v>79</v>
      </c>
      <c r="X28" s="48">
        <v>19</v>
      </c>
      <c r="Y28" s="49">
        <v>15</v>
      </c>
      <c r="Z28" s="49">
        <v>45</v>
      </c>
      <c r="AA28" s="6">
        <f t="shared" si="4"/>
        <v>79</v>
      </c>
      <c r="AB28" s="52">
        <v>19</v>
      </c>
      <c r="AC28" s="53">
        <v>15</v>
      </c>
      <c r="AD28" s="53">
        <v>45</v>
      </c>
      <c r="AE28" s="7">
        <f t="shared" si="5"/>
        <v>79</v>
      </c>
      <c r="AF28" s="56">
        <v>19</v>
      </c>
      <c r="AG28" s="57">
        <v>15</v>
      </c>
      <c r="AH28" s="57">
        <v>45</v>
      </c>
      <c r="AI28" s="8">
        <f t="shared" si="6"/>
        <v>79</v>
      </c>
      <c r="AJ28" s="44">
        <v>19</v>
      </c>
      <c r="AK28" s="45">
        <v>15</v>
      </c>
      <c r="AL28" s="45">
        <v>45</v>
      </c>
      <c r="AM28" s="5">
        <f t="shared" si="7"/>
        <v>79</v>
      </c>
      <c r="AN28" s="48">
        <v>19</v>
      </c>
      <c r="AO28" s="49">
        <v>15</v>
      </c>
      <c r="AP28" s="49">
        <v>45</v>
      </c>
      <c r="AQ28" s="6">
        <f t="shared" si="8"/>
        <v>79</v>
      </c>
      <c r="AR28" s="52">
        <v>115</v>
      </c>
      <c r="AS28" s="53">
        <v>3</v>
      </c>
      <c r="AT28" s="53" t="s">
        <v>86</v>
      </c>
      <c r="AU28" s="53" t="s">
        <v>94</v>
      </c>
      <c r="AV28" s="114">
        <v>41856</v>
      </c>
      <c r="AW28" s="111"/>
      <c r="AX28" s="124" t="s">
        <v>206</v>
      </c>
      <c r="AY28" s="60"/>
      <c r="AZ28" s="61"/>
      <c r="BA28" s="60" t="s">
        <v>158</v>
      </c>
      <c r="BB28" s="61" t="s">
        <v>159</v>
      </c>
    </row>
    <row r="29" spans="1:54" ht="40" customHeight="1" x14ac:dyDescent="0.75">
      <c r="A29" s="145">
        <v>24</v>
      </c>
      <c r="B29" s="146"/>
      <c r="C29" s="147"/>
      <c r="D29" s="44"/>
      <c r="E29" s="45"/>
      <c r="F29" s="45"/>
      <c r="G29" s="5">
        <f t="shared" si="9"/>
        <v>0</v>
      </c>
      <c r="H29" s="48"/>
      <c r="I29" s="49"/>
      <c r="J29" s="49"/>
      <c r="K29" s="6">
        <f t="shared" si="0"/>
        <v>0</v>
      </c>
      <c r="L29" s="52"/>
      <c r="M29" s="53"/>
      <c r="N29" s="53"/>
      <c r="O29" s="7">
        <f t="shared" si="1"/>
        <v>0</v>
      </c>
      <c r="P29" s="56"/>
      <c r="Q29" s="57"/>
      <c r="R29" s="57"/>
      <c r="S29" s="8">
        <f t="shared" si="2"/>
        <v>0</v>
      </c>
      <c r="T29" s="44"/>
      <c r="U29" s="45"/>
      <c r="V29" s="45"/>
      <c r="W29" s="5">
        <f t="shared" si="3"/>
        <v>0</v>
      </c>
      <c r="X29" s="48"/>
      <c r="Y29" s="49"/>
      <c r="Z29" s="49"/>
      <c r="AA29" s="6">
        <f t="shared" si="4"/>
        <v>0</v>
      </c>
      <c r="AB29" s="52"/>
      <c r="AC29" s="53"/>
      <c r="AD29" s="53"/>
      <c r="AE29" s="7">
        <f t="shared" si="5"/>
        <v>0</v>
      </c>
      <c r="AF29" s="56"/>
      <c r="AG29" s="57"/>
      <c r="AH29" s="57"/>
      <c r="AI29" s="8">
        <f t="shared" si="6"/>
        <v>0</v>
      </c>
      <c r="AJ29" s="44"/>
      <c r="AK29" s="45"/>
      <c r="AL29" s="45"/>
      <c r="AM29" s="5">
        <f t="shared" si="7"/>
        <v>0</v>
      </c>
      <c r="AN29" s="48"/>
      <c r="AO29" s="49"/>
      <c r="AP29" s="49"/>
      <c r="AQ29" s="6">
        <f t="shared" si="8"/>
        <v>0</v>
      </c>
      <c r="AR29" s="52"/>
      <c r="AS29" s="53"/>
      <c r="AT29" s="53"/>
      <c r="AU29" s="53"/>
      <c r="AV29" s="116"/>
      <c r="AW29" s="113"/>
      <c r="AX29" s="124" t="s">
        <v>207</v>
      </c>
      <c r="AY29" s="60"/>
      <c r="AZ29" s="61"/>
      <c r="BA29" s="60" t="s">
        <v>158</v>
      </c>
      <c r="BB29" s="61" t="s">
        <v>159</v>
      </c>
    </row>
    <row r="30" spans="1:54" ht="40" customHeight="1" x14ac:dyDescent="0.75">
      <c r="A30" s="145">
        <v>25</v>
      </c>
      <c r="B30" s="146"/>
      <c r="C30" s="147"/>
      <c r="D30" s="44"/>
      <c r="E30" s="45"/>
      <c r="F30" s="45"/>
      <c r="G30" s="5">
        <f t="shared" si="9"/>
        <v>0</v>
      </c>
      <c r="H30" s="48"/>
      <c r="I30" s="49"/>
      <c r="J30" s="49"/>
      <c r="K30" s="6">
        <f t="shared" si="0"/>
        <v>0</v>
      </c>
      <c r="L30" s="52"/>
      <c r="M30" s="53"/>
      <c r="N30" s="53"/>
      <c r="O30" s="7">
        <f t="shared" si="1"/>
        <v>0</v>
      </c>
      <c r="P30" s="56"/>
      <c r="Q30" s="57"/>
      <c r="R30" s="57"/>
      <c r="S30" s="8">
        <f t="shared" si="2"/>
        <v>0</v>
      </c>
      <c r="T30" s="44"/>
      <c r="U30" s="45"/>
      <c r="V30" s="45"/>
      <c r="W30" s="5">
        <f t="shared" si="3"/>
        <v>0</v>
      </c>
      <c r="X30" s="48"/>
      <c r="Y30" s="49"/>
      <c r="Z30" s="49"/>
      <c r="AA30" s="6">
        <f t="shared" si="4"/>
        <v>0</v>
      </c>
      <c r="AB30" s="52"/>
      <c r="AC30" s="53"/>
      <c r="AD30" s="53"/>
      <c r="AE30" s="7">
        <f t="shared" si="5"/>
        <v>0</v>
      </c>
      <c r="AF30" s="56"/>
      <c r="AG30" s="57"/>
      <c r="AH30" s="57"/>
      <c r="AI30" s="8">
        <f t="shared" si="6"/>
        <v>0</v>
      </c>
      <c r="AJ30" s="44"/>
      <c r="AK30" s="45"/>
      <c r="AL30" s="45"/>
      <c r="AM30" s="5">
        <f t="shared" si="7"/>
        <v>0</v>
      </c>
      <c r="AN30" s="48"/>
      <c r="AO30" s="49"/>
      <c r="AP30" s="49"/>
      <c r="AQ30" s="6">
        <f t="shared" si="8"/>
        <v>0</v>
      </c>
      <c r="AR30" s="52"/>
      <c r="AS30" s="53"/>
      <c r="AT30" s="53"/>
      <c r="AU30" s="53"/>
      <c r="AV30" s="116"/>
      <c r="AW30" s="113"/>
      <c r="AX30" s="124" t="s">
        <v>208</v>
      </c>
      <c r="AY30" s="60"/>
      <c r="AZ30" s="61"/>
      <c r="BA30" s="60" t="s">
        <v>158</v>
      </c>
      <c r="BB30" s="61" t="s">
        <v>159</v>
      </c>
    </row>
    <row r="31" spans="1:54" ht="40" customHeight="1" x14ac:dyDescent="0.75">
      <c r="A31" s="145">
        <v>26</v>
      </c>
      <c r="B31" s="146"/>
      <c r="C31" s="147"/>
      <c r="D31" s="44"/>
      <c r="E31" s="45"/>
      <c r="F31" s="45"/>
      <c r="G31" s="5">
        <f t="shared" si="9"/>
        <v>0</v>
      </c>
      <c r="H31" s="48"/>
      <c r="I31" s="49"/>
      <c r="J31" s="49"/>
      <c r="K31" s="6">
        <f t="shared" si="0"/>
        <v>0</v>
      </c>
      <c r="L31" s="52"/>
      <c r="M31" s="53"/>
      <c r="N31" s="53"/>
      <c r="O31" s="7">
        <f t="shared" si="1"/>
        <v>0</v>
      </c>
      <c r="P31" s="56"/>
      <c r="Q31" s="57"/>
      <c r="R31" s="57"/>
      <c r="S31" s="8">
        <f t="shared" si="2"/>
        <v>0</v>
      </c>
      <c r="T31" s="44"/>
      <c r="U31" s="45"/>
      <c r="V31" s="45"/>
      <c r="W31" s="5">
        <f t="shared" si="3"/>
        <v>0</v>
      </c>
      <c r="X31" s="48"/>
      <c r="Y31" s="49"/>
      <c r="Z31" s="49"/>
      <c r="AA31" s="6">
        <f t="shared" si="4"/>
        <v>0</v>
      </c>
      <c r="AB31" s="52"/>
      <c r="AC31" s="53"/>
      <c r="AD31" s="53"/>
      <c r="AE31" s="7">
        <f t="shared" si="5"/>
        <v>0</v>
      </c>
      <c r="AF31" s="56"/>
      <c r="AG31" s="57"/>
      <c r="AH31" s="57"/>
      <c r="AI31" s="8">
        <f t="shared" si="6"/>
        <v>0</v>
      </c>
      <c r="AJ31" s="44"/>
      <c r="AK31" s="45"/>
      <c r="AL31" s="45"/>
      <c r="AM31" s="5">
        <f t="shared" si="7"/>
        <v>0</v>
      </c>
      <c r="AN31" s="48"/>
      <c r="AO31" s="49"/>
      <c r="AP31" s="49"/>
      <c r="AQ31" s="6">
        <f t="shared" si="8"/>
        <v>0</v>
      </c>
      <c r="AR31" s="52"/>
      <c r="AS31" s="53"/>
      <c r="AT31" s="53"/>
      <c r="AU31" s="53"/>
      <c r="AV31" s="116"/>
      <c r="AW31" s="113"/>
      <c r="AX31" s="124" t="s">
        <v>209</v>
      </c>
      <c r="AY31" s="60"/>
      <c r="AZ31" s="61"/>
      <c r="BA31" s="60" t="s">
        <v>158</v>
      </c>
      <c r="BB31" s="61" t="s">
        <v>159</v>
      </c>
    </row>
    <row r="32" spans="1:54" ht="40" customHeight="1" x14ac:dyDescent="0.75">
      <c r="A32" s="145">
        <v>27</v>
      </c>
      <c r="B32" s="146"/>
      <c r="C32" s="147"/>
      <c r="D32" s="44"/>
      <c r="E32" s="45"/>
      <c r="F32" s="45"/>
      <c r="G32" s="5">
        <f t="shared" si="9"/>
        <v>0</v>
      </c>
      <c r="H32" s="48"/>
      <c r="I32" s="49"/>
      <c r="J32" s="49"/>
      <c r="K32" s="6">
        <f t="shared" si="0"/>
        <v>0</v>
      </c>
      <c r="L32" s="52"/>
      <c r="M32" s="53"/>
      <c r="N32" s="53"/>
      <c r="O32" s="7">
        <f t="shared" si="1"/>
        <v>0</v>
      </c>
      <c r="P32" s="56"/>
      <c r="Q32" s="57"/>
      <c r="R32" s="57"/>
      <c r="S32" s="8">
        <f t="shared" si="2"/>
        <v>0</v>
      </c>
      <c r="T32" s="44"/>
      <c r="U32" s="45"/>
      <c r="V32" s="45"/>
      <c r="W32" s="5">
        <f t="shared" si="3"/>
        <v>0</v>
      </c>
      <c r="X32" s="48"/>
      <c r="Y32" s="49"/>
      <c r="Z32" s="49"/>
      <c r="AA32" s="6">
        <f t="shared" si="4"/>
        <v>0</v>
      </c>
      <c r="AB32" s="52"/>
      <c r="AC32" s="53"/>
      <c r="AD32" s="53"/>
      <c r="AE32" s="7">
        <f t="shared" si="5"/>
        <v>0</v>
      </c>
      <c r="AF32" s="56"/>
      <c r="AG32" s="57"/>
      <c r="AH32" s="57"/>
      <c r="AI32" s="8">
        <f t="shared" si="6"/>
        <v>0</v>
      </c>
      <c r="AJ32" s="44"/>
      <c r="AK32" s="45"/>
      <c r="AL32" s="45"/>
      <c r="AM32" s="5">
        <f t="shared" si="7"/>
        <v>0</v>
      </c>
      <c r="AN32" s="48"/>
      <c r="AO32" s="49"/>
      <c r="AP32" s="49"/>
      <c r="AQ32" s="6">
        <f t="shared" si="8"/>
        <v>0</v>
      </c>
      <c r="AR32" s="52"/>
      <c r="AS32" s="53"/>
      <c r="AT32" s="53"/>
      <c r="AU32" s="53"/>
      <c r="AV32" s="116"/>
      <c r="AW32" s="113"/>
      <c r="AX32" s="124" t="s">
        <v>210</v>
      </c>
      <c r="AY32" s="60"/>
      <c r="AZ32" s="61"/>
      <c r="BA32" s="60" t="s">
        <v>158</v>
      </c>
      <c r="BB32" s="61" t="s">
        <v>159</v>
      </c>
    </row>
    <row r="33" spans="1:54" ht="40" customHeight="1" x14ac:dyDescent="0.75">
      <c r="A33" s="145">
        <v>28</v>
      </c>
      <c r="B33" s="146"/>
      <c r="C33" s="147"/>
      <c r="D33" s="44"/>
      <c r="E33" s="45"/>
      <c r="F33" s="45"/>
      <c r="G33" s="5">
        <f t="shared" si="9"/>
        <v>0</v>
      </c>
      <c r="H33" s="48"/>
      <c r="I33" s="49"/>
      <c r="J33" s="49"/>
      <c r="K33" s="6">
        <f t="shared" si="0"/>
        <v>0</v>
      </c>
      <c r="L33" s="52"/>
      <c r="M33" s="53"/>
      <c r="N33" s="53"/>
      <c r="O33" s="7">
        <f t="shared" si="1"/>
        <v>0</v>
      </c>
      <c r="P33" s="56"/>
      <c r="Q33" s="57"/>
      <c r="R33" s="57"/>
      <c r="S33" s="8">
        <f t="shared" si="2"/>
        <v>0</v>
      </c>
      <c r="T33" s="44"/>
      <c r="U33" s="45"/>
      <c r="V33" s="45"/>
      <c r="W33" s="5">
        <f t="shared" si="3"/>
        <v>0</v>
      </c>
      <c r="X33" s="48"/>
      <c r="Y33" s="49"/>
      <c r="Z33" s="49"/>
      <c r="AA33" s="6">
        <f t="shared" si="4"/>
        <v>0</v>
      </c>
      <c r="AB33" s="52"/>
      <c r="AC33" s="53"/>
      <c r="AD33" s="53"/>
      <c r="AE33" s="7">
        <f t="shared" si="5"/>
        <v>0</v>
      </c>
      <c r="AF33" s="56"/>
      <c r="AG33" s="57"/>
      <c r="AH33" s="57"/>
      <c r="AI33" s="8">
        <f t="shared" si="6"/>
        <v>0</v>
      </c>
      <c r="AJ33" s="44"/>
      <c r="AK33" s="45"/>
      <c r="AL33" s="45"/>
      <c r="AM33" s="5">
        <f t="shared" si="7"/>
        <v>0</v>
      </c>
      <c r="AN33" s="48"/>
      <c r="AO33" s="49"/>
      <c r="AP33" s="49"/>
      <c r="AQ33" s="6">
        <f t="shared" si="8"/>
        <v>0</v>
      </c>
      <c r="AR33" s="52"/>
      <c r="AS33" s="53"/>
      <c r="AT33" s="53"/>
      <c r="AU33" s="53"/>
      <c r="AV33" s="116"/>
      <c r="AW33" s="113"/>
      <c r="AX33" s="124" t="s">
        <v>211</v>
      </c>
      <c r="AY33" s="60"/>
      <c r="AZ33" s="61"/>
      <c r="BA33" s="60" t="s">
        <v>158</v>
      </c>
      <c r="BB33" s="61" t="s">
        <v>159</v>
      </c>
    </row>
    <row r="34" spans="1:54" ht="40" customHeight="1" x14ac:dyDescent="0.75">
      <c r="A34" s="145">
        <v>29</v>
      </c>
      <c r="B34" s="146"/>
      <c r="C34" s="147"/>
      <c r="D34" s="44"/>
      <c r="E34" s="45"/>
      <c r="F34" s="45"/>
      <c r="G34" s="5">
        <f t="shared" si="9"/>
        <v>0</v>
      </c>
      <c r="H34" s="48"/>
      <c r="I34" s="49"/>
      <c r="J34" s="49"/>
      <c r="K34" s="6">
        <f t="shared" si="0"/>
        <v>0</v>
      </c>
      <c r="L34" s="52"/>
      <c r="M34" s="53"/>
      <c r="N34" s="53"/>
      <c r="O34" s="7">
        <f t="shared" si="1"/>
        <v>0</v>
      </c>
      <c r="P34" s="56"/>
      <c r="Q34" s="57"/>
      <c r="R34" s="57"/>
      <c r="S34" s="8">
        <f t="shared" si="2"/>
        <v>0</v>
      </c>
      <c r="T34" s="44"/>
      <c r="U34" s="45"/>
      <c r="V34" s="45"/>
      <c r="W34" s="5">
        <f t="shared" si="3"/>
        <v>0</v>
      </c>
      <c r="X34" s="48"/>
      <c r="Y34" s="49"/>
      <c r="Z34" s="49"/>
      <c r="AA34" s="6">
        <f t="shared" si="4"/>
        <v>0</v>
      </c>
      <c r="AB34" s="52"/>
      <c r="AC34" s="53"/>
      <c r="AD34" s="53"/>
      <c r="AE34" s="7">
        <f t="shared" si="5"/>
        <v>0</v>
      </c>
      <c r="AF34" s="56"/>
      <c r="AG34" s="57"/>
      <c r="AH34" s="57"/>
      <c r="AI34" s="8">
        <f t="shared" si="6"/>
        <v>0</v>
      </c>
      <c r="AJ34" s="44"/>
      <c r="AK34" s="45"/>
      <c r="AL34" s="45"/>
      <c r="AM34" s="5">
        <f t="shared" si="7"/>
        <v>0</v>
      </c>
      <c r="AN34" s="48"/>
      <c r="AO34" s="49"/>
      <c r="AP34" s="49"/>
      <c r="AQ34" s="6">
        <f t="shared" si="8"/>
        <v>0</v>
      </c>
      <c r="AR34" s="52"/>
      <c r="AS34" s="53"/>
      <c r="AT34" s="53"/>
      <c r="AU34" s="53"/>
      <c r="AV34" s="116"/>
      <c r="AW34" s="113"/>
      <c r="AX34" s="124" t="s">
        <v>212</v>
      </c>
      <c r="AY34" s="60"/>
      <c r="AZ34" s="61"/>
      <c r="BA34" s="60" t="s">
        <v>158</v>
      </c>
      <c r="BB34" s="61" t="s">
        <v>159</v>
      </c>
    </row>
    <row r="35" spans="1:54" ht="40" customHeight="1" x14ac:dyDescent="0.75">
      <c r="A35" s="145">
        <v>30</v>
      </c>
      <c r="B35" s="146"/>
      <c r="C35" s="147"/>
      <c r="D35" s="44"/>
      <c r="E35" s="45"/>
      <c r="F35" s="45"/>
      <c r="G35" s="5">
        <f t="shared" si="9"/>
        <v>0</v>
      </c>
      <c r="H35" s="48"/>
      <c r="I35" s="49"/>
      <c r="J35" s="49"/>
      <c r="K35" s="6">
        <f t="shared" si="0"/>
        <v>0</v>
      </c>
      <c r="L35" s="52"/>
      <c r="M35" s="53"/>
      <c r="N35" s="53"/>
      <c r="O35" s="7">
        <f t="shared" si="1"/>
        <v>0</v>
      </c>
      <c r="P35" s="56"/>
      <c r="Q35" s="57"/>
      <c r="R35" s="57"/>
      <c r="S35" s="8">
        <f t="shared" si="2"/>
        <v>0</v>
      </c>
      <c r="T35" s="44"/>
      <c r="U35" s="45"/>
      <c r="V35" s="45"/>
      <c r="W35" s="5">
        <f t="shared" si="3"/>
        <v>0</v>
      </c>
      <c r="X35" s="48"/>
      <c r="Y35" s="49"/>
      <c r="Z35" s="49"/>
      <c r="AA35" s="6">
        <f t="shared" si="4"/>
        <v>0</v>
      </c>
      <c r="AB35" s="52"/>
      <c r="AC35" s="53"/>
      <c r="AD35" s="53"/>
      <c r="AE35" s="7">
        <f t="shared" si="5"/>
        <v>0</v>
      </c>
      <c r="AF35" s="56"/>
      <c r="AG35" s="57"/>
      <c r="AH35" s="57"/>
      <c r="AI35" s="8">
        <f t="shared" si="6"/>
        <v>0</v>
      </c>
      <c r="AJ35" s="44"/>
      <c r="AK35" s="45"/>
      <c r="AL35" s="45"/>
      <c r="AM35" s="5">
        <f t="shared" si="7"/>
        <v>0</v>
      </c>
      <c r="AN35" s="48"/>
      <c r="AO35" s="49"/>
      <c r="AP35" s="49"/>
      <c r="AQ35" s="6">
        <f t="shared" si="8"/>
        <v>0</v>
      </c>
      <c r="AR35" s="52"/>
      <c r="AS35" s="53"/>
      <c r="AT35" s="53"/>
      <c r="AU35" s="53"/>
      <c r="AV35" s="116"/>
      <c r="AW35" s="113"/>
      <c r="AX35" s="124" t="s">
        <v>213</v>
      </c>
      <c r="AY35" s="60"/>
      <c r="AZ35" s="61"/>
      <c r="BA35" s="60" t="s">
        <v>158</v>
      </c>
      <c r="BB35" s="61" t="s">
        <v>159</v>
      </c>
    </row>
    <row r="36" spans="1:54" ht="40" customHeight="1" x14ac:dyDescent="0.75">
      <c r="A36" s="145">
        <v>31</v>
      </c>
      <c r="B36" s="146"/>
      <c r="C36" s="147"/>
      <c r="D36" s="44"/>
      <c r="E36" s="45"/>
      <c r="F36" s="45"/>
      <c r="G36" s="5">
        <f t="shared" si="9"/>
        <v>0</v>
      </c>
      <c r="H36" s="48"/>
      <c r="I36" s="49"/>
      <c r="J36" s="49"/>
      <c r="K36" s="6">
        <f t="shared" si="0"/>
        <v>0</v>
      </c>
      <c r="L36" s="52"/>
      <c r="M36" s="53"/>
      <c r="N36" s="53"/>
      <c r="O36" s="7">
        <f t="shared" si="1"/>
        <v>0</v>
      </c>
      <c r="P36" s="56"/>
      <c r="Q36" s="57"/>
      <c r="R36" s="57"/>
      <c r="S36" s="8">
        <f t="shared" si="2"/>
        <v>0</v>
      </c>
      <c r="T36" s="44"/>
      <c r="U36" s="45"/>
      <c r="V36" s="45"/>
      <c r="W36" s="5">
        <f t="shared" si="3"/>
        <v>0</v>
      </c>
      <c r="X36" s="48"/>
      <c r="Y36" s="49"/>
      <c r="Z36" s="49"/>
      <c r="AA36" s="6">
        <f t="shared" si="4"/>
        <v>0</v>
      </c>
      <c r="AB36" s="52"/>
      <c r="AC36" s="53"/>
      <c r="AD36" s="53"/>
      <c r="AE36" s="7">
        <f t="shared" si="5"/>
        <v>0</v>
      </c>
      <c r="AF36" s="56"/>
      <c r="AG36" s="57"/>
      <c r="AH36" s="57"/>
      <c r="AI36" s="8">
        <f t="shared" si="6"/>
        <v>0</v>
      </c>
      <c r="AJ36" s="44"/>
      <c r="AK36" s="45"/>
      <c r="AL36" s="45"/>
      <c r="AM36" s="5">
        <f t="shared" si="7"/>
        <v>0</v>
      </c>
      <c r="AN36" s="48"/>
      <c r="AO36" s="49"/>
      <c r="AP36" s="49"/>
      <c r="AQ36" s="6">
        <f t="shared" si="8"/>
        <v>0</v>
      </c>
      <c r="AR36" s="52"/>
      <c r="AS36" s="53"/>
      <c r="AT36" s="53"/>
      <c r="AU36" s="53"/>
      <c r="AV36" s="116"/>
      <c r="AW36" s="113"/>
      <c r="AX36" s="124" t="s">
        <v>214</v>
      </c>
      <c r="AY36" s="60"/>
      <c r="AZ36" s="61"/>
      <c r="BA36" s="60" t="s">
        <v>158</v>
      </c>
      <c r="BB36" s="61" t="s">
        <v>159</v>
      </c>
    </row>
    <row r="37" spans="1:54" ht="40" customHeight="1" x14ac:dyDescent="0.75">
      <c r="A37" s="145">
        <v>32</v>
      </c>
      <c r="B37" s="146"/>
      <c r="C37" s="147"/>
      <c r="D37" s="44"/>
      <c r="E37" s="45"/>
      <c r="F37" s="45"/>
      <c r="G37" s="5">
        <f t="shared" si="9"/>
        <v>0</v>
      </c>
      <c r="H37" s="48"/>
      <c r="I37" s="49"/>
      <c r="J37" s="49"/>
      <c r="K37" s="6">
        <f t="shared" si="0"/>
        <v>0</v>
      </c>
      <c r="L37" s="52"/>
      <c r="M37" s="53"/>
      <c r="N37" s="53"/>
      <c r="O37" s="7">
        <f t="shared" si="1"/>
        <v>0</v>
      </c>
      <c r="P37" s="56"/>
      <c r="Q37" s="57"/>
      <c r="R37" s="57"/>
      <c r="S37" s="8">
        <f t="shared" si="2"/>
        <v>0</v>
      </c>
      <c r="T37" s="44"/>
      <c r="U37" s="45"/>
      <c r="V37" s="45"/>
      <c r="W37" s="5">
        <f t="shared" si="3"/>
        <v>0</v>
      </c>
      <c r="X37" s="48"/>
      <c r="Y37" s="49"/>
      <c r="Z37" s="49"/>
      <c r="AA37" s="6">
        <f t="shared" si="4"/>
        <v>0</v>
      </c>
      <c r="AB37" s="52"/>
      <c r="AC37" s="53"/>
      <c r="AD37" s="53"/>
      <c r="AE37" s="7">
        <f t="shared" si="5"/>
        <v>0</v>
      </c>
      <c r="AF37" s="56"/>
      <c r="AG37" s="57"/>
      <c r="AH37" s="57"/>
      <c r="AI37" s="8">
        <f t="shared" si="6"/>
        <v>0</v>
      </c>
      <c r="AJ37" s="44"/>
      <c r="AK37" s="45"/>
      <c r="AL37" s="45"/>
      <c r="AM37" s="5">
        <f t="shared" si="7"/>
        <v>0</v>
      </c>
      <c r="AN37" s="48"/>
      <c r="AO37" s="49"/>
      <c r="AP37" s="49"/>
      <c r="AQ37" s="6">
        <f t="shared" si="8"/>
        <v>0</v>
      </c>
      <c r="AR37" s="52"/>
      <c r="AS37" s="53"/>
      <c r="AT37" s="53"/>
      <c r="AU37" s="53"/>
      <c r="AV37" s="116"/>
      <c r="AW37" s="113"/>
      <c r="AX37" s="124" t="s">
        <v>215</v>
      </c>
      <c r="AY37" s="60"/>
      <c r="AZ37" s="61"/>
      <c r="BA37" s="60" t="s">
        <v>158</v>
      </c>
      <c r="BB37" s="61" t="s">
        <v>159</v>
      </c>
    </row>
    <row r="38" spans="1:54" ht="40" customHeight="1" x14ac:dyDescent="0.75">
      <c r="A38" s="145">
        <v>33</v>
      </c>
      <c r="B38" s="146"/>
      <c r="C38" s="147"/>
      <c r="D38" s="44"/>
      <c r="E38" s="45"/>
      <c r="F38" s="45"/>
      <c r="G38" s="5">
        <f t="shared" si="9"/>
        <v>0</v>
      </c>
      <c r="H38" s="48"/>
      <c r="I38" s="49"/>
      <c r="J38" s="49"/>
      <c r="K38" s="6">
        <f t="shared" si="0"/>
        <v>0</v>
      </c>
      <c r="L38" s="52"/>
      <c r="M38" s="53"/>
      <c r="N38" s="53"/>
      <c r="O38" s="7">
        <f t="shared" si="1"/>
        <v>0</v>
      </c>
      <c r="P38" s="56"/>
      <c r="Q38" s="57"/>
      <c r="R38" s="57"/>
      <c r="S38" s="8">
        <f t="shared" si="2"/>
        <v>0</v>
      </c>
      <c r="T38" s="44"/>
      <c r="U38" s="45"/>
      <c r="V38" s="45"/>
      <c r="W38" s="5">
        <f t="shared" si="3"/>
        <v>0</v>
      </c>
      <c r="X38" s="48"/>
      <c r="Y38" s="49"/>
      <c r="Z38" s="49"/>
      <c r="AA38" s="6">
        <f t="shared" si="4"/>
        <v>0</v>
      </c>
      <c r="AB38" s="52"/>
      <c r="AC38" s="53"/>
      <c r="AD38" s="53"/>
      <c r="AE38" s="7">
        <f t="shared" si="5"/>
        <v>0</v>
      </c>
      <c r="AF38" s="56"/>
      <c r="AG38" s="57"/>
      <c r="AH38" s="57"/>
      <c r="AI38" s="8">
        <f t="shared" si="6"/>
        <v>0</v>
      </c>
      <c r="AJ38" s="44"/>
      <c r="AK38" s="45"/>
      <c r="AL38" s="45"/>
      <c r="AM38" s="5">
        <f t="shared" si="7"/>
        <v>0</v>
      </c>
      <c r="AN38" s="48"/>
      <c r="AO38" s="49"/>
      <c r="AP38" s="49"/>
      <c r="AQ38" s="6">
        <f t="shared" si="8"/>
        <v>0</v>
      </c>
      <c r="AR38" s="52"/>
      <c r="AS38" s="53"/>
      <c r="AT38" s="53"/>
      <c r="AU38" s="53"/>
      <c r="AV38" s="116"/>
      <c r="AW38" s="113"/>
      <c r="AX38" s="124" t="s">
        <v>216</v>
      </c>
      <c r="AY38" s="60"/>
      <c r="AZ38" s="61"/>
      <c r="BA38" s="60" t="s">
        <v>158</v>
      </c>
      <c r="BB38" s="61" t="s">
        <v>159</v>
      </c>
    </row>
    <row r="39" spans="1:54" ht="40" customHeight="1" x14ac:dyDescent="0.75">
      <c r="A39" s="145">
        <v>34</v>
      </c>
      <c r="B39" s="146"/>
      <c r="C39" s="147"/>
      <c r="D39" s="44"/>
      <c r="E39" s="45"/>
      <c r="F39" s="45"/>
      <c r="G39" s="5">
        <f t="shared" si="9"/>
        <v>0</v>
      </c>
      <c r="H39" s="48"/>
      <c r="I39" s="49"/>
      <c r="J39" s="49"/>
      <c r="K39" s="6">
        <f t="shared" si="0"/>
        <v>0</v>
      </c>
      <c r="L39" s="52"/>
      <c r="M39" s="53"/>
      <c r="N39" s="53"/>
      <c r="O39" s="7">
        <f t="shared" si="1"/>
        <v>0</v>
      </c>
      <c r="P39" s="56"/>
      <c r="Q39" s="57"/>
      <c r="R39" s="57"/>
      <c r="S39" s="8">
        <f t="shared" si="2"/>
        <v>0</v>
      </c>
      <c r="T39" s="44"/>
      <c r="U39" s="45"/>
      <c r="V39" s="45"/>
      <c r="W39" s="5">
        <f t="shared" si="3"/>
        <v>0</v>
      </c>
      <c r="X39" s="48"/>
      <c r="Y39" s="49"/>
      <c r="Z39" s="49"/>
      <c r="AA39" s="6">
        <f t="shared" si="4"/>
        <v>0</v>
      </c>
      <c r="AB39" s="52"/>
      <c r="AC39" s="53"/>
      <c r="AD39" s="53"/>
      <c r="AE39" s="7">
        <f t="shared" si="5"/>
        <v>0</v>
      </c>
      <c r="AF39" s="56"/>
      <c r="AG39" s="57"/>
      <c r="AH39" s="57"/>
      <c r="AI39" s="8">
        <f t="shared" si="6"/>
        <v>0</v>
      </c>
      <c r="AJ39" s="44"/>
      <c r="AK39" s="45"/>
      <c r="AL39" s="45"/>
      <c r="AM39" s="5">
        <f t="shared" si="7"/>
        <v>0</v>
      </c>
      <c r="AN39" s="48"/>
      <c r="AO39" s="49"/>
      <c r="AP39" s="49"/>
      <c r="AQ39" s="6">
        <f t="shared" si="8"/>
        <v>0</v>
      </c>
      <c r="AR39" s="52"/>
      <c r="AS39" s="53"/>
      <c r="AT39" s="53"/>
      <c r="AU39" s="53"/>
      <c r="AV39" s="116"/>
      <c r="AW39" s="113"/>
      <c r="AX39" s="124" t="s">
        <v>217</v>
      </c>
      <c r="AY39" s="60"/>
      <c r="AZ39" s="61"/>
      <c r="BA39" s="60" t="s">
        <v>158</v>
      </c>
      <c r="BB39" s="61" t="s">
        <v>159</v>
      </c>
    </row>
    <row r="40" spans="1:54" ht="40" customHeight="1" x14ac:dyDescent="0.75">
      <c r="A40" s="145">
        <v>35</v>
      </c>
      <c r="B40" s="146"/>
      <c r="C40" s="147"/>
      <c r="D40" s="44"/>
      <c r="E40" s="45"/>
      <c r="F40" s="45"/>
      <c r="G40" s="5">
        <f t="shared" si="9"/>
        <v>0</v>
      </c>
      <c r="H40" s="48"/>
      <c r="I40" s="49"/>
      <c r="J40" s="49"/>
      <c r="K40" s="6">
        <f t="shared" si="0"/>
        <v>0</v>
      </c>
      <c r="L40" s="52"/>
      <c r="M40" s="53"/>
      <c r="N40" s="53"/>
      <c r="O40" s="7">
        <f t="shared" si="1"/>
        <v>0</v>
      </c>
      <c r="P40" s="56"/>
      <c r="Q40" s="57"/>
      <c r="R40" s="57"/>
      <c r="S40" s="8">
        <f t="shared" si="2"/>
        <v>0</v>
      </c>
      <c r="T40" s="44"/>
      <c r="U40" s="45"/>
      <c r="V40" s="45"/>
      <c r="W40" s="5">
        <f t="shared" si="3"/>
        <v>0</v>
      </c>
      <c r="X40" s="48"/>
      <c r="Y40" s="49"/>
      <c r="Z40" s="49"/>
      <c r="AA40" s="6">
        <f t="shared" si="4"/>
        <v>0</v>
      </c>
      <c r="AB40" s="52"/>
      <c r="AC40" s="53"/>
      <c r="AD40" s="53"/>
      <c r="AE40" s="7">
        <f t="shared" si="5"/>
        <v>0</v>
      </c>
      <c r="AF40" s="56"/>
      <c r="AG40" s="57"/>
      <c r="AH40" s="57"/>
      <c r="AI40" s="8">
        <f t="shared" si="6"/>
        <v>0</v>
      </c>
      <c r="AJ40" s="44"/>
      <c r="AK40" s="45"/>
      <c r="AL40" s="45"/>
      <c r="AM40" s="5">
        <f t="shared" si="7"/>
        <v>0</v>
      </c>
      <c r="AN40" s="48"/>
      <c r="AO40" s="49"/>
      <c r="AP40" s="49"/>
      <c r="AQ40" s="6">
        <f t="shared" si="8"/>
        <v>0</v>
      </c>
      <c r="AR40" s="52"/>
      <c r="AS40" s="53"/>
      <c r="AT40" s="53"/>
      <c r="AU40" s="53"/>
      <c r="AV40" s="116"/>
      <c r="AW40" s="113"/>
      <c r="AX40" s="124" t="s">
        <v>218</v>
      </c>
      <c r="AY40" s="60"/>
      <c r="AZ40" s="61"/>
      <c r="BA40" s="60" t="s">
        <v>158</v>
      </c>
      <c r="BB40" s="61" t="s">
        <v>159</v>
      </c>
    </row>
    <row r="41" spans="1:54" ht="40" customHeight="1" x14ac:dyDescent="0.75">
      <c r="A41" s="145">
        <v>36</v>
      </c>
      <c r="B41" s="146"/>
      <c r="C41" s="147"/>
      <c r="D41" s="44"/>
      <c r="E41" s="45"/>
      <c r="F41" s="45"/>
      <c r="G41" s="5">
        <f t="shared" si="9"/>
        <v>0</v>
      </c>
      <c r="H41" s="48"/>
      <c r="I41" s="49"/>
      <c r="J41" s="49"/>
      <c r="K41" s="6">
        <f t="shared" si="0"/>
        <v>0</v>
      </c>
      <c r="L41" s="52"/>
      <c r="M41" s="53"/>
      <c r="N41" s="53"/>
      <c r="O41" s="7">
        <f t="shared" si="1"/>
        <v>0</v>
      </c>
      <c r="P41" s="56"/>
      <c r="Q41" s="57"/>
      <c r="R41" s="57"/>
      <c r="S41" s="8">
        <f t="shared" si="2"/>
        <v>0</v>
      </c>
      <c r="T41" s="44"/>
      <c r="U41" s="45"/>
      <c r="V41" s="45"/>
      <c r="W41" s="5">
        <f t="shared" si="3"/>
        <v>0</v>
      </c>
      <c r="X41" s="48"/>
      <c r="Y41" s="49"/>
      <c r="Z41" s="49"/>
      <c r="AA41" s="6">
        <f t="shared" si="4"/>
        <v>0</v>
      </c>
      <c r="AB41" s="52"/>
      <c r="AC41" s="53"/>
      <c r="AD41" s="53"/>
      <c r="AE41" s="7">
        <f t="shared" si="5"/>
        <v>0</v>
      </c>
      <c r="AF41" s="56"/>
      <c r="AG41" s="57"/>
      <c r="AH41" s="57"/>
      <c r="AI41" s="8">
        <f t="shared" si="6"/>
        <v>0</v>
      </c>
      <c r="AJ41" s="44"/>
      <c r="AK41" s="45"/>
      <c r="AL41" s="45"/>
      <c r="AM41" s="5">
        <f t="shared" si="7"/>
        <v>0</v>
      </c>
      <c r="AN41" s="48"/>
      <c r="AO41" s="49"/>
      <c r="AP41" s="49"/>
      <c r="AQ41" s="6">
        <f t="shared" si="8"/>
        <v>0</v>
      </c>
      <c r="AR41" s="52"/>
      <c r="AS41" s="53"/>
      <c r="AT41" s="53"/>
      <c r="AU41" s="53"/>
      <c r="AV41" s="116"/>
      <c r="AW41" s="113"/>
      <c r="AX41" s="124" t="s">
        <v>219</v>
      </c>
      <c r="AY41" s="60"/>
      <c r="AZ41" s="61"/>
      <c r="BA41" s="60" t="s">
        <v>158</v>
      </c>
      <c r="BB41" s="61" t="s">
        <v>159</v>
      </c>
    </row>
    <row r="42" spans="1:54" ht="40" customHeight="1" x14ac:dyDescent="0.75">
      <c r="A42" s="145">
        <v>37</v>
      </c>
      <c r="B42" s="146"/>
      <c r="C42" s="147"/>
      <c r="D42" s="44"/>
      <c r="E42" s="45"/>
      <c r="F42" s="45"/>
      <c r="G42" s="5">
        <f t="shared" si="9"/>
        <v>0</v>
      </c>
      <c r="H42" s="48"/>
      <c r="I42" s="49"/>
      <c r="J42" s="49"/>
      <c r="K42" s="6">
        <f t="shared" si="0"/>
        <v>0</v>
      </c>
      <c r="L42" s="52"/>
      <c r="M42" s="53"/>
      <c r="N42" s="53"/>
      <c r="O42" s="7">
        <f t="shared" si="1"/>
        <v>0</v>
      </c>
      <c r="P42" s="56"/>
      <c r="Q42" s="57"/>
      <c r="R42" s="57"/>
      <c r="S42" s="8">
        <f t="shared" si="2"/>
        <v>0</v>
      </c>
      <c r="T42" s="44"/>
      <c r="U42" s="45"/>
      <c r="V42" s="45"/>
      <c r="W42" s="5">
        <f t="shared" si="3"/>
        <v>0</v>
      </c>
      <c r="X42" s="48"/>
      <c r="Y42" s="49"/>
      <c r="Z42" s="49"/>
      <c r="AA42" s="6">
        <f t="shared" si="4"/>
        <v>0</v>
      </c>
      <c r="AB42" s="52"/>
      <c r="AC42" s="53"/>
      <c r="AD42" s="53"/>
      <c r="AE42" s="7">
        <f t="shared" si="5"/>
        <v>0</v>
      </c>
      <c r="AF42" s="56"/>
      <c r="AG42" s="57"/>
      <c r="AH42" s="57"/>
      <c r="AI42" s="8">
        <f t="shared" si="6"/>
        <v>0</v>
      </c>
      <c r="AJ42" s="44"/>
      <c r="AK42" s="45"/>
      <c r="AL42" s="45"/>
      <c r="AM42" s="5">
        <f t="shared" si="7"/>
        <v>0</v>
      </c>
      <c r="AN42" s="48"/>
      <c r="AO42" s="49"/>
      <c r="AP42" s="49"/>
      <c r="AQ42" s="6">
        <f t="shared" si="8"/>
        <v>0</v>
      </c>
      <c r="AR42" s="52"/>
      <c r="AS42" s="53"/>
      <c r="AT42" s="53"/>
      <c r="AU42" s="53"/>
      <c r="AV42" s="116"/>
      <c r="AW42" s="113"/>
      <c r="AX42" s="124" t="s">
        <v>220</v>
      </c>
      <c r="AY42" s="60"/>
      <c r="AZ42" s="61"/>
      <c r="BA42" s="60" t="s">
        <v>158</v>
      </c>
      <c r="BB42" s="61" t="s">
        <v>159</v>
      </c>
    </row>
    <row r="43" spans="1:54" ht="40" customHeight="1" x14ac:dyDescent="0.75">
      <c r="A43" s="145">
        <v>38</v>
      </c>
      <c r="B43" s="146"/>
      <c r="C43" s="147"/>
      <c r="D43" s="44"/>
      <c r="E43" s="45"/>
      <c r="F43" s="45"/>
      <c r="G43" s="5">
        <f t="shared" si="9"/>
        <v>0</v>
      </c>
      <c r="H43" s="48"/>
      <c r="I43" s="49"/>
      <c r="J43" s="49"/>
      <c r="K43" s="6">
        <f t="shared" si="0"/>
        <v>0</v>
      </c>
      <c r="L43" s="52"/>
      <c r="M43" s="53"/>
      <c r="N43" s="53"/>
      <c r="O43" s="7">
        <f t="shared" si="1"/>
        <v>0</v>
      </c>
      <c r="P43" s="56"/>
      <c r="Q43" s="57"/>
      <c r="R43" s="57"/>
      <c r="S43" s="8">
        <f t="shared" si="2"/>
        <v>0</v>
      </c>
      <c r="T43" s="44"/>
      <c r="U43" s="45"/>
      <c r="V43" s="45"/>
      <c r="W43" s="5">
        <f t="shared" si="3"/>
        <v>0</v>
      </c>
      <c r="X43" s="48"/>
      <c r="Y43" s="49"/>
      <c r="Z43" s="49"/>
      <c r="AA43" s="6">
        <f t="shared" si="4"/>
        <v>0</v>
      </c>
      <c r="AB43" s="52"/>
      <c r="AC43" s="53"/>
      <c r="AD43" s="53"/>
      <c r="AE43" s="7">
        <f t="shared" si="5"/>
        <v>0</v>
      </c>
      <c r="AF43" s="56"/>
      <c r="AG43" s="57"/>
      <c r="AH43" s="57"/>
      <c r="AI43" s="8">
        <f t="shared" si="6"/>
        <v>0</v>
      </c>
      <c r="AJ43" s="44"/>
      <c r="AK43" s="45"/>
      <c r="AL43" s="45"/>
      <c r="AM43" s="5">
        <f t="shared" si="7"/>
        <v>0</v>
      </c>
      <c r="AN43" s="48"/>
      <c r="AO43" s="49"/>
      <c r="AP43" s="49"/>
      <c r="AQ43" s="6">
        <f t="shared" si="8"/>
        <v>0</v>
      </c>
      <c r="AR43" s="52"/>
      <c r="AS43" s="53"/>
      <c r="AT43" s="53"/>
      <c r="AU43" s="53"/>
      <c r="AV43" s="116"/>
      <c r="AW43" s="113"/>
      <c r="AX43" s="124" t="s">
        <v>221</v>
      </c>
      <c r="AY43" s="60"/>
      <c r="AZ43" s="61"/>
      <c r="BA43" s="60" t="s">
        <v>158</v>
      </c>
      <c r="BB43" s="61" t="s">
        <v>159</v>
      </c>
    </row>
    <row r="44" spans="1:54" ht="40" customHeight="1" x14ac:dyDescent="0.75">
      <c r="A44" s="145">
        <v>39</v>
      </c>
      <c r="B44" s="146"/>
      <c r="C44" s="147"/>
      <c r="D44" s="44"/>
      <c r="E44" s="45"/>
      <c r="F44" s="45"/>
      <c r="G44" s="5">
        <f t="shared" si="9"/>
        <v>0</v>
      </c>
      <c r="H44" s="48"/>
      <c r="I44" s="49"/>
      <c r="J44" s="49"/>
      <c r="K44" s="6">
        <f t="shared" si="0"/>
        <v>0</v>
      </c>
      <c r="L44" s="52"/>
      <c r="M44" s="53"/>
      <c r="N44" s="53"/>
      <c r="O44" s="7">
        <f t="shared" si="1"/>
        <v>0</v>
      </c>
      <c r="P44" s="56"/>
      <c r="Q44" s="57"/>
      <c r="R44" s="57"/>
      <c r="S44" s="8">
        <f t="shared" si="2"/>
        <v>0</v>
      </c>
      <c r="T44" s="44"/>
      <c r="U44" s="45"/>
      <c r="V44" s="45"/>
      <c r="W44" s="5">
        <f t="shared" si="3"/>
        <v>0</v>
      </c>
      <c r="X44" s="48"/>
      <c r="Y44" s="49"/>
      <c r="Z44" s="49"/>
      <c r="AA44" s="6">
        <f t="shared" si="4"/>
        <v>0</v>
      </c>
      <c r="AB44" s="52"/>
      <c r="AC44" s="53"/>
      <c r="AD44" s="53"/>
      <c r="AE44" s="7">
        <f t="shared" si="5"/>
        <v>0</v>
      </c>
      <c r="AF44" s="56"/>
      <c r="AG44" s="57"/>
      <c r="AH44" s="57"/>
      <c r="AI44" s="8">
        <f t="shared" si="6"/>
        <v>0</v>
      </c>
      <c r="AJ44" s="44"/>
      <c r="AK44" s="45"/>
      <c r="AL44" s="45"/>
      <c r="AM44" s="5">
        <f t="shared" si="7"/>
        <v>0</v>
      </c>
      <c r="AN44" s="48"/>
      <c r="AO44" s="49"/>
      <c r="AP44" s="49"/>
      <c r="AQ44" s="6">
        <f t="shared" si="8"/>
        <v>0</v>
      </c>
      <c r="AR44" s="52"/>
      <c r="AS44" s="53"/>
      <c r="AT44" s="53"/>
      <c r="AU44" s="53"/>
      <c r="AV44" s="116"/>
      <c r="AW44" s="113"/>
      <c r="AX44" s="124" t="s">
        <v>222</v>
      </c>
      <c r="AY44" s="60"/>
      <c r="AZ44" s="61"/>
      <c r="BA44" s="60" t="s">
        <v>158</v>
      </c>
      <c r="BB44" s="61" t="s">
        <v>159</v>
      </c>
    </row>
    <row r="45" spans="1:54" ht="40" customHeight="1" x14ac:dyDescent="0.75">
      <c r="A45" s="145">
        <v>40</v>
      </c>
      <c r="B45" s="146"/>
      <c r="C45" s="147"/>
      <c r="D45" s="44"/>
      <c r="E45" s="45"/>
      <c r="F45" s="45"/>
      <c r="G45" s="5">
        <f t="shared" si="9"/>
        <v>0</v>
      </c>
      <c r="H45" s="48"/>
      <c r="I45" s="49"/>
      <c r="J45" s="49"/>
      <c r="K45" s="6">
        <f t="shared" si="0"/>
        <v>0</v>
      </c>
      <c r="L45" s="52"/>
      <c r="M45" s="53"/>
      <c r="N45" s="53"/>
      <c r="O45" s="7">
        <f t="shared" si="1"/>
        <v>0</v>
      </c>
      <c r="P45" s="56"/>
      <c r="Q45" s="57"/>
      <c r="R45" s="57"/>
      <c r="S45" s="8">
        <f t="shared" si="2"/>
        <v>0</v>
      </c>
      <c r="T45" s="44"/>
      <c r="U45" s="45"/>
      <c r="V45" s="45"/>
      <c r="W45" s="5">
        <f t="shared" si="3"/>
        <v>0</v>
      </c>
      <c r="X45" s="48"/>
      <c r="Y45" s="49"/>
      <c r="Z45" s="49"/>
      <c r="AA45" s="6">
        <f t="shared" si="4"/>
        <v>0</v>
      </c>
      <c r="AB45" s="52"/>
      <c r="AC45" s="53"/>
      <c r="AD45" s="53"/>
      <c r="AE45" s="7">
        <f t="shared" si="5"/>
        <v>0</v>
      </c>
      <c r="AF45" s="56"/>
      <c r="AG45" s="57"/>
      <c r="AH45" s="57"/>
      <c r="AI45" s="8">
        <f t="shared" si="6"/>
        <v>0</v>
      </c>
      <c r="AJ45" s="44"/>
      <c r="AK45" s="45"/>
      <c r="AL45" s="45"/>
      <c r="AM45" s="5">
        <f t="shared" si="7"/>
        <v>0</v>
      </c>
      <c r="AN45" s="48"/>
      <c r="AO45" s="49"/>
      <c r="AP45" s="49"/>
      <c r="AQ45" s="6">
        <f t="shared" si="8"/>
        <v>0</v>
      </c>
      <c r="AR45" s="52"/>
      <c r="AS45" s="53"/>
      <c r="AT45" s="53"/>
      <c r="AU45" s="53"/>
      <c r="AV45" s="116"/>
      <c r="AW45" s="113"/>
      <c r="AX45" s="124" t="s">
        <v>223</v>
      </c>
      <c r="AY45" s="60"/>
      <c r="AZ45" s="61"/>
      <c r="BA45" s="60" t="s">
        <v>158</v>
      </c>
      <c r="BB45" s="61" t="s">
        <v>159</v>
      </c>
    </row>
    <row r="46" spans="1:54" ht="40" customHeight="1" x14ac:dyDescent="0.75">
      <c r="A46" s="145">
        <v>41</v>
      </c>
      <c r="B46" s="146"/>
      <c r="C46" s="147"/>
      <c r="D46" s="44"/>
      <c r="E46" s="45"/>
      <c r="F46" s="45"/>
      <c r="G46" s="5">
        <f t="shared" si="9"/>
        <v>0</v>
      </c>
      <c r="H46" s="48"/>
      <c r="I46" s="49"/>
      <c r="J46" s="49"/>
      <c r="K46" s="6">
        <f t="shared" si="0"/>
        <v>0</v>
      </c>
      <c r="L46" s="52"/>
      <c r="M46" s="53"/>
      <c r="N46" s="53"/>
      <c r="O46" s="7">
        <f t="shared" si="1"/>
        <v>0</v>
      </c>
      <c r="P46" s="56"/>
      <c r="Q46" s="57"/>
      <c r="R46" s="57"/>
      <c r="S46" s="8">
        <f t="shared" si="2"/>
        <v>0</v>
      </c>
      <c r="T46" s="44"/>
      <c r="U46" s="45"/>
      <c r="V46" s="45"/>
      <c r="W46" s="5">
        <f t="shared" si="3"/>
        <v>0</v>
      </c>
      <c r="X46" s="48"/>
      <c r="Y46" s="49"/>
      <c r="Z46" s="49"/>
      <c r="AA46" s="6">
        <f t="shared" si="4"/>
        <v>0</v>
      </c>
      <c r="AB46" s="52"/>
      <c r="AC46" s="53"/>
      <c r="AD46" s="53"/>
      <c r="AE46" s="7">
        <f t="shared" si="5"/>
        <v>0</v>
      </c>
      <c r="AF46" s="56"/>
      <c r="AG46" s="57"/>
      <c r="AH46" s="57"/>
      <c r="AI46" s="8">
        <f t="shared" si="6"/>
        <v>0</v>
      </c>
      <c r="AJ46" s="44"/>
      <c r="AK46" s="45"/>
      <c r="AL46" s="45"/>
      <c r="AM46" s="5">
        <f t="shared" si="7"/>
        <v>0</v>
      </c>
      <c r="AN46" s="48"/>
      <c r="AO46" s="49"/>
      <c r="AP46" s="49"/>
      <c r="AQ46" s="6">
        <f t="shared" si="8"/>
        <v>0</v>
      </c>
      <c r="AR46" s="52"/>
      <c r="AS46" s="53"/>
      <c r="AT46" s="53"/>
      <c r="AU46" s="53"/>
      <c r="AV46" s="116"/>
      <c r="AW46" s="113"/>
      <c r="AX46" s="124" t="s">
        <v>224</v>
      </c>
      <c r="AY46" s="60"/>
      <c r="AZ46" s="61"/>
      <c r="BA46" s="60" t="s">
        <v>158</v>
      </c>
      <c r="BB46" s="61" t="s">
        <v>159</v>
      </c>
    </row>
    <row r="47" spans="1:54" ht="40" customHeight="1" x14ac:dyDescent="0.75">
      <c r="A47" s="145">
        <v>42</v>
      </c>
      <c r="B47" s="146"/>
      <c r="C47" s="147"/>
      <c r="D47" s="44"/>
      <c r="E47" s="45"/>
      <c r="F47" s="45"/>
      <c r="G47" s="5">
        <f t="shared" si="9"/>
        <v>0</v>
      </c>
      <c r="H47" s="48"/>
      <c r="I47" s="49"/>
      <c r="J47" s="49"/>
      <c r="K47" s="6">
        <f t="shared" si="0"/>
        <v>0</v>
      </c>
      <c r="L47" s="52"/>
      <c r="M47" s="53"/>
      <c r="N47" s="53"/>
      <c r="O47" s="7">
        <f t="shared" si="1"/>
        <v>0</v>
      </c>
      <c r="P47" s="56"/>
      <c r="Q47" s="57"/>
      <c r="R47" s="57"/>
      <c r="S47" s="8">
        <f t="shared" si="2"/>
        <v>0</v>
      </c>
      <c r="T47" s="44"/>
      <c r="U47" s="45"/>
      <c r="V47" s="45"/>
      <c r="W47" s="5">
        <f t="shared" si="3"/>
        <v>0</v>
      </c>
      <c r="X47" s="48"/>
      <c r="Y47" s="49"/>
      <c r="Z47" s="49"/>
      <c r="AA47" s="6">
        <f t="shared" si="4"/>
        <v>0</v>
      </c>
      <c r="AB47" s="52"/>
      <c r="AC47" s="53"/>
      <c r="AD47" s="53"/>
      <c r="AE47" s="7">
        <f t="shared" si="5"/>
        <v>0</v>
      </c>
      <c r="AF47" s="56"/>
      <c r="AG47" s="57"/>
      <c r="AH47" s="57"/>
      <c r="AI47" s="8">
        <f t="shared" si="6"/>
        <v>0</v>
      </c>
      <c r="AJ47" s="44"/>
      <c r="AK47" s="45"/>
      <c r="AL47" s="45"/>
      <c r="AM47" s="5">
        <f t="shared" si="7"/>
        <v>0</v>
      </c>
      <c r="AN47" s="48"/>
      <c r="AO47" s="49"/>
      <c r="AP47" s="49"/>
      <c r="AQ47" s="6">
        <f t="shared" si="8"/>
        <v>0</v>
      </c>
      <c r="AR47" s="52"/>
      <c r="AS47" s="53"/>
      <c r="AT47" s="53"/>
      <c r="AU47" s="53"/>
      <c r="AV47" s="116"/>
      <c r="AW47" s="113"/>
      <c r="AX47" s="124" t="s">
        <v>225</v>
      </c>
      <c r="AY47" s="60"/>
      <c r="AZ47" s="61"/>
      <c r="BA47" s="60" t="s">
        <v>158</v>
      </c>
      <c r="BB47" s="61" t="s">
        <v>159</v>
      </c>
    </row>
    <row r="48" spans="1:54" ht="40" customHeight="1" x14ac:dyDescent="0.75">
      <c r="A48" s="145">
        <v>43</v>
      </c>
      <c r="B48" s="146"/>
      <c r="C48" s="147"/>
      <c r="D48" s="44"/>
      <c r="E48" s="45"/>
      <c r="F48" s="45"/>
      <c r="G48" s="5">
        <f t="shared" si="9"/>
        <v>0</v>
      </c>
      <c r="H48" s="48"/>
      <c r="I48" s="49"/>
      <c r="J48" s="49"/>
      <c r="K48" s="6">
        <f t="shared" si="0"/>
        <v>0</v>
      </c>
      <c r="L48" s="52"/>
      <c r="M48" s="53"/>
      <c r="N48" s="53"/>
      <c r="O48" s="7">
        <f t="shared" si="1"/>
        <v>0</v>
      </c>
      <c r="P48" s="56"/>
      <c r="Q48" s="57"/>
      <c r="R48" s="57"/>
      <c r="S48" s="8">
        <f t="shared" si="2"/>
        <v>0</v>
      </c>
      <c r="T48" s="44"/>
      <c r="U48" s="45"/>
      <c r="V48" s="45"/>
      <c r="W48" s="5">
        <f t="shared" si="3"/>
        <v>0</v>
      </c>
      <c r="X48" s="48"/>
      <c r="Y48" s="49"/>
      <c r="Z48" s="49"/>
      <c r="AA48" s="6">
        <f t="shared" si="4"/>
        <v>0</v>
      </c>
      <c r="AB48" s="52"/>
      <c r="AC48" s="53"/>
      <c r="AD48" s="53"/>
      <c r="AE48" s="7">
        <f t="shared" si="5"/>
        <v>0</v>
      </c>
      <c r="AF48" s="56"/>
      <c r="AG48" s="57"/>
      <c r="AH48" s="57"/>
      <c r="AI48" s="8">
        <f t="shared" si="6"/>
        <v>0</v>
      </c>
      <c r="AJ48" s="44"/>
      <c r="AK48" s="45"/>
      <c r="AL48" s="45"/>
      <c r="AM48" s="5">
        <f t="shared" si="7"/>
        <v>0</v>
      </c>
      <c r="AN48" s="48"/>
      <c r="AO48" s="49"/>
      <c r="AP48" s="49"/>
      <c r="AQ48" s="6">
        <f t="shared" si="8"/>
        <v>0</v>
      </c>
      <c r="AR48" s="52"/>
      <c r="AS48" s="53"/>
      <c r="AT48" s="53"/>
      <c r="AU48" s="53"/>
      <c r="AV48" s="116"/>
      <c r="AW48" s="113"/>
      <c r="AX48" s="124" t="s">
        <v>226</v>
      </c>
      <c r="AY48" s="60"/>
      <c r="AZ48" s="61"/>
      <c r="BA48" s="60" t="s">
        <v>158</v>
      </c>
      <c r="BB48" s="61" t="s">
        <v>159</v>
      </c>
    </row>
    <row r="49" spans="1:54" ht="40" customHeight="1" x14ac:dyDescent="0.75">
      <c r="A49" s="145">
        <v>44</v>
      </c>
      <c r="B49" s="146"/>
      <c r="C49" s="147"/>
      <c r="D49" s="44"/>
      <c r="E49" s="45"/>
      <c r="F49" s="45"/>
      <c r="G49" s="5">
        <f t="shared" si="9"/>
        <v>0</v>
      </c>
      <c r="H49" s="48"/>
      <c r="I49" s="49"/>
      <c r="J49" s="49"/>
      <c r="K49" s="6">
        <f t="shared" si="0"/>
        <v>0</v>
      </c>
      <c r="L49" s="52"/>
      <c r="M49" s="53"/>
      <c r="N49" s="53"/>
      <c r="O49" s="7">
        <f t="shared" si="1"/>
        <v>0</v>
      </c>
      <c r="P49" s="56"/>
      <c r="Q49" s="57"/>
      <c r="R49" s="57"/>
      <c r="S49" s="8">
        <f t="shared" si="2"/>
        <v>0</v>
      </c>
      <c r="T49" s="44"/>
      <c r="U49" s="45"/>
      <c r="V49" s="45"/>
      <c r="W49" s="5">
        <f t="shared" si="3"/>
        <v>0</v>
      </c>
      <c r="X49" s="48"/>
      <c r="Y49" s="49"/>
      <c r="Z49" s="49"/>
      <c r="AA49" s="6">
        <f t="shared" si="4"/>
        <v>0</v>
      </c>
      <c r="AB49" s="52"/>
      <c r="AC49" s="53"/>
      <c r="AD49" s="53"/>
      <c r="AE49" s="7">
        <f t="shared" si="5"/>
        <v>0</v>
      </c>
      <c r="AF49" s="56"/>
      <c r="AG49" s="57"/>
      <c r="AH49" s="57"/>
      <c r="AI49" s="8">
        <f t="shared" si="6"/>
        <v>0</v>
      </c>
      <c r="AJ49" s="44"/>
      <c r="AK49" s="45"/>
      <c r="AL49" s="45"/>
      <c r="AM49" s="5">
        <f t="shared" si="7"/>
        <v>0</v>
      </c>
      <c r="AN49" s="48"/>
      <c r="AO49" s="49"/>
      <c r="AP49" s="49"/>
      <c r="AQ49" s="6">
        <f t="shared" si="8"/>
        <v>0</v>
      </c>
      <c r="AR49" s="52"/>
      <c r="AS49" s="53"/>
      <c r="AT49" s="53"/>
      <c r="AU49" s="53"/>
      <c r="AV49" s="116"/>
      <c r="AW49" s="113"/>
      <c r="AX49" s="124" t="s">
        <v>227</v>
      </c>
      <c r="AY49" s="60"/>
      <c r="AZ49" s="61"/>
      <c r="BA49" s="60" t="s">
        <v>158</v>
      </c>
      <c r="BB49" s="61" t="s">
        <v>159</v>
      </c>
    </row>
    <row r="50" spans="1:54" ht="40" customHeight="1" x14ac:dyDescent="0.75">
      <c r="A50" s="145">
        <v>45</v>
      </c>
      <c r="B50" s="146"/>
      <c r="C50" s="147"/>
      <c r="D50" s="44"/>
      <c r="E50" s="45"/>
      <c r="F50" s="45"/>
      <c r="G50" s="5">
        <f t="shared" si="9"/>
        <v>0</v>
      </c>
      <c r="H50" s="48"/>
      <c r="I50" s="49"/>
      <c r="J50" s="49"/>
      <c r="K50" s="6">
        <f t="shared" si="0"/>
        <v>0</v>
      </c>
      <c r="L50" s="52"/>
      <c r="M50" s="53"/>
      <c r="N50" s="53"/>
      <c r="O50" s="7">
        <f t="shared" si="1"/>
        <v>0</v>
      </c>
      <c r="P50" s="56"/>
      <c r="Q50" s="57"/>
      <c r="R50" s="57"/>
      <c r="S50" s="8">
        <f t="shared" si="2"/>
        <v>0</v>
      </c>
      <c r="T50" s="44"/>
      <c r="U50" s="45"/>
      <c r="V50" s="45"/>
      <c r="W50" s="5">
        <f t="shared" si="3"/>
        <v>0</v>
      </c>
      <c r="X50" s="48"/>
      <c r="Y50" s="49"/>
      <c r="Z50" s="49"/>
      <c r="AA50" s="6">
        <f t="shared" si="4"/>
        <v>0</v>
      </c>
      <c r="AB50" s="52"/>
      <c r="AC50" s="53"/>
      <c r="AD50" s="53"/>
      <c r="AE50" s="7">
        <f t="shared" si="5"/>
        <v>0</v>
      </c>
      <c r="AF50" s="56"/>
      <c r="AG50" s="57"/>
      <c r="AH50" s="57"/>
      <c r="AI50" s="8">
        <f t="shared" si="6"/>
        <v>0</v>
      </c>
      <c r="AJ50" s="44"/>
      <c r="AK50" s="45"/>
      <c r="AL50" s="45"/>
      <c r="AM50" s="5">
        <f t="shared" si="7"/>
        <v>0</v>
      </c>
      <c r="AN50" s="48"/>
      <c r="AO50" s="49"/>
      <c r="AP50" s="49"/>
      <c r="AQ50" s="6">
        <f t="shared" si="8"/>
        <v>0</v>
      </c>
      <c r="AR50" s="52"/>
      <c r="AS50" s="53"/>
      <c r="AT50" s="53"/>
      <c r="AU50" s="53"/>
      <c r="AV50" s="116"/>
      <c r="AW50" s="113"/>
      <c r="AX50" s="124" t="s">
        <v>228</v>
      </c>
      <c r="AY50" s="60"/>
      <c r="AZ50" s="61"/>
      <c r="BA50" s="60" t="s">
        <v>158</v>
      </c>
      <c r="BB50" s="61" t="s">
        <v>159</v>
      </c>
    </row>
    <row r="51" spans="1:54" ht="40" customHeight="1" x14ac:dyDescent="0.75">
      <c r="A51" s="145">
        <v>46</v>
      </c>
      <c r="B51" s="146"/>
      <c r="C51" s="147"/>
      <c r="D51" s="44"/>
      <c r="E51" s="45"/>
      <c r="F51" s="45"/>
      <c r="G51" s="5">
        <f t="shared" si="9"/>
        <v>0</v>
      </c>
      <c r="H51" s="48"/>
      <c r="I51" s="49"/>
      <c r="J51" s="49"/>
      <c r="K51" s="6">
        <f t="shared" si="0"/>
        <v>0</v>
      </c>
      <c r="L51" s="52"/>
      <c r="M51" s="53"/>
      <c r="N51" s="53"/>
      <c r="O51" s="7">
        <f t="shared" si="1"/>
        <v>0</v>
      </c>
      <c r="P51" s="56"/>
      <c r="Q51" s="57"/>
      <c r="R51" s="57"/>
      <c r="S51" s="8">
        <f t="shared" si="2"/>
        <v>0</v>
      </c>
      <c r="T51" s="44"/>
      <c r="U51" s="45"/>
      <c r="V51" s="45"/>
      <c r="W51" s="5">
        <f t="shared" si="3"/>
        <v>0</v>
      </c>
      <c r="X51" s="48"/>
      <c r="Y51" s="49"/>
      <c r="Z51" s="49"/>
      <c r="AA51" s="6">
        <f t="shared" si="4"/>
        <v>0</v>
      </c>
      <c r="AB51" s="52"/>
      <c r="AC51" s="53"/>
      <c r="AD51" s="53"/>
      <c r="AE51" s="7">
        <f t="shared" si="5"/>
        <v>0</v>
      </c>
      <c r="AF51" s="56"/>
      <c r="AG51" s="57"/>
      <c r="AH51" s="57"/>
      <c r="AI51" s="8">
        <f t="shared" si="6"/>
        <v>0</v>
      </c>
      <c r="AJ51" s="44"/>
      <c r="AK51" s="45"/>
      <c r="AL51" s="45"/>
      <c r="AM51" s="5">
        <f t="shared" si="7"/>
        <v>0</v>
      </c>
      <c r="AN51" s="48"/>
      <c r="AO51" s="49"/>
      <c r="AP51" s="49"/>
      <c r="AQ51" s="6">
        <f t="shared" si="8"/>
        <v>0</v>
      </c>
      <c r="AR51" s="52"/>
      <c r="AS51" s="53"/>
      <c r="AT51" s="53"/>
      <c r="AU51" s="53"/>
      <c r="AV51" s="116"/>
      <c r="AW51" s="113"/>
      <c r="AX51" s="124" t="s">
        <v>229</v>
      </c>
      <c r="AY51" s="60"/>
      <c r="AZ51" s="61"/>
      <c r="BA51" s="60" t="s">
        <v>158</v>
      </c>
      <c r="BB51" s="61" t="s">
        <v>159</v>
      </c>
    </row>
    <row r="52" spans="1:54" ht="40" customHeight="1" x14ac:dyDescent="0.75">
      <c r="A52" s="145">
        <v>47</v>
      </c>
      <c r="B52" s="146"/>
      <c r="C52" s="147"/>
      <c r="D52" s="44"/>
      <c r="E52" s="45"/>
      <c r="F52" s="45"/>
      <c r="G52" s="5">
        <f t="shared" si="9"/>
        <v>0</v>
      </c>
      <c r="H52" s="48"/>
      <c r="I52" s="49"/>
      <c r="J52" s="49"/>
      <c r="K52" s="6">
        <f t="shared" si="0"/>
        <v>0</v>
      </c>
      <c r="L52" s="52"/>
      <c r="M52" s="53"/>
      <c r="N52" s="53"/>
      <c r="O52" s="7">
        <f t="shared" si="1"/>
        <v>0</v>
      </c>
      <c r="P52" s="56"/>
      <c r="Q52" s="57"/>
      <c r="R52" s="57"/>
      <c r="S52" s="8">
        <f t="shared" si="2"/>
        <v>0</v>
      </c>
      <c r="T52" s="44"/>
      <c r="U52" s="45"/>
      <c r="V52" s="45"/>
      <c r="W52" s="5">
        <f t="shared" si="3"/>
        <v>0</v>
      </c>
      <c r="X52" s="48"/>
      <c r="Y52" s="49"/>
      <c r="Z52" s="49"/>
      <c r="AA52" s="6">
        <f t="shared" si="4"/>
        <v>0</v>
      </c>
      <c r="AB52" s="52"/>
      <c r="AC52" s="53"/>
      <c r="AD52" s="53"/>
      <c r="AE52" s="7">
        <f t="shared" si="5"/>
        <v>0</v>
      </c>
      <c r="AF52" s="56"/>
      <c r="AG52" s="57"/>
      <c r="AH52" s="57"/>
      <c r="AI52" s="8">
        <f t="shared" si="6"/>
        <v>0</v>
      </c>
      <c r="AJ52" s="44"/>
      <c r="AK52" s="45"/>
      <c r="AL52" s="45"/>
      <c r="AM52" s="5">
        <f t="shared" si="7"/>
        <v>0</v>
      </c>
      <c r="AN52" s="48"/>
      <c r="AO52" s="49"/>
      <c r="AP52" s="49"/>
      <c r="AQ52" s="6">
        <f t="shared" si="8"/>
        <v>0</v>
      </c>
      <c r="AR52" s="52"/>
      <c r="AS52" s="53"/>
      <c r="AT52" s="53"/>
      <c r="AU52" s="53"/>
      <c r="AV52" s="116"/>
      <c r="AW52" s="113"/>
      <c r="AX52" s="124" t="s">
        <v>230</v>
      </c>
      <c r="AY52" s="60"/>
      <c r="AZ52" s="61"/>
      <c r="BA52" s="60" t="s">
        <v>158</v>
      </c>
      <c r="BB52" s="61" t="s">
        <v>159</v>
      </c>
    </row>
    <row r="53" spans="1:54" ht="40" customHeight="1" x14ac:dyDescent="0.75">
      <c r="A53" s="145">
        <v>48</v>
      </c>
      <c r="B53" s="146"/>
      <c r="C53" s="147"/>
      <c r="D53" s="44"/>
      <c r="E53" s="45"/>
      <c r="F53" s="45"/>
      <c r="G53" s="5">
        <f t="shared" si="9"/>
        <v>0</v>
      </c>
      <c r="H53" s="48"/>
      <c r="I53" s="49"/>
      <c r="J53" s="49"/>
      <c r="K53" s="6">
        <f t="shared" si="0"/>
        <v>0</v>
      </c>
      <c r="L53" s="52"/>
      <c r="M53" s="53"/>
      <c r="N53" s="53"/>
      <c r="O53" s="7">
        <f t="shared" si="1"/>
        <v>0</v>
      </c>
      <c r="P53" s="56"/>
      <c r="Q53" s="57"/>
      <c r="R53" s="57"/>
      <c r="S53" s="8">
        <f t="shared" si="2"/>
        <v>0</v>
      </c>
      <c r="T53" s="44"/>
      <c r="U53" s="45"/>
      <c r="V53" s="45"/>
      <c r="W53" s="5">
        <f t="shared" si="3"/>
        <v>0</v>
      </c>
      <c r="X53" s="48"/>
      <c r="Y53" s="49"/>
      <c r="Z53" s="49"/>
      <c r="AA53" s="6">
        <f t="shared" si="4"/>
        <v>0</v>
      </c>
      <c r="AB53" s="52"/>
      <c r="AC53" s="53"/>
      <c r="AD53" s="53"/>
      <c r="AE53" s="7">
        <f t="shared" si="5"/>
        <v>0</v>
      </c>
      <c r="AF53" s="56"/>
      <c r="AG53" s="57"/>
      <c r="AH53" s="57"/>
      <c r="AI53" s="8">
        <f t="shared" si="6"/>
        <v>0</v>
      </c>
      <c r="AJ53" s="44"/>
      <c r="AK53" s="45"/>
      <c r="AL53" s="45"/>
      <c r="AM53" s="5">
        <f t="shared" si="7"/>
        <v>0</v>
      </c>
      <c r="AN53" s="48"/>
      <c r="AO53" s="49"/>
      <c r="AP53" s="49"/>
      <c r="AQ53" s="6">
        <f t="shared" si="8"/>
        <v>0</v>
      </c>
      <c r="AR53" s="52"/>
      <c r="AS53" s="53"/>
      <c r="AT53" s="53"/>
      <c r="AU53" s="53"/>
      <c r="AV53" s="116"/>
      <c r="AW53" s="113"/>
      <c r="AX53" s="124" t="s">
        <v>231</v>
      </c>
      <c r="AY53" s="60"/>
      <c r="AZ53" s="61"/>
      <c r="BA53" s="60" t="s">
        <v>158</v>
      </c>
      <c r="BB53" s="61" t="s">
        <v>159</v>
      </c>
    </row>
    <row r="54" spans="1:54" ht="40" customHeight="1" x14ac:dyDescent="0.75">
      <c r="A54" s="145">
        <v>49</v>
      </c>
      <c r="B54" s="146"/>
      <c r="C54" s="147"/>
      <c r="D54" s="44"/>
      <c r="E54" s="45"/>
      <c r="F54" s="45"/>
      <c r="G54" s="5">
        <f t="shared" si="9"/>
        <v>0</v>
      </c>
      <c r="H54" s="48"/>
      <c r="I54" s="49"/>
      <c r="J54" s="49"/>
      <c r="K54" s="6">
        <f t="shared" si="0"/>
        <v>0</v>
      </c>
      <c r="L54" s="52"/>
      <c r="M54" s="53"/>
      <c r="N54" s="53"/>
      <c r="O54" s="7">
        <f t="shared" si="1"/>
        <v>0</v>
      </c>
      <c r="P54" s="56"/>
      <c r="Q54" s="57"/>
      <c r="R54" s="57"/>
      <c r="S54" s="8">
        <f t="shared" si="2"/>
        <v>0</v>
      </c>
      <c r="T54" s="44"/>
      <c r="U54" s="45"/>
      <c r="V54" s="45"/>
      <c r="W54" s="5">
        <f t="shared" si="3"/>
        <v>0</v>
      </c>
      <c r="X54" s="48"/>
      <c r="Y54" s="49"/>
      <c r="Z54" s="49"/>
      <c r="AA54" s="6">
        <f t="shared" si="4"/>
        <v>0</v>
      </c>
      <c r="AB54" s="52"/>
      <c r="AC54" s="53"/>
      <c r="AD54" s="53"/>
      <c r="AE54" s="7">
        <f t="shared" si="5"/>
        <v>0</v>
      </c>
      <c r="AF54" s="56"/>
      <c r="AG54" s="57"/>
      <c r="AH54" s="57"/>
      <c r="AI54" s="8">
        <f t="shared" si="6"/>
        <v>0</v>
      </c>
      <c r="AJ54" s="44"/>
      <c r="AK54" s="45"/>
      <c r="AL54" s="45"/>
      <c r="AM54" s="5">
        <f t="shared" si="7"/>
        <v>0</v>
      </c>
      <c r="AN54" s="48"/>
      <c r="AO54" s="49"/>
      <c r="AP54" s="49"/>
      <c r="AQ54" s="6">
        <f t="shared" si="8"/>
        <v>0</v>
      </c>
      <c r="AR54" s="52"/>
      <c r="AS54" s="53"/>
      <c r="AT54" s="53"/>
      <c r="AU54" s="53"/>
      <c r="AV54" s="116"/>
      <c r="AW54" s="113"/>
      <c r="AX54" s="124" t="s">
        <v>232</v>
      </c>
      <c r="AY54" s="60"/>
      <c r="AZ54" s="61"/>
      <c r="BA54" s="60" t="s">
        <v>158</v>
      </c>
      <c r="BB54" s="61" t="s">
        <v>159</v>
      </c>
    </row>
    <row r="55" spans="1:54" ht="40" customHeight="1" thickBot="1" x14ac:dyDescent="0.9">
      <c r="A55" s="150">
        <v>50</v>
      </c>
      <c r="B55" s="151"/>
      <c r="C55" s="152"/>
      <c r="D55" s="46"/>
      <c r="E55" s="47"/>
      <c r="F55" s="47"/>
      <c r="G55" s="120">
        <f t="shared" si="9"/>
        <v>0</v>
      </c>
      <c r="H55" s="50"/>
      <c r="I55" s="51"/>
      <c r="J55" s="51"/>
      <c r="K55" s="121">
        <f t="shared" si="0"/>
        <v>0</v>
      </c>
      <c r="L55" s="54"/>
      <c r="M55" s="55"/>
      <c r="N55" s="55"/>
      <c r="O55" s="122">
        <f t="shared" si="1"/>
        <v>0</v>
      </c>
      <c r="P55" s="58"/>
      <c r="Q55" s="59"/>
      <c r="R55" s="59"/>
      <c r="S55" s="123">
        <f t="shared" si="2"/>
        <v>0</v>
      </c>
      <c r="T55" s="46"/>
      <c r="U55" s="47"/>
      <c r="V55" s="47"/>
      <c r="W55" s="120">
        <f t="shared" si="3"/>
        <v>0</v>
      </c>
      <c r="X55" s="50"/>
      <c r="Y55" s="51"/>
      <c r="Z55" s="51"/>
      <c r="AA55" s="121">
        <f t="shared" si="4"/>
        <v>0</v>
      </c>
      <c r="AB55" s="54"/>
      <c r="AC55" s="55"/>
      <c r="AD55" s="55"/>
      <c r="AE55" s="122">
        <f t="shared" si="5"/>
        <v>0</v>
      </c>
      <c r="AF55" s="58"/>
      <c r="AG55" s="59"/>
      <c r="AH55" s="59"/>
      <c r="AI55" s="123">
        <f t="shared" si="6"/>
        <v>0</v>
      </c>
      <c r="AJ55" s="46"/>
      <c r="AK55" s="47"/>
      <c r="AL55" s="47"/>
      <c r="AM55" s="120">
        <f t="shared" si="7"/>
        <v>0</v>
      </c>
      <c r="AN55" s="50"/>
      <c r="AO55" s="51"/>
      <c r="AP55" s="51"/>
      <c r="AQ55" s="121">
        <f t="shared" si="8"/>
        <v>0</v>
      </c>
      <c r="AR55" s="54"/>
      <c r="AS55" s="55"/>
      <c r="AT55" s="55"/>
      <c r="AU55" s="55"/>
      <c r="AV55" s="117"/>
      <c r="AW55" s="118"/>
      <c r="AX55" s="125" t="s">
        <v>233</v>
      </c>
      <c r="AY55" s="62"/>
      <c r="AZ55" s="63"/>
      <c r="BA55" s="62" t="s">
        <v>158</v>
      </c>
      <c r="BB55" s="63" t="s">
        <v>159</v>
      </c>
    </row>
    <row r="56" spans="1:54" ht="15.5" thickTop="1" x14ac:dyDescent="0.75"/>
  </sheetData>
  <sheetProtection formatColumns="0" formatRows="0" insertHyperlinks="0"/>
  <mergeCells count="14">
    <mergeCell ref="BA2:BB3"/>
    <mergeCell ref="AY2:AZ3"/>
    <mergeCell ref="A2:C3"/>
    <mergeCell ref="D2:G3"/>
    <mergeCell ref="H2:K3"/>
    <mergeCell ref="L2:O3"/>
    <mergeCell ref="P2:S3"/>
    <mergeCell ref="T2:W3"/>
    <mergeCell ref="X2:AA3"/>
    <mergeCell ref="AB2:AE3"/>
    <mergeCell ref="AF2:AI3"/>
    <mergeCell ref="AJ2:AM3"/>
    <mergeCell ref="AN2:AQ3"/>
    <mergeCell ref="AR2:AX3"/>
  </mergeCells>
  <phoneticPr fontId="21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42E4A-9ED3-4CD4-9062-4D97CE02424F}">
  <sheetPr codeName="Sheet6"/>
  <dimension ref="A1:T58"/>
  <sheetViews>
    <sheetView zoomScale="77" zoomScaleNormal="77" workbookViewId="0">
      <selection activeCell="V18" sqref="V18"/>
    </sheetView>
  </sheetViews>
  <sheetFormatPr defaultRowHeight="14.75" x14ac:dyDescent="0.75"/>
  <cols>
    <col min="1" max="1" width="4.08984375" customWidth="1"/>
    <col min="2" max="2" width="23.90625" customWidth="1"/>
    <col min="3" max="3" width="12.08984375" customWidth="1"/>
    <col min="4" max="4" width="4.26953125" customWidth="1"/>
    <col min="5" max="5" width="6.54296875" customWidth="1"/>
    <col min="6" max="6" width="4.54296875" customWidth="1"/>
    <col min="7" max="7" width="6.54296875" customWidth="1"/>
    <col min="8" max="8" width="5.1796875" customWidth="1"/>
    <col min="9" max="9" width="4.36328125" customWidth="1"/>
    <col min="10" max="10" width="4.7265625" customWidth="1"/>
    <col min="11" max="11" width="5.36328125" customWidth="1"/>
    <col min="12" max="12" width="4.26953125" customWidth="1"/>
    <col min="13" max="13" width="5.08984375" customWidth="1"/>
    <col min="14" max="14" width="5.81640625" customWidth="1"/>
    <col min="15" max="15" width="6.453125" customWidth="1"/>
    <col min="16" max="16" width="5.6328125" bestFit="1" customWidth="1"/>
    <col min="17" max="17" width="6.54296875" customWidth="1"/>
    <col min="18" max="18" width="3.7265625" customWidth="1"/>
    <col min="19" max="19" width="15.7265625" customWidth="1"/>
    <col min="20" max="20" width="26.08984375" customWidth="1"/>
  </cols>
  <sheetData>
    <row r="1" spans="1:20" ht="15.5" thickBot="1" x14ac:dyDescent="0.9">
      <c r="C1" s="205"/>
      <c r="D1" s="205"/>
      <c r="E1" s="205"/>
      <c r="F1" s="205"/>
      <c r="G1" s="205"/>
      <c r="H1" s="205"/>
      <c r="I1" s="205"/>
      <c r="J1" s="205"/>
      <c r="K1" s="205"/>
      <c r="L1" s="205"/>
      <c r="M1" s="205"/>
    </row>
    <row r="2" spans="1:20" ht="16.75" x14ac:dyDescent="0.75">
      <c r="C2" s="205"/>
      <c r="D2" s="205"/>
      <c r="E2" s="205"/>
      <c r="F2" s="205"/>
      <c r="G2" s="205"/>
      <c r="H2" s="205"/>
      <c r="I2" s="205"/>
      <c r="J2" s="205"/>
      <c r="K2" s="205"/>
      <c r="L2" s="205"/>
      <c r="M2" s="205"/>
      <c r="S2" s="195" t="s">
        <v>179</v>
      </c>
      <c r="T2" s="196"/>
    </row>
    <row r="3" spans="1:20" ht="16.75" x14ac:dyDescent="0.75">
      <c r="S3" s="38" t="s">
        <v>173</v>
      </c>
      <c r="T3" s="39" t="s">
        <v>240</v>
      </c>
    </row>
    <row r="4" spans="1:20" ht="16.75" x14ac:dyDescent="0.75">
      <c r="S4" s="40" t="s">
        <v>174</v>
      </c>
      <c r="T4" s="41" t="s">
        <v>175</v>
      </c>
    </row>
    <row r="5" spans="1:20" ht="17.5" thickBot="1" x14ac:dyDescent="0.9">
      <c r="S5" s="42" t="s">
        <v>176</v>
      </c>
      <c r="T5" s="43" t="s">
        <v>177</v>
      </c>
    </row>
    <row r="8" spans="1:20" ht="23.5" x14ac:dyDescent="0.75">
      <c r="A8" s="28" t="s">
        <v>46</v>
      </c>
      <c r="B8" s="31" t="s">
        <v>47</v>
      </c>
      <c r="C8" s="32" t="s">
        <v>79</v>
      </c>
      <c r="D8" s="31" t="s">
        <v>48</v>
      </c>
      <c r="E8" s="31" t="s">
        <v>49</v>
      </c>
      <c r="F8" s="31" t="s">
        <v>50</v>
      </c>
      <c r="G8" s="28" t="s">
        <v>51</v>
      </c>
      <c r="H8" s="31" t="s">
        <v>52</v>
      </c>
      <c r="I8" s="31" t="s">
        <v>53</v>
      </c>
      <c r="J8" s="31" t="s">
        <v>54</v>
      </c>
      <c r="K8" s="28" t="s">
        <v>55</v>
      </c>
      <c r="L8" s="31" t="s">
        <v>56</v>
      </c>
      <c r="M8" s="28" t="s">
        <v>57</v>
      </c>
      <c r="N8" s="33" t="s">
        <v>58</v>
      </c>
      <c r="O8" s="31" t="s">
        <v>59</v>
      </c>
      <c r="P8" s="31" t="s">
        <v>60</v>
      </c>
      <c r="Q8" s="32" t="s">
        <v>61</v>
      </c>
      <c r="S8" s="30" t="s">
        <v>178</v>
      </c>
      <c r="T8" s="30" t="s">
        <v>162</v>
      </c>
    </row>
    <row r="9" spans="1:20" x14ac:dyDescent="0.75">
      <c r="A9" s="28">
        <v>1</v>
      </c>
      <c r="B9" s="28" t="str">
        <f>VLOOKUP(Table142[[#This Row],[S/No]],DATABASE!A6:AQ55,2,FALSE)</f>
        <v>KAMALUDEEN U. SHEHU</v>
      </c>
      <c r="C9" s="28" t="str">
        <f>VLOOKUP(Table142[[#This Row],[S/No]],DATABASE!A6:AQ55,3,FALSE)</f>
        <v>TCS/2015/372</v>
      </c>
      <c r="D9" s="28">
        <f>VLOOKUP(Table142[[#This Row],[S/No]],Table8[#All],4,FALSE)</f>
        <v>10</v>
      </c>
      <c r="E9" s="28">
        <f>VLOOKUP(Table142[[#This Row],[S/No]],Table8[#All],8,FALSE)</f>
        <v>10</v>
      </c>
      <c r="F9" s="28">
        <f>VLOOKUP(Table142[[#This Row],[S/No]],Table8[#All],12,FALSE)</f>
        <v>10</v>
      </c>
      <c r="G9" s="28">
        <f>VLOOKUP(Table142[[#This Row],[S/No]],Table8[#All],16,FALSE)</f>
        <v>10</v>
      </c>
      <c r="H9" s="28">
        <f>VLOOKUP(Table142[[#This Row],[S/No]],Table8[#All],20,FALSE)</f>
        <v>10</v>
      </c>
      <c r="I9" s="28">
        <f>VLOOKUP(Table142[[#This Row],[S/No]],Table8[#All],24,FALSE)</f>
        <v>10</v>
      </c>
      <c r="J9" s="28">
        <f>VLOOKUP(Table142[[#This Row],[S/No]],Table8[#All],28,FALSE)</f>
        <v>10</v>
      </c>
      <c r="K9" s="28">
        <f>VLOOKUP(Table142[[#This Row],[S/No]],Table8[#All],32,FALSE)</f>
        <v>10</v>
      </c>
      <c r="L9" s="28">
        <f>VLOOKUP(Table142[[#This Row],[S/No]],Table8[#All],36,FALSE)</f>
        <v>10</v>
      </c>
      <c r="M9" s="28">
        <f>VLOOKUP(Table142[[#This Row],[S/No]],Table8[#All],40,FALSE)</f>
        <v>10</v>
      </c>
      <c r="N9" s="28">
        <v>10</v>
      </c>
      <c r="O9" s="28">
        <f t="shared" ref="O9:O58" si="0">SUM(D9:M9)</f>
        <v>100</v>
      </c>
      <c r="P9" s="36">
        <f>SUM(Table142[[#This Row],[Ctz]:[Spell]])/(Table142[[#This Row],[No. of Sub.]]*20)</f>
        <v>0.5</v>
      </c>
      <c r="Q9" s="28">
        <f t="shared" ref="Q9:Q40" si="1">IF(P9&gt;0, RANK(P9, $P$9:$P$58))</f>
        <v>22</v>
      </c>
      <c r="S9" s="30" t="s">
        <v>163</v>
      </c>
      <c r="T9" s="30">
        <f>COUNTIF(Table142[AVE],"&lt;&gt;0")</f>
        <v>23</v>
      </c>
    </row>
    <row r="10" spans="1:20" x14ac:dyDescent="0.75">
      <c r="A10" s="28">
        <v>2</v>
      </c>
      <c r="B10" s="28" t="str">
        <f>VLOOKUP(Table142[[#This Row],[S/No]],DATABASE!A7:AQ56,2,FALSE)</f>
        <v>REHOBOTH ENENCHE</v>
      </c>
      <c r="C10" s="28" t="str">
        <f>VLOOKUP(Table142[[#This Row],[S/No]],DATABASE!A7:AQ56,3,FALSE)</f>
        <v>TCS/2015/386</v>
      </c>
      <c r="D10" s="28">
        <f>VLOOKUP(Table142[[#This Row],[S/No]],Table8[#All],4,FALSE)</f>
        <v>11</v>
      </c>
      <c r="E10" s="28">
        <f>VLOOKUP(Table142[[#This Row],[S/No]],Table8[#All],8,FALSE)</f>
        <v>11</v>
      </c>
      <c r="F10" s="28">
        <f>VLOOKUP(Table142[[#This Row],[S/No]],Table8[#All],12,FALSE)</f>
        <v>11</v>
      </c>
      <c r="G10" s="28">
        <f>VLOOKUP(Table142[[#This Row],[S/No]],Table8[#All],16,FALSE)</f>
        <v>11</v>
      </c>
      <c r="H10" s="28">
        <f>VLOOKUP(Table142[[#This Row],[S/No]],Table8[#All],20,FALSE)</f>
        <v>11</v>
      </c>
      <c r="I10" s="28">
        <f>VLOOKUP(Table142[[#This Row],[S/No]],Table8[#All],24,FALSE)</f>
        <v>11</v>
      </c>
      <c r="J10" s="28">
        <f>VLOOKUP(Table142[[#This Row],[S/No]],Table8[#All],28,FALSE)</f>
        <v>11</v>
      </c>
      <c r="K10" s="28">
        <f>VLOOKUP(Table142[[#This Row],[S/No]],Table8[#All],32,FALSE)</f>
        <v>11</v>
      </c>
      <c r="L10" s="28">
        <f>VLOOKUP(Table142[[#This Row],[S/No]],Table8[#All],36,FALSE)</f>
        <v>11</v>
      </c>
      <c r="M10" s="28">
        <f>VLOOKUP(Table142[[#This Row],[S/No]],Table8[#All],40,FALSE)</f>
        <v>11</v>
      </c>
      <c r="N10" s="28">
        <v>10</v>
      </c>
      <c r="O10" s="28">
        <f t="shared" si="0"/>
        <v>110</v>
      </c>
      <c r="P10" s="36">
        <f>SUM(Table142[[#This Row],[Ctz]:[Spell]])/(Table142[[#This Row],[No. of Sub.]]*20)</f>
        <v>0.55000000000000004</v>
      </c>
      <c r="Q10" s="28">
        <f t="shared" si="1"/>
        <v>18</v>
      </c>
      <c r="S10" s="30" t="s">
        <v>164</v>
      </c>
      <c r="T10" s="35">
        <f>AVERAGEIF(Table142[AVE], "&gt;0")</f>
        <v>0.73260869565217401</v>
      </c>
    </row>
    <row r="11" spans="1:20" x14ac:dyDescent="0.75">
      <c r="A11" s="28">
        <v>3</v>
      </c>
      <c r="B11" s="28" t="str">
        <f>VLOOKUP(Table142[[#This Row],[S/No]],DATABASE!A8:AQ57,2,FALSE)</f>
        <v>ZAINAB SULE</v>
      </c>
      <c r="C11" s="28" t="str">
        <f>VLOOKUP(Table142[[#This Row],[S/No]],DATABASE!A8:AQ57,3,FALSE)</f>
        <v>TCS/2016/460</v>
      </c>
      <c r="D11" s="28">
        <f>VLOOKUP(Table142[[#This Row],[S/No]],Table8[#All],4,FALSE)</f>
        <v>12</v>
      </c>
      <c r="E11" s="28">
        <f>VLOOKUP(Table142[[#This Row],[S/No]],Table8[#All],8,FALSE)</f>
        <v>12</v>
      </c>
      <c r="F11" s="28">
        <f>VLOOKUP(Table142[[#This Row],[S/No]],Table8[#All],12,FALSE)</f>
        <v>12</v>
      </c>
      <c r="G11" s="28">
        <f>VLOOKUP(Table142[[#This Row],[S/No]],Table8[#All],16,FALSE)</f>
        <v>12</v>
      </c>
      <c r="H11" s="28">
        <f>VLOOKUP(Table142[[#This Row],[S/No]],Table8[#All],20,FALSE)</f>
        <v>12</v>
      </c>
      <c r="I11" s="28">
        <f>VLOOKUP(Table142[[#This Row],[S/No]],Table8[#All],24,FALSE)</f>
        <v>12</v>
      </c>
      <c r="J11" s="28">
        <f>VLOOKUP(Table142[[#This Row],[S/No]],Table8[#All],28,FALSE)</f>
        <v>12</v>
      </c>
      <c r="K11" s="29">
        <f>VLOOKUP(Table142[[#This Row],[S/No]],Table8[#All],32,FALSE)</f>
        <v>12</v>
      </c>
      <c r="L11" s="28">
        <f>VLOOKUP(Table142[[#This Row],[S/No]],Table8[#All],36,FALSE)</f>
        <v>12</v>
      </c>
      <c r="M11" s="28">
        <f>VLOOKUP(Table142[[#This Row],[S/No]],Table8[#All],40,FALSE)</f>
        <v>12</v>
      </c>
      <c r="N11" s="28">
        <v>10</v>
      </c>
      <c r="O11" s="28">
        <f t="shared" si="0"/>
        <v>120</v>
      </c>
      <c r="P11" s="36">
        <f>SUM(Table142[[#This Row],[Ctz]:[Spell]])/(Table142[[#This Row],[No. of Sub.]]*20)</f>
        <v>0.6</v>
      </c>
      <c r="Q11" s="28">
        <f t="shared" si="1"/>
        <v>16</v>
      </c>
      <c r="S11" s="30" t="s">
        <v>165</v>
      </c>
      <c r="T11" s="35">
        <f t="array" ref="T11">MAX(IF(Table142[AVE]&lt;&gt;0, Table142[AVE]))</f>
        <v>0.95</v>
      </c>
    </row>
    <row r="12" spans="1:20" x14ac:dyDescent="0.75">
      <c r="A12" s="28">
        <v>4</v>
      </c>
      <c r="B12" s="28" t="str">
        <f>VLOOKUP(Table142[[#This Row],[S/No]],DATABASE!A9:AQ58,2,FALSE)</f>
        <v>AHMED MARTE</v>
      </c>
      <c r="C12" s="28" t="str">
        <f>VLOOKUP(Table142[[#This Row],[S/No]],DATABASE!A9:AQ58,3,FALSE)</f>
        <v>TCS/2016/475</v>
      </c>
      <c r="D12" s="28">
        <f>VLOOKUP(Table142[[#This Row],[S/No]],Table8[#All],4,FALSE)</f>
        <v>17</v>
      </c>
      <c r="E12" s="28">
        <f>VLOOKUP(Table142[[#This Row],[S/No]],Table8[#All],8,FALSE)</f>
        <v>17</v>
      </c>
      <c r="F12" s="28">
        <f>VLOOKUP(Table142[[#This Row],[S/No]],Table8[#All],12,FALSE)</f>
        <v>17</v>
      </c>
      <c r="G12" s="28">
        <f>VLOOKUP(Table142[[#This Row],[S/No]],Table8[#All],16,FALSE)</f>
        <v>17</v>
      </c>
      <c r="H12" s="28">
        <f>VLOOKUP(Table142[[#This Row],[S/No]],Table8[#All],20,FALSE)</f>
        <v>17</v>
      </c>
      <c r="I12" s="28">
        <f>VLOOKUP(Table142[[#This Row],[S/No]],Table8[#All],24,FALSE)</f>
        <v>17</v>
      </c>
      <c r="J12" s="28">
        <f>VLOOKUP(Table142[[#This Row],[S/No]],Table8[#All],28,FALSE)</f>
        <v>17</v>
      </c>
      <c r="K12" s="28">
        <f>VLOOKUP(Table142[[#This Row],[S/No]],Table8[#All],32,FALSE)</f>
        <v>17</v>
      </c>
      <c r="L12" s="28">
        <f>VLOOKUP(Table142[[#This Row],[S/No]],Table8[#All],36,FALSE)</f>
        <v>17</v>
      </c>
      <c r="M12" s="28">
        <f>VLOOKUP(Table142[[#This Row],[S/No]],Table8[#All],40,FALSE)</f>
        <v>17</v>
      </c>
      <c r="N12" s="28">
        <v>10</v>
      </c>
      <c r="O12" s="28">
        <f t="shared" si="0"/>
        <v>170</v>
      </c>
      <c r="P12" s="36">
        <f>SUM(Table142[[#This Row],[Ctz]:[Spell]])/(Table142[[#This Row],[No. of Sub.]]*20)</f>
        <v>0.85</v>
      </c>
      <c r="Q12" s="28">
        <f t="shared" si="1"/>
        <v>6</v>
      </c>
      <c r="S12" s="30" t="s">
        <v>166</v>
      </c>
      <c r="T12" s="35">
        <f t="array" ref="T12">MIN(IF(Table142[AVE]&lt;&gt;0, Table142[AVE]))</f>
        <v>0.45</v>
      </c>
    </row>
    <row r="13" spans="1:20" x14ac:dyDescent="0.75">
      <c r="A13" s="28">
        <v>5</v>
      </c>
      <c r="B13" s="28" t="str">
        <f>VLOOKUP(Table142[[#This Row],[S/No]],DATABASE!A10:AQ59,2,FALSE)</f>
        <v>ILHAM JIBRIL</v>
      </c>
      <c r="C13" s="28" t="str">
        <f>VLOOKUP(Table142[[#This Row],[S/No]],DATABASE!A10:AQ59,3,FALSE)</f>
        <v>TCS/2017/557</v>
      </c>
      <c r="D13" s="28">
        <f>VLOOKUP(Table142[[#This Row],[S/No]],Table8[#All],4,FALSE)</f>
        <v>16</v>
      </c>
      <c r="E13" s="28">
        <f>VLOOKUP(Table142[[#This Row],[S/No]],Table8[#All],8,FALSE)</f>
        <v>16</v>
      </c>
      <c r="F13" s="28">
        <f>VLOOKUP(Table142[[#This Row],[S/No]],Table8[#All],12,FALSE)</f>
        <v>16</v>
      </c>
      <c r="G13" s="28">
        <f>VLOOKUP(Table142[[#This Row],[S/No]],Table8[#All],16,FALSE)</f>
        <v>16</v>
      </c>
      <c r="H13" s="28">
        <f>VLOOKUP(Table142[[#This Row],[S/No]],Table8[#All],20,FALSE)</f>
        <v>16</v>
      </c>
      <c r="I13" s="28">
        <f>VLOOKUP(Table142[[#This Row],[S/No]],Table8[#All],24,FALSE)</f>
        <v>16</v>
      </c>
      <c r="J13" s="28">
        <f>VLOOKUP(Table142[[#This Row],[S/No]],Table8[#All],28,FALSE)</f>
        <v>16</v>
      </c>
      <c r="K13" s="28">
        <f>VLOOKUP(Table142[[#This Row],[S/No]],Table8[#All],32,FALSE)</f>
        <v>16</v>
      </c>
      <c r="L13" s="28">
        <f>VLOOKUP(Table142[[#This Row],[S/No]],Table8[#All],36,FALSE)</f>
        <v>16</v>
      </c>
      <c r="M13" s="28">
        <f>VLOOKUP(Table142[[#This Row],[S/No]],Table8[#All],40,FALSE)</f>
        <v>16</v>
      </c>
      <c r="N13" s="28">
        <v>10</v>
      </c>
      <c r="O13" s="28">
        <f t="shared" si="0"/>
        <v>160</v>
      </c>
      <c r="P13" s="36">
        <f>SUM(Table142[[#This Row],[Ctz]:[Spell]])/(Table142[[#This Row],[No. of Sub.]]*20)</f>
        <v>0.8</v>
      </c>
      <c r="Q13" s="28">
        <f t="shared" si="1"/>
        <v>9</v>
      </c>
    </row>
    <row r="14" spans="1:20" ht="15.5" thickBot="1" x14ac:dyDescent="0.9">
      <c r="A14" s="28">
        <v>6</v>
      </c>
      <c r="B14" s="28" t="str">
        <f>VLOOKUP(Table142[[#This Row],[S/No]],DATABASE!A11:AQ60,2,FALSE)</f>
        <v>AHMED FARUK</v>
      </c>
      <c r="C14" s="28" t="str">
        <f>VLOOKUP(Table142[[#This Row],[S/No]],DATABASE!A11:AQ60,3,FALSE)</f>
        <v>TCS/2017/559</v>
      </c>
      <c r="D14" s="28">
        <f>VLOOKUP(Table142[[#This Row],[S/No]],Table8[#All],4,FALSE)</f>
        <v>13</v>
      </c>
      <c r="E14" s="28">
        <f>VLOOKUP(Table142[[#This Row],[S/No]],Table8[#All],8,FALSE)</f>
        <v>13</v>
      </c>
      <c r="F14" s="28">
        <f>VLOOKUP(Table142[[#This Row],[S/No]],Table8[#All],12,FALSE)</f>
        <v>13</v>
      </c>
      <c r="G14" s="28">
        <f>VLOOKUP(Table142[[#This Row],[S/No]],Table8[#All],16,FALSE)</f>
        <v>13</v>
      </c>
      <c r="H14" s="28">
        <f>VLOOKUP(Table142[[#This Row],[S/No]],Table8[#All],20,FALSE)</f>
        <v>13</v>
      </c>
      <c r="I14" s="28">
        <f>VLOOKUP(Table142[[#This Row],[S/No]],Table8[#All],24,FALSE)</f>
        <v>13</v>
      </c>
      <c r="J14" s="28">
        <f>VLOOKUP(Table142[[#This Row],[S/No]],Table8[#All],28,FALSE)</f>
        <v>13</v>
      </c>
      <c r="K14" s="28">
        <f>VLOOKUP(Table142[[#This Row],[S/No]],Table8[#All],32,FALSE)</f>
        <v>13</v>
      </c>
      <c r="L14" s="28">
        <f>VLOOKUP(Table142[[#This Row],[S/No]],Table8[#All],36,FALSE)</f>
        <v>13</v>
      </c>
      <c r="M14" s="28">
        <f>VLOOKUP(Table142[[#This Row],[S/No]],Table8[#All],40,FALSE)</f>
        <v>13</v>
      </c>
      <c r="N14" s="28">
        <v>10</v>
      </c>
      <c r="O14" s="28">
        <f t="shared" si="0"/>
        <v>130</v>
      </c>
      <c r="P14" s="36">
        <f>SUM(Table142[[#This Row],[Ctz]:[Spell]])/(Table142[[#This Row],[No. of Sub.]]*20)</f>
        <v>0.65</v>
      </c>
      <c r="Q14" s="28">
        <f t="shared" si="1"/>
        <v>15</v>
      </c>
    </row>
    <row r="15" spans="1:20" x14ac:dyDescent="0.75">
      <c r="A15" s="28">
        <v>7</v>
      </c>
      <c r="B15" s="28" t="str">
        <f>VLOOKUP(Table142[[#This Row],[S/No]],DATABASE!A12:AQ61,2,FALSE)</f>
        <v>ZAIN AQIB</v>
      </c>
      <c r="C15" s="28" t="str">
        <f>VLOOKUP(Table142[[#This Row],[S/No]],DATABASE!A12:AQ61,3,FALSE)</f>
        <v>TCS/2017/572</v>
      </c>
      <c r="D15" s="28">
        <f>VLOOKUP(Table142[[#This Row],[S/No]],Table8[#All],4,FALSE)</f>
        <v>18</v>
      </c>
      <c r="E15" s="28">
        <f>VLOOKUP(Table142[[#This Row],[S/No]],Table8[#All],8,FALSE)</f>
        <v>18</v>
      </c>
      <c r="F15" s="28">
        <f>VLOOKUP(Table142[[#This Row],[S/No]],Table8[#All],12,FALSE)</f>
        <v>18</v>
      </c>
      <c r="G15" s="28">
        <f>VLOOKUP(Table142[[#This Row],[S/No]],Table8[#All],16,FALSE)</f>
        <v>18</v>
      </c>
      <c r="H15" s="28">
        <f>VLOOKUP(Table142[[#This Row],[S/No]],Table8[#All],20,FALSE)</f>
        <v>18</v>
      </c>
      <c r="I15" s="28">
        <f>VLOOKUP(Table142[[#This Row],[S/No]],Table8[#All],24,FALSE)</f>
        <v>18</v>
      </c>
      <c r="J15" s="28">
        <f>VLOOKUP(Table142[[#This Row],[S/No]],Table8[#All],28,FALSE)</f>
        <v>18</v>
      </c>
      <c r="K15" s="28">
        <f>VLOOKUP(Table142[[#This Row],[S/No]],Table8[#All],32,FALSE)</f>
        <v>18</v>
      </c>
      <c r="L15" s="28">
        <f>VLOOKUP(Table142[[#This Row],[S/No]],Table8[#All],36,FALSE)</f>
        <v>18</v>
      </c>
      <c r="M15" s="28">
        <f>VLOOKUP(Table142[[#This Row],[S/No]],Table8[#All],40,FALSE)</f>
        <v>18</v>
      </c>
      <c r="N15" s="28">
        <v>10</v>
      </c>
      <c r="O15" s="28">
        <f t="shared" si="0"/>
        <v>180</v>
      </c>
      <c r="P15" s="36">
        <f>SUM(Table142[[#This Row],[Ctz]:[Spell]])/(Table142[[#This Row],[No. of Sub.]]*20)</f>
        <v>0.9</v>
      </c>
      <c r="Q15" s="28">
        <f t="shared" si="1"/>
        <v>3</v>
      </c>
      <c r="S15" s="197"/>
      <c r="T15" s="198"/>
    </row>
    <row r="16" spans="1:20" x14ac:dyDescent="0.75">
      <c r="A16" s="28">
        <v>8</v>
      </c>
      <c r="B16" s="28" t="str">
        <f>VLOOKUP(Table142[[#This Row],[S/No]],DATABASE!A13:AQ62,2,FALSE)</f>
        <v>AISHA SANGIR</v>
      </c>
      <c r="C16" s="28" t="str">
        <f>VLOOKUP(Table142[[#This Row],[S/No]],DATABASE!A13:AQ62,3,FALSE)</f>
        <v>TCS/2017/577</v>
      </c>
      <c r="D16" s="28">
        <f>VLOOKUP(Table142[[#This Row],[S/No]],Table8[#All],4,FALSE)</f>
        <v>16</v>
      </c>
      <c r="E16" s="28">
        <f>VLOOKUP(Table142[[#This Row],[S/No]],Table8[#All],8,FALSE)</f>
        <v>16</v>
      </c>
      <c r="F16" s="28">
        <f>VLOOKUP(Table142[[#This Row],[S/No]],Table8[#All],12,FALSE)</f>
        <v>16</v>
      </c>
      <c r="G16" s="28">
        <f>VLOOKUP(Table142[[#This Row],[S/No]],Table8[#All],16,FALSE)</f>
        <v>16</v>
      </c>
      <c r="H16" s="28">
        <f>VLOOKUP(Table142[[#This Row],[S/No]],Table8[#All],20,FALSE)</f>
        <v>16</v>
      </c>
      <c r="I16" s="28">
        <f>VLOOKUP(Table142[[#This Row],[S/No]],Table8[#All],24,FALSE)</f>
        <v>16</v>
      </c>
      <c r="J16" s="28">
        <f>VLOOKUP(Table142[[#This Row],[S/No]],Table8[#All],28,FALSE)</f>
        <v>16</v>
      </c>
      <c r="K16" s="28">
        <f>VLOOKUP(Table142[[#This Row],[S/No]],Table8[#All],32,FALSE)</f>
        <v>16</v>
      </c>
      <c r="L16" s="28">
        <f>VLOOKUP(Table142[[#This Row],[S/No]],Table8[#All],36,FALSE)</f>
        <v>16</v>
      </c>
      <c r="M16" s="28">
        <f>VLOOKUP(Table142[[#This Row],[S/No]],Table8[#All],40,FALSE)</f>
        <v>16</v>
      </c>
      <c r="N16" s="28">
        <v>10</v>
      </c>
      <c r="O16" s="28">
        <f t="shared" si="0"/>
        <v>160</v>
      </c>
      <c r="P16" s="36">
        <f>SUM(Table142[[#This Row],[Ctz]:[Spell]])/(Table142[[#This Row],[No. of Sub.]]*20)</f>
        <v>0.8</v>
      </c>
      <c r="Q16" s="28">
        <f t="shared" si="1"/>
        <v>9</v>
      </c>
      <c r="S16" s="199"/>
      <c r="T16" s="200"/>
    </row>
    <row r="17" spans="1:20" x14ac:dyDescent="0.75">
      <c r="A17" s="28">
        <v>9</v>
      </c>
      <c r="B17" s="28" t="str">
        <f>VLOOKUP(Table142[[#This Row],[S/No]],DATABASE!A14:AQ63,2,FALSE)</f>
        <v>ASIYA ADAMU ZARMA</v>
      </c>
      <c r="C17" s="28" t="str">
        <f>VLOOKUP(Table142[[#This Row],[S/No]],DATABASE!A14:AQ63,3,FALSE)</f>
        <v>TCS/2018/596</v>
      </c>
      <c r="D17" s="28">
        <f>VLOOKUP(Table142[[#This Row],[S/No]],Table8[#All],4,FALSE)</f>
        <v>11</v>
      </c>
      <c r="E17" s="28">
        <f>VLOOKUP(Table142[[#This Row],[S/No]],Table8[#All],8,FALSE)</f>
        <v>11</v>
      </c>
      <c r="F17" s="28">
        <f>VLOOKUP(Table142[[#This Row],[S/No]],Table8[#All],12,FALSE)</f>
        <v>11</v>
      </c>
      <c r="G17" s="28">
        <f>VLOOKUP(Table142[[#This Row],[S/No]],Table8[#All],16,FALSE)</f>
        <v>11</v>
      </c>
      <c r="H17" s="28">
        <f>VLOOKUP(Table142[[#This Row],[S/No]],Table8[#All],20,FALSE)</f>
        <v>11</v>
      </c>
      <c r="I17" s="28">
        <f>VLOOKUP(Table142[[#This Row],[S/No]],Table8[#All],24,FALSE)</f>
        <v>11</v>
      </c>
      <c r="J17" s="28">
        <f>VLOOKUP(Table142[[#This Row],[S/No]],Table8[#All],28,FALSE)</f>
        <v>11</v>
      </c>
      <c r="K17" s="28">
        <f>VLOOKUP(Table142[[#This Row],[S/No]],Table8[#All],32,FALSE)</f>
        <v>11</v>
      </c>
      <c r="L17" s="28">
        <f>VLOOKUP(Table142[[#This Row],[S/No]],Table8[#All],36,FALSE)</f>
        <v>11</v>
      </c>
      <c r="M17" s="28">
        <f>VLOOKUP(Table142[[#This Row],[S/No]],Table8[#All],40,FALSE)</f>
        <v>11</v>
      </c>
      <c r="N17" s="28">
        <v>10</v>
      </c>
      <c r="O17" s="28">
        <f t="shared" si="0"/>
        <v>110</v>
      </c>
      <c r="P17" s="36">
        <f>SUM(Table142[[#This Row],[Ctz]:[Spell]])/(Table142[[#This Row],[No. of Sub.]]*20)</f>
        <v>0.55000000000000004</v>
      </c>
      <c r="Q17" s="28">
        <f t="shared" si="1"/>
        <v>18</v>
      </c>
      <c r="S17" s="199"/>
      <c r="T17" s="200"/>
    </row>
    <row r="18" spans="1:20" x14ac:dyDescent="0.75">
      <c r="A18" s="28">
        <v>10</v>
      </c>
      <c r="B18" s="28" t="str">
        <f>VLOOKUP(Table142[[#This Row],[S/No]],DATABASE!A15:AQ64,2,FALSE)</f>
        <v>ABDULAZIZ A. MOHAMMED</v>
      </c>
      <c r="C18" s="28" t="str">
        <f>VLOOKUP(Table142[[#This Row],[S/No]],DATABASE!A15:AQ64,3,FALSE)</f>
        <v>TCS/2018/613</v>
      </c>
      <c r="D18" s="29">
        <f>VLOOKUP(Table142[[#This Row],[S/No]],Table8[#All],4,FALSE)</f>
        <v>17</v>
      </c>
      <c r="E18" s="28">
        <f>VLOOKUP(Table142[[#This Row],[S/No]],Table8[#All],8,FALSE)</f>
        <v>15</v>
      </c>
      <c r="F18" s="28">
        <f>VLOOKUP(Table142[[#This Row],[S/No]],Table8[#All],12,FALSE)</f>
        <v>15</v>
      </c>
      <c r="G18" s="28">
        <f>VLOOKUP(Table142[[#This Row],[S/No]],Table8[#All],16,FALSE)</f>
        <v>15</v>
      </c>
      <c r="H18" s="28">
        <f>VLOOKUP(Table142[[#This Row],[S/No]],Table8[#All],20,FALSE)</f>
        <v>15</v>
      </c>
      <c r="I18" s="28">
        <f>VLOOKUP(Table142[[#This Row],[S/No]],Table8[#All],24,FALSE)</f>
        <v>15</v>
      </c>
      <c r="J18" s="28">
        <f>VLOOKUP(Table142[[#This Row],[S/No]],Table8[#All],28,FALSE)</f>
        <v>15</v>
      </c>
      <c r="K18" s="29">
        <f>VLOOKUP(Table142[[#This Row],[S/No]],Table8[#All],32,FALSE)</f>
        <v>15</v>
      </c>
      <c r="L18" s="28">
        <f>VLOOKUP(Table142[[#This Row],[S/No]],Table8[#All],36,FALSE)</f>
        <v>15</v>
      </c>
      <c r="M18" s="28">
        <f>VLOOKUP(Table142[[#This Row],[S/No]],Table8[#All],40,FALSE)</f>
        <v>15</v>
      </c>
      <c r="N18" s="28">
        <v>10</v>
      </c>
      <c r="O18" s="28">
        <f t="shared" si="0"/>
        <v>152</v>
      </c>
      <c r="P18" s="36">
        <f>SUM(Table142[[#This Row],[Ctz]:[Spell]])/(Table142[[#This Row],[No. of Sub.]]*20)</f>
        <v>0.76</v>
      </c>
      <c r="Q18" s="28">
        <f t="shared" si="1"/>
        <v>13</v>
      </c>
      <c r="S18" s="201" t="s">
        <v>238</v>
      </c>
      <c r="T18" s="202"/>
    </row>
    <row r="19" spans="1:20" ht="15.5" thickBot="1" x14ac:dyDescent="0.9">
      <c r="A19" s="28">
        <v>11</v>
      </c>
      <c r="B19" s="28" t="str">
        <f>VLOOKUP(Table142[[#This Row],[S/No]],DATABASE!A16:AQ65,2,FALSE)</f>
        <v xml:space="preserve">HAFSAT IDRIS </v>
      </c>
      <c r="C19" s="28" t="str">
        <f>VLOOKUP(Table142[[#This Row],[S/No]],DATABASE!A16:AQ65,3,FALSE)</f>
        <v>TCS/2018/635</v>
      </c>
      <c r="D19" s="28">
        <f>VLOOKUP(Table142[[#This Row],[S/No]],Table8[#All],4,FALSE)</f>
        <v>18</v>
      </c>
      <c r="E19" s="28">
        <f>VLOOKUP(Table142[[#This Row],[S/No]],Table8[#All],8,FALSE)</f>
        <v>18</v>
      </c>
      <c r="F19" s="28">
        <f>VLOOKUP(Table142[[#This Row],[S/No]],Table8[#All],12,FALSE)</f>
        <v>18</v>
      </c>
      <c r="G19" s="28">
        <f>VLOOKUP(Table142[[#This Row],[S/No]],Table8[#All],16,FALSE)</f>
        <v>18</v>
      </c>
      <c r="H19" s="28">
        <f>VLOOKUP(Table142[[#This Row],[S/No]],Table8[#All],20,FALSE)</f>
        <v>18</v>
      </c>
      <c r="I19" s="28">
        <f>VLOOKUP(Table142[[#This Row],[S/No]],Table8[#All],24,FALSE)</f>
        <v>18</v>
      </c>
      <c r="J19" s="28">
        <f>VLOOKUP(Table142[[#This Row],[S/No]],Table8[#All],28,FALSE)</f>
        <v>18</v>
      </c>
      <c r="K19" s="28">
        <f>VLOOKUP(Table142[[#This Row],[S/No]],Table8[#All],32,FALSE)</f>
        <v>18</v>
      </c>
      <c r="L19" s="28">
        <f>VLOOKUP(Table142[[#This Row],[S/No]],Table8[#All],36,FALSE)</f>
        <v>18</v>
      </c>
      <c r="M19" s="28">
        <f>VLOOKUP(Table142[[#This Row],[S/No]],Table8[#All],40,FALSE)</f>
        <v>18</v>
      </c>
      <c r="N19" s="28">
        <v>10</v>
      </c>
      <c r="O19" s="28">
        <f t="shared" si="0"/>
        <v>180</v>
      </c>
      <c r="P19" s="36">
        <f>SUM(Table142[[#This Row],[Ctz]:[Spell]])/(Table142[[#This Row],[No. of Sub.]]*20)</f>
        <v>0.9</v>
      </c>
      <c r="Q19" s="28">
        <f t="shared" si="1"/>
        <v>3</v>
      </c>
      <c r="S19" s="203" t="s">
        <v>167</v>
      </c>
      <c r="T19" s="204"/>
    </row>
    <row r="20" spans="1:20" x14ac:dyDescent="0.75">
      <c r="A20" s="28">
        <v>12</v>
      </c>
      <c r="B20" s="28" t="str">
        <f>VLOOKUP(Table142[[#This Row],[S/No]],DATABASE!A17:AQ66,2,FALSE)</f>
        <v>HADASSAH MEDUGU</v>
      </c>
      <c r="C20" s="28" t="str">
        <f>VLOOKUP(Table142[[#This Row],[S/No]],DATABASE!A17:AQ66,3,FALSE)</f>
        <v>TCS/2018/640</v>
      </c>
      <c r="D20" s="28">
        <f>VLOOKUP(Table142[[#This Row],[S/No]],Table8[#All],4,FALSE)</f>
        <v>19</v>
      </c>
      <c r="E20" s="28">
        <f>VLOOKUP(Table142[[#This Row],[S/No]],Table8[#All],8,FALSE)</f>
        <v>19</v>
      </c>
      <c r="F20" s="28">
        <f>VLOOKUP(Table142[[#This Row],[S/No]],Table8[#All],12,FALSE)</f>
        <v>19</v>
      </c>
      <c r="G20" s="28">
        <f>VLOOKUP(Table142[[#This Row],[S/No]],Table8[#All],16,FALSE)</f>
        <v>19</v>
      </c>
      <c r="H20" s="28">
        <f>VLOOKUP(Table142[[#This Row],[S/No]],Table8[#All],20,FALSE)</f>
        <v>19</v>
      </c>
      <c r="I20" s="28">
        <f>VLOOKUP(Table142[[#This Row],[S/No]],Table8[#All],24,FALSE)</f>
        <v>19</v>
      </c>
      <c r="J20" s="28">
        <f>VLOOKUP(Table142[[#This Row],[S/No]],Table8[#All],28,FALSE)</f>
        <v>19</v>
      </c>
      <c r="K20" s="28">
        <f>VLOOKUP(Table142[[#This Row],[S/No]],Table8[#All],32,FALSE)</f>
        <v>19</v>
      </c>
      <c r="L20" s="28">
        <f>VLOOKUP(Table142[[#This Row],[S/No]],Table8[#All],36,FALSE)</f>
        <v>19</v>
      </c>
      <c r="M20" s="28">
        <f>VLOOKUP(Table142[[#This Row],[S/No]],Table8[#All],40,FALSE)</f>
        <v>19</v>
      </c>
      <c r="N20" s="28">
        <v>10</v>
      </c>
      <c r="O20" s="28">
        <f t="shared" si="0"/>
        <v>190</v>
      </c>
      <c r="P20" s="36">
        <f>SUM(Table142[[#This Row],[Ctz]:[Spell]])/(Table142[[#This Row],[No. of Sub.]]*20)</f>
        <v>0.95</v>
      </c>
      <c r="Q20" s="28">
        <f t="shared" si="1"/>
        <v>1</v>
      </c>
    </row>
    <row r="21" spans="1:20" x14ac:dyDescent="0.75">
      <c r="A21" s="28">
        <v>13</v>
      </c>
      <c r="B21" s="28" t="str">
        <f>VLOOKUP(Table142[[#This Row],[S/No]],DATABASE!A18:AQ67,2,FALSE)</f>
        <v>HAUWA’U M. EL-YAKUB</v>
      </c>
      <c r="C21" s="28" t="str">
        <f>VLOOKUP(Table142[[#This Row],[S/No]],DATABASE!A18:AQ67,3,FALSE)</f>
        <v>TCS/2018/649</v>
      </c>
      <c r="D21" s="28">
        <f>VLOOKUP(Table142[[#This Row],[S/No]],Table8[#All],4,FALSE)</f>
        <v>12</v>
      </c>
      <c r="E21" s="28">
        <f>VLOOKUP(Table142[[#This Row],[S/No]],Table8[#All],8,FALSE)</f>
        <v>12</v>
      </c>
      <c r="F21" s="28">
        <f>VLOOKUP(Table142[[#This Row],[S/No]],Table8[#All],12,FALSE)</f>
        <v>12</v>
      </c>
      <c r="G21" s="28">
        <f>VLOOKUP(Table142[[#This Row],[S/No]],Table8[#All],16,FALSE)</f>
        <v>12</v>
      </c>
      <c r="H21" s="28">
        <f>VLOOKUP(Table142[[#This Row],[S/No]],Table8[#All],20,FALSE)</f>
        <v>12</v>
      </c>
      <c r="I21" s="28">
        <f>VLOOKUP(Table142[[#This Row],[S/No]],Table8[#All],24,FALSE)</f>
        <v>12</v>
      </c>
      <c r="J21" s="28">
        <f>VLOOKUP(Table142[[#This Row],[S/No]],Table8[#All],28,FALSE)</f>
        <v>12</v>
      </c>
      <c r="K21" s="28">
        <f>VLOOKUP(Table142[[#This Row],[S/No]],Table8[#All],32,FALSE)</f>
        <v>12</v>
      </c>
      <c r="L21" s="28">
        <f>VLOOKUP(Table142[[#This Row],[S/No]],Table8[#All],36,FALSE)</f>
        <v>12</v>
      </c>
      <c r="M21" s="28">
        <f>VLOOKUP(Table142[[#This Row],[S/No]],Table8[#All],40,FALSE)</f>
        <v>12</v>
      </c>
      <c r="N21" s="28">
        <v>10</v>
      </c>
      <c r="O21" s="28">
        <f t="shared" si="0"/>
        <v>120</v>
      </c>
      <c r="P21" s="36">
        <f>SUM(Table142[[#This Row],[Ctz]:[Spell]])/(Table142[[#This Row],[No. of Sub.]]*20)</f>
        <v>0.6</v>
      </c>
      <c r="Q21" s="28">
        <f t="shared" si="1"/>
        <v>16</v>
      </c>
    </row>
    <row r="22" spans="1:20" x14ac:dyDescent="0.75">
      <c r="A22" s="28">
        <v>14</v>
      </c>
      <c r="B22" s="28" t="str">
        <f>VLOOKUP(Table142[[#This Row],[S/No]],DATABASE!A19:AQ68,2,FALSE)</f>
        <v>MOHAMMED UZAIRU</v>
      </c>
      <c r="C22" s="28" t="str">
        <f>VLOOKUP(Table142[[#This Row],[S/No]],DATABASE!A19:AQ68,3,FALSE)</f>
        <v>TCS/2019/710</v>
      </c>
      <c r="D22" s="28">
        <f>VLOOKUP(Table142[[#This Row],[S/No]],Table8[#All],4,FALSE)</f>
        <v>16</v>
      </c>
      <c r="E22" s="28">
        <f>VLOOKUP(Table142[[#This Row],[S/No]],Table8[#All],8,FALSE)</f>
        <v>16</v>
      </c>
      <c r="F22" s="28">
        <f>VLOOKUP(Table142[[#This Row],[S/No]],Table8[#All],12,FALSE)</f>
        <v>16</v>
      </c>
      <c r="G22" s="28">
        <f>VLOOKUP(Table142[[#This Row],[S/No]],Table8[#All],16,FALSE)</f>
        <v>16</v>
      </c>
      <c r="H22" s="28">
        <f>VLOOKUP(Table142[[#This Row],[S/No]],Table8[#All],20,FALSE)</f>
        <v>16</v>
      </c>
      <c r="I22" s="28">
        <f>VLOOKUP(Table142[[#This Row],[S/No]],Table8[#All],24,FALSE)</f>
        <v>16</v>
      </c>
      <c r="J22" s="28">
        <f>VLOOKUP(Table142[[#This Row],[S/No]],Table8[#All],28,FALSE)</f>
        <v>16</v>
      </c>
      <c r="K22" s="28">
        <f>VLOOKUP(Table142[[#This Row],[S/No]],Table8[#All],32,FALSE)</f>
        <v>16</v>
      </c>
      <c r="L22" s="28">
        <f>VLOOKUP(Table142[[#This Row],[S/No]],Table8[#All],36,FALSE)</f>
        <v>16</v>
      </c>
      <c r="M22" s="28">
        <f>VLOOKUP(Table142[[#This Row],[S/No]],Table8[#All],40,FALSE)</f>
        <v>16</v>
      </c>
      <c r="N22" s="28">
        <v>10</v>
      </c>
      <c r="O22" s="28">
        <f t="shared" si="0"/>
        <v>160</v>
      </c>
      <c r="P22" s="36">
        <f>SUM(Table142[[#This Row],[Ctz]:[Spell]])/(Table142[[#This Row],[No. of Sub.]]*20)</f>
        <v>0.8</v>
      </c>
      <c r="Q22" s="28">
        <f t="shared" si="1"/>
        <v>9</v>
      </c>
    </row>
    <row r="23" spans="1:20" x14ac:dyDescent="0.75">
      <c r="A23" s="28">
        <v>15</v>
      </c>
      <c r="B23" s="28" t="str">
        <f>VLOOKUP(Table142[[#This Row],[S/No]],DATABASE!A20:AQ69,2,FALSE)</f>
        <v>RUKAYYA LADAN</v>
      </c>
      <c r="C23" s="28" t="str">
        <f>VLOOKUP(Table142[[#This Row],[S/No]],DATABASE!A20:AQ69,3,FALSE)</f>
        <v>TCS/2019/713</v>
      </c>
      <c r="D23" s="28">
        <f>VLOOKUP(Table142[[#This Row],[S/No]],Table8[#All],4,FALSE)</f>
        <v>18</v>
      </c>
      <c r="E23" s="28">
        <f>VLOOKUP(Table142[[#This Row],[S/No]],Table8[#All],8,FALSE)</f>
        <v>18</v>
      </c>
      <c r="F23" s="28">
        <f>VLOOKUP(Table142[[#This Row],[S/No]],Table8[#All],12,FALSE)</f>
        <v>18</v>
      </c>
      <c r="G23" s="28">
        <f>VLOOKUP(Table142[[#This Row],[S/No]],Table8[#All],16,FALSE)</f>
        <v>18</v>
      </c>
      <c r="H23" s="28">
        <f>VLOOKUP(Table142[[#This Row],[S/No]],Table8[#All],20,FALSE)</f>
        <v>18</v>
      </c>
      <c r="I23" s="28">
        <f>VLOOKUP(Table142[[#This Row],[S/No]],Table8[#All],24,FALSE)</f>
        <v>18</v>
      </c>
      <c r="J23" s="28">
        <f>VLOOKUP(Table142[[#This Row],[S/No]],Table8[#All],28,FALSE)</f>
        <v>18</v>
      </c>
      <c r="K23" s="28">
        <f>VLOOKUP(Table142[[#This Row],[S/No]],Table8[#All],32,FALSE)</f>
        <v>18</v>
      </c>
      <c r="L23" s="28">
        <f>VLOOKUP(Table142[[#This Row],[S/No]],Table8[#All],36,FALSE)</f>
        <v>18</v>
      </c>
      <c r="M23" s="28">
        <f>VLOOKUP(Table142[[#This Row],[S/No]],Table8[#All],40,FALSE)</f>
        <v>18</v>
      </c>
      <c r="N23" s="28">
        <v>10</v>
      </c>
      <c r="O23" s="28">
        <f t="shared" si="0"/>
        <v>180</v>
      </c>
      <c r="P23" s="36">
        <f>SUM(Table142[[#This Row],[Ctz]:[Spell]])/(Table142[[#This Row],[No. of Sub.]]*20)</f>
        <v>0.9</v>
      </c>
      <c r="Q23" s="28">
        <f t="shared" si="1"/>
        <v>3</v>
      </c>
    </row>
    <row r="24" spans="1:20" x14ac:dyDescent="0.75">
      <c r="A24" s="28">
        <v>16</v>
      </c>
      <c r="B24" s="28" t="str">
        <f>VLOOKUP(Table142[[#This Row],[S/No]],DATABASE!A21:AQ70,2,FALSE)</f>
        <v>FATIMA MOHAMMED</v>
      </c>
      <c r="C24" s="28" t="str">
        <f>VLOOKUP(Table142[[#This Row],[S/No]],DATABASE!A21:AQ70,3,FALSE)</f>
        <v>TCS/2019/738</v>
      </c>
      <c r="D24" s="28">
        <f>VLOOKUP(Table142[[#This Row],[S/No]],Table8[#All],4,FALSE)</f>
        <v>17</v>
      </c>
      <c r="E24" s="28">
        <f>VLOOKUP(Table142[[#This Row],[S/No]],Table8[#All],8,FALSE)</f>
        <v>17</v>
      </c>
      <c r="F24" s="28">
        <f>VLOOKUP(Table142[[#This Row],[S/No]],Table8[#All],12,FALSE)</f>
        <v>17</v>
      </c>
      <c r="G24" s="28">
        <f>VLOOKUP(Table142[[#This Row],[S/No]],Table8[#All],16,FALSE)</f>
        <v>17</v>
      </c>
      <c r="H24" s="28">
        <f>VLOOKUP(Table142[[#This Row],[S/No]],Table8[#All],20,FALSE)</f>
        <v>17</v>
      </c>
      <c r="I24" s="28">
        <f>VLOOKUP(Table142[[#This Row],[S/No]],Table8[#All],24,FALSE)</f>
        <v>17</v>
      </c>
      <c r="J24" s="28">
        <f>VLOOKUP(Table142[[#This Row],[S/No]],Table8[#All],28,FALSE)</f>
        <v>17</v>
      </c>
      <c r="K24" s="28">
        <f>VLOOKUP(Table142[[#This Row],[S/No]],Table8[#All],32,FALSE)</f>
        <v>17</v>
      </c>
      <c r="L24" s="28">
        <f>VLOOKUP(Table142[[#This Row],[S/No]],Table8[#All],36,FALSE)</f>
        <v>17</v>
      </c>
      <c r="M24" s="28">
        <f>VLOOKUP(Table142[[#This Row],[S/No]],Table8[#All],40,FALSE)</f>
        <v>17</v>
      </c>
      <c r="N24" s="28">
        <v>10</v>
      </c>
      <c r="O24" s="28">
        <f t="shared" si="0"/>
        <v>170</v>
      </c>
      <c r="P24" s="36">
        <f>SUM(Table142[[#This Row],[Ctz]:[Spell]])/(Table142[[#This Row],[No. of Sub.]]*20)</f>
        <v>0.85</v>
      </c>
      <c r="Q24" s="28">
        <f t="shared" si="1"/>
        <v>6</v>
      </c>
    </row>
    <row r="25" spans="1:20" x14ac:dyDescent="0.75">
      <c r="A25" s="28">
        <v>17</v>
      </c>
      <c r="B25" s="28" t="str">
        <f>VLOOKUP(Table142[[#This Row],[S/No]],DATABASE!A22:AQ71,2,FALSE)</f>
        <v>ADNAN YAKUB DANJA</v>
      </c>
      <c r="C25" s="28" t="str">
        <f>VLOOKUP(Table142[[#This Row],[S/No]],DATABASE!A22:AQ71,3,FALSE)</f>
        <v xml:space="preserve">TCS/2020/794 </v>
      </c>
      <c r="D25" s="28">
        <f>VLOOKUP(Table142[[#This Row],[S/No]],Table8[#All],4,FALSE)</f>
        <v>11</v>
      </c>
      <c r="E25" s="28">
        <f>VLOOKUP(Table142[[#This Row],[S/No]],Table8[#All],8,FALSE)</f>
        <v>11</v>
      </c>
      <c r="F25" s="28">
        <f>VLOOKUP(Table142[[#This Row],[S/No]],Table8[#All],12,FALSE)</f>
        <v>11</v>
      </c>
      <c r="G25" s="28">
        <f>VLOOKUP(Table142[[#This Row],[S/No]],Table8[#All],16,FALSE)</f>
        <v>11</v>
      </c>
      <c r="H25" s="28">
        <f>VLOOKUP(Table142[[#This Row],[S/No]],Table8[#All],20,FALSE)</f>
        <v>11</v>
      </c>
      <c r="I25" s="28">
        <f>VLOOKUP(Table142[[#This Row],[S/No]],Table8[#All],24,FALSE)</f>
        <v>11</v>
      </c>
      <c r="J25" s="28">
        <f>VLOOKUP(Table142[[#This Row],[S/No]],Table8[#All],28,FALSE)</f>
        <v>11</v>
      </c>
      <c r="K25" s="28">
        <f>VLOOKUP(Table142[[#This Row],[S/No]],Table8[#All],32,FALSE)</f>
        <v>11</v>
      </c>
      <c r="L25" s="28">
        <f>VLOOKUP(Table142[[#This Row],[S/No]],Table8[#All],36,FALSE)</f>
        <v>11</v>
      </c>
      <c r="M25" s="28">
        <f>VLOOKUP(Table142[[#This Row],[S/No]],Table8[#All],40,FALSE)</f>
        <v>11</v>
      </c>
      <c r="N25" s="28">
        <v>10</v>
      </c>
      <c r="O25" s="28">
        <f t="shared" si="0"/>
        <v>110</v>
      </c>
      <c r="P25" s="36">
        <f>SUM(Table142[[#This Row],[Ctz]:[Spell]])/(Table142[[#This Row],[No. of Sub.]]*20)</f>
        <v>0.55000000000000004</v>
      </c>
      <c r="Q25" s="28">
        <f t="shared" si="1"/>
        <v>18</v>
      </c>
    </row>
    <row r="26" spans="1:20" x14ac:dyDescent="0.75">
      <c r="A26" s="28">
        <v>18</v>
      </c>
      <c r="B26" s="28" t="str">
        <f>VLOOKUP(Table142[[#This Row],[S/No]],DATABASE!A23:AQ72,2,FALSE)</f>
        <v>KHADIJAH IDRIS</v>
      </c>
      <c r="C26" s="28" t="str">
        <f>VLOOKUP(Table142[[#This Row],[S/No]],DATABASE!A23:AQ72,3,FALSE)</f>
        <v>TCS/2021/794</v>
      </c>
      <c r="D26" s="28">
        <f>VLOOKUP(Table142[[#This Row],[S/No]],Table8[#All],4,FALSE)</f>
        <v>8</v>
      </c>
      <c r="E26" s="28">
        <f>VLOOKUP(Table142[[#This Row],[S/No]],Table8[#All],8,FALSE)</f>
        <v>9</v>
      </c>
      <c r="F26" s="28">
        <f>VLOOKUP(Table142[[#This Row],[S/No]],Table8[#All],12,FALSE)</f>
        <v>9</v>
      </c>
      <c r="G26" s="28">
        <f>VLOOKUP(Table142[[#This Row],[S/No]],Table8[#All],16,FALSE)</f>
        <v>9</v>
      </c>
      <c r="H26" s="28">
        <f>VLOOKUP(Table142[[#This Row],[S/No]],Table8[#All],20,FALSE)</f>
        <v>9</v>
      </c>
      <c r="I26" s="28">
        <f>VLOOKUP(Table142[[#This Row],[S/No]],Table8[#All],24,FALSE)</f>
        <v>9</v>
      </c>
      <c r="J26" s="28">
        <f>VLOOKUP(Table142[[#This Row],[S/No]],Table8[#All],28,FALSE)</f>
        <v>10</v>
      </c>
      <c r="K26" s="28">
        <f>VLOOKUP(Table142[[#This Row],[S/No]],Table8[#All],32,FALSE)</f>
        <v>9</v>
      </c>
      <c r="L26" s="28">
        <f>VLOOKUP(Table142[[#This Row],[S/No]],Table8[#All],36,FALSE)</f>
        <v>9</v>
      </c>
      <c r="M26" s="28">
        <f>VLOOKUP(Table142[[#This Row],[S/No]],Table8[#All],40,FALSE)</f>
        <v>9</v>
      </c>
      <c r="N26" s="28">
        <v>10</v>
      </c>
      <c r="O26" s="28">
        <f t="shared" si="0"/>
        <v>90</v>
      </c>
      <c r="P26" s="36">
        <f>SUM(Table142[[#This Row],[Ctz]:[Spell]])/(Table142[[#This Row],[No. of Sub.]]*20)</f>
        <v>0.45</v>
      </c>
      <c r="Q26" s="28">
        <f t="shared" si="1"/>
        <v>23</v>
      </c>
    </row>
    <row r="27" spans="1:20" x14ac:dyDescent="0.75">
      <c r="A27" s="28">
        <v>19</v>
      </c>
      <c r="B27" s="28" t="str">
        <f>VLOOKUP(Table142[[#This Row],[S/No]],DATABASE!A24:AQ73,2,FALSE)</f>
        <v>AISHA BULAMA</v>
      </c>
      <c r="C27" s="28" t="str">
        <f>VLOOKUP(Table142[[#This Row],[S/No]],DATABASE!A24:AQ73,3,FALSE)</f>
        <v>TCS/2021/853</v>
      </c>
      <c r="D27" s="28">
        <f>VLOOKUP(Table142[[#This Row],[S/No]],Table8[#All],4,FALSE)</f>
        <v>11</v>
      </c>
      <c r="E27" s="28">
        <f>VLOOKUP(Table142[[#This Row],[S/No]],Table8[#All],8,FALSE)</f>
        <v>11</v>
      </c>
      <c r="F27" s="28">
        <f>VLOOKUP(Table142[[#This Row],[S/No]],Table8[#All],12,FALSE)</f>
        <v>11</v>
      </c>
      <c r="G27" s="28">
        <f>VLOOKUP(Table142[[#This Row],[S/No]],Table8[#All],16,FALSE)</f>
        <v>11</v>
      </c>
      <c r="H27" s="28">
        <f>VLOOKUP(Table142[[#This Row],[S/No]],Table8[#All],20,FALSE)</f>
        <v>11</v>
      </c>
      <c r="I27" s="28">
        <f>VLOOKUP(Table142[[#This Row],[S/No]],Table8[#All],24,FALSE)</f>
        <v>11</v>
      </c>
      <c r="J27" s="28">
        <f>VLOOKUP(Table142[[#This Row],[S/No]],Table8[#All],28,FALSE)</f>
        <v>11</v>
      </c>
      <c r="K27" s="28">
        <f>VLOOKUP(Table142[[#This Row],[S/No]],Table8[#All],32,FALSE)</f>
        <v>11</v>
      </c>
      <c r="L27" s="28">
        <f>VLOOKUP(Table142[[#This Row],[S/No]],Table8[#All],36,FALSE)</f>
        <v>11</v>
      </c>
      <c r="M27" s="28">
        <f>VLOOKUP(Table142[[#This Row],[S/No]],Table8[#All],40,FALSE)</f>
        <v>11</v>
      </c>
      <c r="N27" s="28">
        <v>10</v>
      </c>
      <c r="O27" s="28">
        <f t="shared" si="0"/>
        <v>110</v>
      </c>
      <c r="P27" s="36">
        <f>SUM(Table142[[#This Row],[Ctz]:[Spell]])/(Table142[[#This Row],[No. of Sub.]]*20)</f>
        <v>0.55000000000000004</v>
      </c>
      <c r="Q27" s="28">
        <f t="shared" si="1"/>
        <v>18</v>
      </c>
    </row>
    <row r="28" spans="1:20" x14ac:dyDescent="0.75">
      <c r="A28" s="28">
        <v>20</v>
      </c>
      <c r="B28" s="28" t="str">
        <f>VLOOKUP(Table142[[#This Row],[S/No]],DATABASE!A25:AQ74,2,FALSE)</f>
        <v>AYMAN O. ABIDEEN</v>
      </c>
      <c r="C28" s="28" t="str">
        <f>VLOOKUP(Table142[[#This Row],[S/No]],DATABASE!A25:AQ74,3,FALSE)</f>
        <v>TCS/2021/879</v>
      </c>
      <c r="D28" s="28">
        <f>VLOOKUP(Table142[[#This Row],[S/No]],Table8[#All],4,FALSE)</f>
        <v>15</v>
      </c>
      <c r="E28" s="28">
        <f>VLOOKUP(Table142[[#This Row],[S/No]],Table8[#All],8,FALSE)</f>
        <v>15</v>
      </c>
      <c r="F28" s="28">
        <f>VLOOKUP(Table142[[#This Row],[S/No]],Table8[#All],12,FALSE)</f>
        <v>15</v>
      </c>
      <c r="G28" s="28">
        <f>VLOOKUP(Table142[[#This Row],[S/No]],Table8[#All],16,FALSE)</f>
        <v>15</v>
      </c>
      <c r="H28" s="28">
        <f>VLOOKUP(Table142[[#This Row],[S/No]],Table8[#All],20,FALSE)</f>
        <v>15</v>
      </c>
      <c r="I28" s="28">
        <f>VLOOKUP(Table142[[#This Row],[S/No]],Table8[#All],24,FALSE)</f>
        <v>15</v>
      </c>
      <c r="J28" s="28">
        <f>VLOOKUP(Table142[[#This Row],[S/No]],Table8[#All],28,FALSE)</f>
        <v>15</v>
      </c>
      <c r="K28" s="28">
        <f>VLOOKUP(Table142[[#This Row],[S/No]],Table8[#All],32,FALSE)</f>
        <v>15</v>
      </c>
      <c r="L28" s="28">
        <f>VLOOKUP(Table142[[#This Row],[S/No]],Table8[#All],36,FALSE)</f>
        <v>15</v>
      </c>
      <c r="M28" s="28">
        <f>VLOOKUP(Table142[[#This Row],[S/No]],Table8[#All],40,FALSE)</f>
        <v>15</v>
      </c>
      <c r="N28" s="28">
        <v>10</v>
      </c>
      <c r="O28" s="28">
        <f t="shared" si="0"/>
        <v>150</v>
      </c>
      <c r="P28" s="36">
        <f>SUM(Table142[[#This Row],[Ctz]:[Spell]])/(Table142[[#This Row],[No. of Sub.]]*20)</f>
        <v>0.75</v>
      </c>
      <c r="Q28" s="28">
        <f t="shared" si="1"/>
        <v>14</v>
      </c>
    </row>
    <row r="29" spans="1:20" x14ac:dyDescent="0.75">
      <c r="A29" s="28">
        <v>21</v>
      </c>
      <c r="B29" s="28" t="str">
        <f>VLOOKUP(Table142[[#This Row],[S/No]],DATABASE!A26:AQ75,2,FALSE)</f>
        <v>MOHAMMED MAYAKI</v>
      </c>
      <c r="C29" s="28" t="str">
        <f>VLOOKUP(Table142[[#This Row],[S/No]],DATABASE!A26:AQ75,3,FALSE)</f>
        <v>TCS/2022/921</v>
      </c>
      <c r="D29" s="28">
        <f>VLOOKUP(Table142[[#This Row],[S/No]],Table8[#All],4,FALSE)</f>
        <v>16</v>
      </c>
      <c r="E29" s="28">
        <f>VLOOKUP(Table142[[#This Row],[S/No]],Table8[#All],8,FALSE)</f>
        <v>16</v>
      </c>
      <c r="F29" s="28">
        <f>VLOOKUP(Table142[[#This Row],[S/No]],Table8[#All],12,FALSE)</f>
        <v>16</v>
      </c>
      <c r="G29" s="28">
        <f>VLOOKUP(Table142[[#This Row],[S/No]],Table8[#All],16,FALSE)</f>
        <v>16</v>
      </c>
      <c r="H29" s="28">
        <f>VLOOKUP(Table142[[#This Row],[S/No]],Table8[#All],20,FALSE)</f>
        <v>16</v>
      </c>
      <c r="I29" s="28">
        <f>VLOOKUP(Table142[[#This Row],[S/No]],Table8[#All],24,FALSE)</f>
        <v>16</v>
      </c>
      <c r="J29" s="28">
        <f>VLOOKUP(Table142[[#This Row],[S/No]],Table8[#All],28,FALSE)</f>
        <v>16</v>
      </c>
      <c r="K29" s="28">
        <f>VLOOKUP(Table142[[#This Row],[S/No]],Table8[#All],32,FALSE)</f>
        <v>16</v>
      </c>
      <c r="L29" s="28">
        <f>VLOOKUP(Table142[[#This Row],[S/No]],Table8[#All],36,FALSE)</f>
        <v>16</v>
      </c>
      <c r="M29" s="28">
        <f>VLOOKUP(Table142[[#This Row],[S/No]],Table8[#All],40,FALSE)</f>
        <v>16</v>
      </c>
      <c r="N29" s="28">
        <v>10</v>
      </c>
      <c r="O29" s="28">
        <f t="shared" si="0"/>
        <v>160</v>
      </c>
      <c r="P29" s="36">
        <f>SUM(Table142[[#This Row],[Ctz]:[Spell]])/(Table142[[#This Row],[No. of Sub.]]*20)</f>
        <v>0.8</v>
      </c>
      <c r="Q29" s="28">
        <f t="shared" si="1"/>
        <v>9</v>
      </c>
    </row>
    <row r="30" spans="1:20" x14ac:dyDescent="0.75">
      <c r="A30" s="28">
        <v>22</v>
      </c>
      <c r="B30" s="28" t="str">
        <f>VLOOKUP(Table142[[#This Row],[S/No]],DATABASE!A27:AQ76,2,FALSE)</f>
        <v>BOUCARY BOUCARY</v>
      </c>
      <c r="C30" s="28" t="str">
        <f>VLOOKUP(Table142[[#This Row],[S/No]],DATABASE!A27:AQ76,3,FALSE)</f>
        <v>TCS/2022/931</v>
      </c>
      <c r="D30" s="28">
        <f>VLOOKUP(Table142[[#This Row],[S/No]],Table8[#All],4,FALSE)</f>
        <v>18</v>
      </c>
      <c r="E30" s="28">
        <f>VLOOKUP(Table142[[#This Row],[S/No]],Table8[#All],8,FALSE)</f>
        <v>12</v>
      </c>
      <c r="F30" s="28">
        <f>VLOOKUP(Table142[[#This Row],[S/No]],Table8[#All],12,FALSE)</f>
        <v>18</v>
      </c>
      <c r="G30" s="28">
        <f>VLOOKUP(Table142[[#This Row],[S/No]],Table8[#All],16,FALSE)</f>
        <v>18</v>
      </c>
      <c r="H30" s="28">
        <f>VLOOKUP(Table142[[#This Row],[S/No]],Table8[#All],20,FALSE)</f>
        <v>18</v>
      </c>
      <c r="I30" s="28">
        <f>VLOOKUP(Table142[[#This Row],[S/No]],Table8[#All],24,FALSE)</f>
        <v>18</v>
      </c>
      <c r="J30" s="28">
        <f>VLOOKUP(Table142[[#This Row],[S/No]],Table8[#All],28,FALSE)</f>
        <v>12</v>
      </c>
      <c r="K30" s="28">
        <f>VLOOKUP(Table142[[#This Row],[S/No]],Table8[#All],32,FALSE)</f>
        <v>18</v>
      </c>
      <c r="L30" s="28">
        <f>VLOOKUP(Table142[[#This Row],[S/No]],Table8[#All],36,FALSE)</f>
        <v>18</v>
      </c>
      <c r="M30" s="28">
        <f>VLOOKUP(Table142[[#This Row],[S/No]],Table8[#All],40,FALSE)</f>
        <v>18</v>
      </c>
      <c r="N30" s="28">
        <v>10</v>
      </c>
      <c r="O30" s="28">
        <f t="shared" si="0"/>
        <v>168</v>
      </c>
      <c r="P30" s="36">
        <f>SUM(Table142[[#This Row],[Ctz]:[Spell]])/(Table142[[#This Row],[No. of Sub.]]*20)</f>
        <v>0.84</v>
      </c>
      <c r="Q30" s="28">
        <f t="shared" si="1"/>
        <v>8</v>
      </c>
    </row>
    <row r="31" spans="1:20" x14ac:dyDescent="0.75">
      <c r="A31" s="28">
        <v>23</v>
      </c>
      <c r="B31" s="28" t="str">
        <f>VLOOKUP(Table142[[#This Row],[S/No]],DATABASE!A28:AQ77,2,FALSE)</f>
        <v>MOHAMMED TARIQ</v>
      </c>
      <c r="C31" s="28" t="str">
        <f>VLOOKUP(Table142[[#This Row],[S/No]],DATABASE!A28:AQ77,3,FALSE)</f>
        <v>TCS/2023/1042</v>
      </c>
      <c r="D31" s="28">
        <f>VLOOKUP(Table142[[#This Row],[S/No]],Table8[#All],4,FALSE)</f>
        <v>19</v>
      </c>
      <c r="E31" s="28">
        <f>VLOOKUP(Table142[[#This Row],[S/No]],Table8[#All],8,FALSE)</f>
        <v>19</v>
      </c>
      <c r="F31" s="28">
        <f>VLOOKUP(Table142[[#This Row],[S/No]],Table8[#All],12,FALSE)</f>
        <v>19</v>
      </c>
      <c r="G31" s="28">
        <f>VLOOKUP(Table142[[#This Row],[S/No]],Table8[#All],16,FALSE)</f>
        <v>19</v>
      </c>
      <c r="H31" s="28">
        <f>VLOOKUP(Table142[[#This Row],[S/No]],Table8[#All],20,FALSE)</f>
        <v>19</v>
      </c>
      <c r="I31" s="28">
        <f>VLOOKUP(Table142[[#This Row],[S/No]],Table8[#All],24,FALSE)</f>
        <v>19</v>
      </c>
      <c r="J31" s="28">
        <f>VLOOKUP(Table142[[#This Row],[S/No]],Table8[#All],28,FALSE)</f>
        <v>19</v>
      </c>
      <c r="K31" s="28">
        <f>VLOOKUP(Table142[[#This Row],[S/No]],Table8[#All],32,FALSE)</f>
        <v>19</v>
      </c>
      <c r="L31" s="28">
        <f>VLOOKUP(Table142[[#This Row],[S/No]],Table8[#All],36,FALSE)</f>
        <v>19</v>
      </c>
      <c r="M31" s="28">
        <f>VLOOKUP(Table142[[#This Row],[S/No]],Table8[#All],40,FALSE)</f>
        <v>19</v>
      </c>
      <c r="N31" s="28">
        <v>10</v>
      </c>
      <c r="O31" s="28">
        <f t="shared" si="0"/>
        <v>190</v>
      </c>
      <c r="P31" s="36">
        <f>SUM(Table142[[#This Row],[Ctz]:[Spell]])/(Table142[[#This Row],[No. of Sub.]]*20)</f>
        <v>0.95</v>
      </c>
      <c r="Q31" s="28">
        <f t="shared" si="1"/>
        <v>1</v>
      </c>
    </row>
    <row r="32" spans="1:20" x14ac:dyDescent="0.75">
      <c r="A32" s="28">
        <v>24</v>
      </c>
      <c r="B32" s="28">
        <f>VLOOKUP(Table142[[#This Row],[S/No]],DATABASE!A29:AQ78,2,FALSE)</f>
        <v>0</v>
      </c>
      <c r="C32" s="28">
        <f>VLOOKUP(Table142[[#This Row],[S/No]],DATABASE!A29:AQ78,3,FALSE)</f>
        <v>0</v>
      </c>
      <c r="D32" s="28">
        <f>VLOOKUP(Table142[[#This Row],[S/No]],Table8[#All],4,FALSE)</f>
        <v>0</v>
      </c>
      <c r="E32" s="28">
        <f>VLOOKUP(Table142[[#This Row],[S/No]],Table8[#All],8,FALSE)</f>
        <v>0</v>
      </c>
      <c r="F32" s="28">
        <f>VLOOKUP(Table142[[#This Row],[S/No]],Table8[#All],12,FALSE)</f>
        <v>0</v>
      </c>
      <c r="G32" s="28">
        <f>VLOOKUP(Table142[[#This Row],[S/No]],Table8[#All],16,FALSE)</f>
        <v>0</v>
      </c>
      <c r="H32" s="28">
        <f>VLOOKUP(Table142[[#This Row],[S/No]],Table8[#All],20,FALSE)</f>
        <v>0</v>
      </c>
      <c r="I32" s="28">
        <f>VLOOKUP(Table142[[#This Row],[S/No]],Table8[#All],24,FALSE)</f>
        <v>0</v>
      </c>
      <c r="J32" s="28">
        <f>VLOOKUP(Table142[[#This Row],[S/No]],Table8[#All],28,FALSE)</f>
        <v>0</v>
      </c>
      <c r="K32" s="28">
        <f>VLOOKUP(Table142[[#This Row],[S/No]],Table8[#All],32,FALSE)</f>
        <v>0</v>
      </c>
      <c r="L32" s="28">
        <f>VLOOKUP(Table142[[#This Row],[S/No]],Table8[#All],36,FALSE)</f>
        <v>0</v>
      </c>
      <c r="M32" s="28">
        <f>VLOOKUP(Table142[[#This Row],[S/No]],Table8[#All],40,FALSE)</f>
        <v>0</v>
      </c>
      <c r="N32" s="28">
        <v>10</v>
      </c>
      <c r="O32" s="28">
        <f t="shared" si="0"/>
        <v>0</v>
      </c>
      <c r="P32" s="36">
        <f>SUM(Table142[[#This Row],[Ctz]:[Spell]])/(Table142[[#This Row],[No. of Sub.]]*20)</f>
        <v>0</v>
      </c>
      <c r="Q32" s="28" t="b">
        <f t="shared" si="1"/>
        <v>0</v>
      </c>
    </row>
    <row r="33" spans="1:17" x14ac:dyDescent="0.75">
      <c r="A33" s="28">
        <v>25</v>
      </c>
      <c r="B33" s="28">
        <f>VLOOKUP(Table142[[#This Row],[S/No]],DATABASE!A30:AQ79,2,FALSE)</f>
        <v>0</v>
      </c>
      <c r="C33" s="28">
        <f>VLOOKUP(Table142[[#This Row],[S/No]],DATABASE!A30:AQ79,3,FALSE)</f>
        <v>0</v>
      </c>
      <c r="D33" s="28">
        <f>VLOOKUP(Table142[[#This Row],[S/No]],Table8[#All],4,FALSE)</f>
        <v>0</v>
      </c>
      <c r="E33" s="28">
        <f>VLOOKUP(Table142[[#This Row],[S/No]],Table8[#All],8,FALSE)</f>
        <v>0</v>
      </c>
      <c r="F33" s="28">
        <f>VLOOKUP(Table142[[#This Row],[S/No]],Table8[#All],12,FALSE)</f>
        <v>0</v>
      </c>
      <c r="G33" s="28">
        <f>VLOOKUP(Table142[[#This Row],[S/No]],Table8[#All],16,FALSE)</f>
        <v>0</v>
      </c>
      <c r="H33" s="28">
        <f>VLOOKUP(Table142[[#This Row],[S/No]],Table8[#All],20,FALSE)</f>
        <v>0</v>
      </c>
      <c r="I33" s="28">
        <f>VLOOKUP(Table142[[#This Row],[S/No]],Table8[#All],24,FALSE)</f>
        <v>0</v>
      </c>
      <c r="J33" s="28">
        <f>VLOOKUP(Table142[[#This Row],[S/No]],Table8[#All],28,FALSE)</f>
        <v>0</v>
      </c>
      <c r="K33" s="28">
        <f>VLOOKUP(Table142[[#This Row],[S/No]],Table8[#All],32,FALSE)</f>
        <v>0</v>
      </c>
      <c r="L33" s="28">
        <f>VLOOKUP(Table142[[#This Row],[S/No]],Table8[#All],36,FALSE)</f>
        <v>0</v>
      </c>
      <c r="M33" s="28">
        <f>VLOOKUP(Table142[[#This Row],[S/No]],Table8[#All],40,FALSE)</f>
        <v>0</v>
      </c>
      <c r="N33" s="28">
        <v>10</v>
      </c>
      <c r="O33" s="28">
        <f t="shared" si="0"/>
        <v>0</v>
      </c>
      <c r="P33" s="36">
        <f>SUM(Table142[[#This Row],[Ctz]:[Spell]])/(Table142[[#This Row],[No. of Sub.]]*20)</f>
        <v>0</v>
      </c>
      <c r="Q33" s="28" t="b">
        <f t="shared" si="1"/>
        <v>0</v>
      </c>
    </row>
    <row r="34" spans="1:17" x14ac:dyDescent="0.75">
      <c r="A34" s="28">
        <v>26</v>
      </c>
      <c r="B34" s="28">
        <f>VLOOKUP(Table142[[#This Row],[S/No]],DATABASE!A31:AQ80,2,FALSE)</f>
        <v>0</v>
      </c>
      <c r="C34" s="28">
        <f>VLOOKUP(Table142[[#This Row],[S/No]],DATABASE!A31:AQ80,3,FALSE)</f>
        <v>0</v>
      </c>
      <c r="D34" s="28">
        <f>VLOOKUP(Table142[[#This Row],[S/No]],Table8[#All],4,FALSE)</f>
        <v>0</v>
      </c>
      <c r="E34" s="28">
        <f>VLOOKUP(Table142[[#This Row],[S/No]],Table8[#All],8,FALSE)</f>
        <v>0</v>
      </c>
      <c r="F34" s="28">
        <f>VLOOKUP(Table142[[#This Row],[S/No]],Table8[#All],12,FALSE)</f>
        <v>0</v>
      </c>
      <c r="G34" s="28">
        <f>VLOOKUP(Table142[[#This Row],[S/No]],Table8[#All],16,FALSE)</f>
        <v>0</v>
      </c>
      <c r="H34" s="28">
        <f>VLOOKUP(Table142[[#This Row],[S/No]],Table8[#All],20,FALSE)</f>
        <v>0</v>
      </c>
      <c r="I34" s="28">
        <f>VLOOKUP(Table142[[#This Row],[S/No]],Table8[#All],24,FALSE)</f>
        <v>0</v>
      </c>
      <c r="J34" s="28">
        <f>VLOOKUP(Table142[[#This Row],[S/No]],Table8[#All],28,FALSE)</f>
        <v>0</v>
      </c>
      <c r="K34" s="28">
        <f>VLOOKUP(Table142[[#This Row],[S/No]],Table8[#All],32,FALSE)</f>
        <v>0</v>
      </c>
      <c r="L34" s="28">
        <f>VLOOKUP(Table142[[#This Row],[S/No]],Table8[#All],36,FALSE)</f>
        <v>0</v>
      </c>
      <c r="M34" s="28">
        <f>VLOOKUP(Table142[[#This Row],[S/No]],Table8[#All],40,FALSE)</f>
        <v>0</v>
      </c>
      <c r="N34" s="28">
        <v>10</v>
      </c>
      <c r="O34" s="28">
        <f t="shared" si="0"/>
        <v>0</v>
      </c>
      <c r="P34" s="36">
        <f>SUM(Table142[[#This Row],[Ctz]:[Spell]])/(Table142[[#This Row],[No. of Sub.]]*20)</f>
        <v>0</v>
      </c>
      <c r="Q34" s="28" t="b">
        <f t="shared" si="1"/>
        <v>0</v>
      </c>
    </row>
    <row r="35" spans="1:17" x14ac:dyDescent="0.75">
      <c r="A35" s="28">
        <v>27</v>
      </c>
      <c r="B35" s="28">
        <f>VLOOKUP(Table142[[#This Row],[S/No]],DATABASE!A32:AQ81,2,FALSE)</f>
        <v>0</v>
      </c>
      <c r="C35" s="28">
        <f>VLOOKUP(Table142[[#This Row],[S/No]],DATABASE!A32:AQ81,3,FALSE)</f>
        <v>0</v>
      </c>
      <c r="D35" s="28">
        <f>VLOOKUP(Table142[[#This Row],[S/No]],Table8[#All],4,FALSE)</f>
        <v>0</v>
      </c>
      <c r="E35" s="28">
        <f>VLOOKUP(Table142[[#This Row],[S/No]],Table8[#All],8,FALSE)</f>
        <v>0</v>
      </c>
      <c r="F35" s="28">
        <f>VLOOKUP(Table142[[#This Row],[S/No]],Table8[#All],12,FALSE)</f>
        <v>0</v>
      </c>
      <c r="G35" s="28">
        <f>VLOOKUP(Table142[[#This Row],[S/No]],Table8[#All],16,FALSE)</f>
        <v>0</v>
      </c>
      <c r="H35" s="28">
        <f>VLOOKUP(Table142[[#This Row],[S/No]],Table8[#All],20,FALSE)</f>
        <v>0</v>
      </c>
      <c r="I35" s="28">
        <f>VLOOKUP(Table142[[#This Row],[S/No]],Table8[#All],24,FALSE)</f>
        <v>0</v>
      </c>
      <c r="J35" s="28">
        <f>VLOOKUP(Table142[[#This Row],[S/No]],Table8[#All],28,FALSE)</f>
        <v>0</v>
      </c>
      <c r="K35" s="28">
        <f>VLOOKUP(Table142[[#This Row],[S/No]],Table8[#All],32,FALSE)</f>
        <v>0</v>
      </c>
      <c r="L35" s="28">
        <f>VLOOKUP(Table142[[#This Row],[S/No]],Table8[#All],36,FALSE)</f>
        <v>0</v>
      </c>
      <c r="M35" s="28">
        <f>VLOOKUP(Table142[[#This Row],[S/No]],Table8[#All],40,FALSE)</f>
        <v>0</v>
      </c>
      <c r="N35" s="28">
        <v>10</v>
      </c>
      <c r="O35" s="28">
        <f t="shared" si="0"/>
        <v>0</v>
      </c>
      <c r="P35" s="36">
        <f>SUM(Table142[[#This Row],[Ctz]:[Spell]])/(Table142[[#This Row],[No. of Sub.]]*20)</f>
        <v>0</v>
      </c>
      <c r="Q35" s="28" t="b">
        <f t="shared" si="1"/>
        <v>0</v>
      </c>
    </row>
    <row r="36" spans="1:17" x14ac:dyDescent="0.75">
      <c r="A36" s="28">
        <v>28</v>
      </c>
      <c r="B36" s="28">
        <f>VLOOKUP(Table142[[#This Row],[S/No]],DATABASE!A33:AQ82,2,FALSE)</f>
        <v>0</v>
      </c>
      <c r="C36" s="28">
        <f>VLOOKUP(Table142[[#This Row],[S/No]],DATABASE!A33:AQ82,3,FALSE)</f>
        <v>0</v>
      </c>
      <c r="D36" s="28">
        <f>VLOOKUP(Table142[[#This Row],[S/No]],Table8[#All],4,FALSE)</f>
        <v>0</v>
      </c>
      <c r="E36" s="28">
        <f>VLOOKUP(Table142[[#This Row],[S/No]],Table8[#All],8,FALSE)</f>
        <v>0</v>
      </c>
      <c r="F36" s="28">
        <f>VLOOKUP(Table142[[#This Row],[S/No]],Table8[#All],12,FALSE)</f>
        <v>0</v>
      </c>
      <c r="G36" s="28">
        <f>VLOOKUP(Table142[[#This Row],[S/No]],Table8[#All],16,FALSE)</f>
        <v>0</v>
      </c>
      <c r="H36" s="28">
        <f>VLOOKUP(Table142[[#This Row],[S/No]],Table8[#All],20,FALSE)</f>
        <v>0</v>
      </c>
      <c r="I36" s="28">
        <f>VLOOKUP(Table142[[#This Row],[S/No]],Table8[#All],24,FALSE)</f>
        <v>0</v>
      </c>
      <c r="J36" s="28">
        <f>VLOOKUP(Table142[[#This Row],[S/No]],Table8[#All],28,FALSE)</f>
        <v>0</v>
      </c>
      <c r="K36" s="28">
        <f>VLOOKUP(Table142[[#This Row],[S/No]],Table8[#All],32,FALSE)</f>
        <v>0</v>
      </c>
      <c r="L36" s="28">
        <f>VLOOKUP(Table142[[#This Row],[S/No]],Table8[#All],36,FALSE)</f>
        <v>0</v>
      </c>
      <c r="M36" s="28">
        <f>VLOOKUP(Table142[[#This Row],[S/No]],Table8[#All],40,FALSE)</f>
        <v>0</v>
      </c>
      <c r="N36" s="28">
        <v>10</v>
      </c>
      <c r="O36" s="28">
        <f t="shared" si="0"/>
        <v>0</v>
      </c>
      <c r="P36" s="36">
        <f>SUM(Table142[[#This Row],[Ctz]:[Spell]])/(Table142[[#This Row],[No. of Sub.]]*20)</f>
        <v>0</v>
      </c>
      <c r="Q36" s="28" t="b">
        <f t="shared" si="1"/>
        <v>0</v>
      </c>
    </row>
    <row r="37" spans="1:17" x14ac:dyDescent="0.75">
      <c r="A37" s="28">
        <v>29</v>
      </c>
      <c r="B37" s="28">
        <f>VLOOKUP(Table142[[#This Row],[S/No]],DATABASE!A34:AQ83,2,FALSE)</f>
        <v>0</v>
      </c>
      <c r="C37" s="28">
        <f>VLOOKUP(Table142[[#This Row],[S/No]],DATABASE!A34:AQ83,3,FALSE)</f>
        <v>0</v>
      </c>
      <c r="D37" s="28">
        <f>VLOOKUP(Table142[[#This Row],[S/No]],Table8[#All],4,FALSE)</f>
        <v>0</v>
      </c>
      <c r="E37" s="28">
        <f>VLOOKUP(Table142[[#This Row],[S/No]],Table8[#All],8,FALSE)</f>
        <v>0</v>
      </c>
      <c r="F37" s="28">
        <f>VLOOKUP(Table142[[#This Row],[S/No]],Table8[#All],12,FALSE)</f>
        <v>0</v>
      </c>
      <c r="G37" s="28">
        <f>VLOOKUP(Table142[[#This Row],[S/No]],Table8[#All],16,FALSE)</f>
        <v>0</v>
      </c>
      <c r="H37" s="28">
        <f>VLOOKUP(Table142[[#This Row],[S/No]],Table8[#All],20,FALSE)</f>
        <v>0</v>
      </c>
      <c r="I37" s="28">
        <f>VLOOKUP(Table142[[#This Row],[S/No]],Table8[#All],24,FALSE)</f>
        <v>0</v>
      </c>
      <c r="J37" s="28">
        <f>VLOOKUP(Table142[[#This Row],[S/No]],Table8[#All],28,FALSE)</f>
        <v>0</v>
      </c>
      <c r="K37" s="28">
        <f>VLOOKUP(Table142[[#This Row],[S/No]],Table8[#All],32,FALSE)</f>
        <v>0</v>
      </c>
      <c r="L37" s="28">
        <f>VLOOKUP(Table142[[#This Row],[S/No]],Table8[#All],36,FALSE)</f>
        <v>0</v>
      </c>
      <c r="M37" s="28">
        <f>VLOOKUP(Table142[[#This Row],[S/No]],Table8[#All],40,FALSE)</f>
        <v>0</v>
      </c>
      <c r="N37" s="28">
        <v>10</v>
      </c>
      <c r="O37" s="28">
        <f t="shared" si="0"/>
        <v>0</v>
      </c>
      <c r="P37" s="36">
        <f>SUM(Table142[[#This Row],[Ctz]:[Spell]])/(Table142[[#This Row],[No. of Sub.]]*20)</f>
        <v>0</v>
      </c>
      <c r="Q37" s="28" t="b">
        <f t="shared" si="1"/>
        <v>0</v>
      </c>
    </row>
    <row r="38" spans="1:17" x14ac:dyDescent="0.75">
      <c r="A38" s="28">
        <v>30</v>
      </c>
      <c r="B38" s="28">
        <f>VLOOKUP(Table142[[#This Row],[S/No]],DATABASE!A35:AQ84,2,FALSE)</f>
        <v>0</v>
      </c>
      <c r="C38" s="28">
        <f>VLOOKUP(Table142[[#This Row],[S/No]],DATABASE!A35:AQ84,3,FALSE)</f>
        <v>0</v>
      </c>
      <c r="D38" s="28">
        <f>VLOOKUP(Table142[[#This Row],[S/No]],Table8[#All],4,FALSE)</f>
        <v>0</v>
      </c>
      <c r="E38" s="28">
        <f>VLOOKUP(Table142[[#This Row],[S/No]],Table8[#All],8,FALSE)</f>
        <v>0</v>
      </c>
      <c r="F38" s="28">
        <f>VLOOKUP(Table142[[#This Row],[S/No]],Table8[#All],12,FALSE)</f>
        <v>0</v>
      </c>
      <c r="G38" s="28">
        <f>VLOOKUP(Table142[[#This Row],[S/No]],Table8[#All],16,FALSE)</f>
        <v>0</v>
      </c>
      <c r="H38" s="28">
        <f>VLOOKUP(Table142[[#This Row],[S/No]],Table8[#All],20,FALSE)</f>
        <v>0</v>
      </c>
      <c r="I38" s="28">
        <f>VLOOKUP(Table142[[#This Row],[S/No]],Table8[#All],24,FALSE)</f>
        <v>0</v>
      </c>
      <c r="J38" s="28">
        <f>VLOOKUP(Table142[[#This Row],[S/No]],Table8[#All],28,FALSE)</f>
        <v>0</v>
      </c>
      <c r="K38" s="28">
        <f>VLOOKUP(Table142[[#This Row],[S/No]],Table8[#All],32,FALSE)</f>
        <v>0</v>
      </c>
      <c r="L38" s="28">
        <f>VLOOKUP(Table142[[#This Row],[S/No]],Table8[#All],36,FALSE)</f>
        <v>0</v>
      </c>
      <c r="M38" s="28">
        <f>VLOOKUP(Table142[[#This Row],[S/No]],Table8[#All],40,FALSE)</f>
        <v>0</v>
      </c>
      <c r="N38" s="28">
        <v>10</v>
      </c>
      <c r="O38" s="28">
        <f t="shared" si="0"/>
        <v>0</v>
      </c>
      <c r="P38" s="36">
        <f>SUM(Table142[[#This Row],[Ctz]:[Spell]])/(Table142[[#This Row],[No. of Sub.]]*20)</f>
        <v>0</v>
      </c>
      <c r="Q38" s="28" t="b">
        <f t="shared" si="1"/>
        <v>0</v>
      </c>
    </row>
    <row r="39" spans="1:17" x14ac:dyDescent="0.75">
      <c r="A39" s="28">
        <v>31</v>
      </c>
      <c r="B39" s="28">
        <f>VLOOKUP(Table142[[#This Row],[S/No]],DATABASE!A36:AQ85,2,FALSE)</f>
        <v>0</v>
      </c>
      <c r="C39" s="28">
        <f>VLOOKUP(Table142[[#This Row],[S/No]],DATABASE!A36:AQ85,3,FALSE)</f>
        <v>0</v>
      </c>
      <c r="D39" s="28">
        <f>VLOOKUP(Table142[[#This Row],[S/No]],Table8[#All],4,FALSE)</f>
        <v>0</v>
      </c>
      <c r="E39" s="28">
        <f>VLOOKUP(Table142[[#This Row],[S/No]],Table8[#All],8,FALSE)</f>
        <v>0</v>
      </c>
      <c r="F39" s="28">
        <f>VLOOKUP(Table142[[#This Row],[S/No]],Table8[#All],12,FALSE)</f>
        <v>0</v>
      </c>
      <c r="G39" s="28">
        <f>VLOOKUP(Table142[[#This Row],[S/No]],Table8[#All],16,FALSE)</f>
        <v>0</v>
      </c>
      <c r="H39" s="28">
        <f>VLOOKUP(Table142[[#This Row],[S/No]],Table8[#All],20,FALSE)</f>
        <v>0</v>
      </c>
      <c r="I39" s="28">
        <f>VLOOKUP(Table142[[#This Row],[S/No]],Table8[#All],24,FALSE)</f>
        <v>0</v>
      </c>
      <c r="J39" s="28">
        <f>VLOOKUP(Table142[[#This Row],[S/No]],Table8[#All],28,FALSE)</f>
        <v>0</v>
      </c>
      <c r="K39" s="28">
        <f>VLOOKUP(Table142[[#This Row],[S/No]],Table8[#All],32,FALSE)</f>
        <v>0</v>
      </c>
      <c r="L39" s="28">
        <f>VLOOKUP(Table142[[#This Row],[S/No]],Table8[#All],36,FALSE)</f>
        <v>0</v>
      </c>
      <c r="M39" s="28">
        <f>VLOOKUP(Table142[[#This Row],[S/No]],Table8[#All],40,FALSE)</f>
        <v>0</v>
      </c>
      <c r="N39" s="28">
        <v>10</v>
      </c>
      <c r="O39" s="28">
        <f t="shared" si="0"/>
        <v>0</v>
      </c>
      <c r="P39" s="36">
        <f>SUM(Table142[[#This Row],[Ctz]:[Spell]])/(Table142[[#This Row],[No. of Sub.]]*20)</f>
        <v>0</v>
      </c>
      <c r="Q39" s="28" t="b">
        <f t="shared" si="1"/>
        <v>0</v>
      </c>
    </row>
    <row r="40" spans="1:17" x14ac:dyDescent="0.75">
      <c r="A40" s="28">
        <v>32</v>
      </c>
      <c r="B40" s="28">
        <f>VLOOKUP(Table142[[#This Row],[S/No]],DATABASE!A37:AQ86,2,FALSE)</f>
        <v>0</v>
      </c>
      <c r="C40" s="28">
        <f>VLOOKUP(Table142[[#This Row],[S/No]],DATABASE!A37:AQ86,3,FALSE)</f>
        <v>0</v>
      </c>
      <c r="D40" s="28">
        <f>VLOOKUP(Table142[[#This Row],[S/No]],Table8[#All],4,FALSE)</f>
        <v>0</v>
      </c>
      <c r="E40" s="28">
        <f>VLOOKUP(Table142[[#This Row],[S/No]],Table8[#All],8,FALSE)</f>
        <v>0</v>
      </c>
      <c r="F40" s="28">
        <f>VLOOKUP(Table142[[#This Row],[S/No]],Table8[#All],12,FALSE)</f>
        <v>0</v>
      </c>
      <c r="G40" s="28">
        <f>VLOOKUP(Table142[[#This Row],[S/No]],Table8[#All],16,FALSE)</f>
        <v>0</v>
      </c>
      <c r="H40" s="28">
        <f>VLOOKUP(Table142[[#This Row],[S/No]],Table8[#All],20,FALSE)</f>
        <v>0</v>
      </c>
      <c r="I40" s="28">
        <f>VLOOKUP(Table142[[#This Row],[S/No]],Table8[#All],24,FALSE)</f>
        <v>0</v>
      </c>
      <c r="J40" s="28">
        <f>VLOOKUP(Table142[[#This Row],[S/No]],Table8[#All],28,FALSE)</f>
        <v>0</v>
      </c>
      <c r="K40" s="28">
        <f>VLOOKUP(Table142[[#This Row],[S/No]],Table8[#All],32,FALSE)</f>
        <v>0</v>
      </c>
      <c r="L40" s="28">
        <f>VLOOKUP(Table142[[#This Row],[S/No]],Table8[#All],36,FALSE)</f>
        <v>0</v>
      </c>
      <c r="M40" s="28">
        <f>VLOOKUP(Table142[[#This Row],[S/No]],Table8[#All],40,FALSE)</f>
        <v>0</v>
      </c>
      <c r="N40" s="28">
        <v>10</v>
      </c>
      <c r="O40" s="28">
        <f t="shared" si="0"/>
        <v>0</v>
      </c>
      <c r="P40" s="36">
        <f>SUM(Table142[[#This Row],[Ctz]:[Spell]])/(Table142[[#This Row],[No. of Sub.]]*20)</f>
        <v>0</v>
      </c>
      <c r="Q40" s="28" t="b">
        <f t="shared" si="1"/>
        <v>0</v>
      </c>
    </row>
    <row r="41" spans="1:17" x14ac:dyDescent="0.75">
      <c r="A41" s="28">
        <v>33</v>
      </c>
      <c r="B41" s="28">
        <f>VLOOKUP(Table142[[#This Row],[S/No]],DATABASE!A38:AQ87,2,FALSE)</f>
        <v>0</v>
      </c>
      <c r="C41" s="28">
        <f>VLOOKUP(Table142[[#This Row],[S/No]],DATABASE!A38:AQ87,3,FALSE)</f>
        <v>0</v>
      </c>
      <c r="D41" s="28">
        <f>VLOOKUP(Table142[[#This Row],[S/No]],Table8[#All],4,FALSE)</f>
        <v>0</v>
      </c>
      <c r="E41" s="28">
        <f>VLOOKUP(Table142[[#This Row],[S/No]],Table8[#All],8,FALSE)</f>
        <v>0</v>
      </c>
      <c r="F41" s="28">
        <f>VLOOKUP(Table142[[#This Row],[S/No]],Table8[#All],12,FALSE)</f>
        <v>0</v>
      </c>
      <c r="G41" s="28">
        <f>VLOOKUP(Table142[[#This Row],[S/No]],Table8[#All],16,FALSE)</f>
        <v>0</v>
      </c>
      <c r="H41" s="28">
        <f>VLOOKUP(Table142[[#This Row],[S/No]],Table8[#All],20,FALSE)</f>
        <v>0</v>
      </c>
      <c r="I41" s="28">
        <f>VLOOKUP(Table142[[#This Row],[S/No]],Table8[#All],24,FALSE)</f>
        <v>0</v>
      </c>
      <c r="J41" s="28">
        <f>VLOOKUP(Table142[[#This Row],[S/No]],Table8[#All],28,FALSE)</f>
        <v>0</v>
      </c>
      <c r="K41" s="28">
        <f>VLOOKUP(Table142[[#This Row],[S/No]],Table8[#All],32,FALSE)</f>
        <v>0</v>
      </c>
      <c r="L41" s="28">
        <f>VLOOKUP(Table142[[#This Row],[S/No]],Table8[#All],36,FALSE)</f>
        <v>0</v>
      </c>
      <c r="M41" s="28">
        <f>VLOOKUP(Table142[[#This Row],[S/No]],Table8[#All],40,FALSE)</f>
        <v>0</v>
      </c>
      <c r="N41" s="28">
        <v>10</v>
      </c>
      <c r="O41" s="28">
        <f t="shared" si="0"/>
        <v>0</v>
      </c>
      <c r="P41" s="36">
        <f>SUM(Table142[[#This Row],[Ctz]:[Spell]])/(Table142[[#This Row],[No. of Sub.]]*20)</f>
        <v>0</v>
      </c>
      <c r="Q41" s="28" t="b">
        <f t="shared" ref="Q41:Q58" si="2">IF(P41&gt;0, RANK(P41, $P$9:$P$58))</f>
        <v>0</v>
      </c>
    </row>
    <row r="42" spans="1:17" x14ac:dyDescent="0.75">
      <c r="A42" s="28">
        <v>34</v>
      </c>
      <c r="B42" s="28">
        <f>VLOOKUP(Table142[[#This Row],[S/No]],DATABASE!A39:AQ88,2,FALSE)</f>
        <v>0</v>
      </c>
      <c r="C42" s="28">
        <f>VLOOKUP(Table142[[#This Row],[S/No]],DATABASE!A39:AQ88,3,FALSE)</f>
        <v>0</v>
      </c>
      <c r="D42" s="28">
        <f>VLOOKUP(Table142[[#This Row],[S/No]],Table8[#All],4,FALSE)</f>
        <v>0</v>
      </c>
      <c r="E42" s="28">
        <f>VLOOKUP(Table142[[#This Row],[S/No]],Table8[#All],8,FALSE)</f>
        <v>0</v>
      </c>
      <c r="F42" s="28">
        <f>VLOOKUP(Table142[[#This Row],[S/No]],Table8[#All],12,FALSE)</f>
        <v>0</v>
      </c>
      <c r="G42" s="28">
        <f>VLOOKUP(Table142[[#This Row],[S/No]],Table8[#All],16,FALSE)</f>
        <v>0</v>
      </c>
      <c r="H42" s="28">
        <f>VLOOKUP(Table142[[#This Row],[S/No]],Table8[#All],20,FALSE)</f>
        <v>0</v>
      </c>
      <c r="I42" s="28">
        <f>VLOOKUP(Table142[[#This Row],[S/No]],Table8[#All],24,FALSE)</f>
        <v>0</v>
      </c>
      <c r="J42" s="28">
        <f>VLOOKUP(Table142[[#This Row],[S/No]],Table8[#All],28,FALSE)</f>
        <v>0</v>
      </c>
      <c r="K42" s="28">
        <f>VLOOKUP(Table142[[#This Row],[S/No]],Table8[#All],32,FALSE)</f>
        <v>0</v>
      </c>
      <c r="L42" s="28">
        <f>VLOOKUP(Table142[[#This Row],[S/No]],Table8[#All],36,FALSE)</f>
        <v>0</v>
      </c>
      <c r="M42" s="28">
        <f>VLOOKUP(Table142[[#This Row],[S/No]],Table8[#All],40,FALSE)</f>
        <v>0</v>
      </c>
      <c r="N42" s="28">
        <v>10</v>
      </c>
      <c r="O42" s="28">
        <f t="shared" si="0"/>
        <v>0</v>
      </c>
      <c r="P42" s="36">
        <f>SUM(Table142[[#This Row],[Ctz]:[Spell]])/(Table142[[#This Row],[No. of Sub.]]*20)</f>
        <v>0</v>
      </c>
      <c r="Q42" s="28" t="b">
        <f t="shared" si="2"/>
        <v>0</v>
      </c>
    </row>
    <row r="43" spans="1:17" x14ac:dyDescent="0.75">
      <c r="A43" s="28">
        <v>35</v>
      </c>
      <c r="B43" s="28">
        <f>VLOOKUP(Table142[[#This Row],[S/No]],DATABASE!A40:AQ89,2,FALSE)</f>
        <v>0</v>
      </c>
      <c r="C43" s="28">
        <f>VLOOKUP(Table142[[#This Row],[S/No]],DATABASE!A40:AQ89,3,FALSE)</f>
        <v>0</v>
      </c>
      <c r="D43" s="28">
        <f>VLOOKUP(Table142[[#This Row],[S/No]],Table8[#All],4,FALSE)</f>
        <v>0</v>
      </c>
      <c r="E43" s="28">
        <f>VLOOKUP(Table142[[#This Row],[S/No]],Table8[#All],8,FALSE)</f>
        <v>0</v>
      </c>
      <c r="F43" s="28">
        <f>VLOOKUP(Table142[[#This Row],[S/No]],Table8[#All],12,FALSE)</f>
        <v>0</v>
      </c>
      <c r="G43" s="28">
        <f>VLOOKUP(Table142[[#This Row],[S/No]],Table8[#All],16,FALSE)</f>
        <v>0</v>
      </c>
      <c r="H43" s="28">
        <f>VLOOKUP(Table142[[#This Row],[S/No]],Table8[#All],20,FALSE)</f>
        <v>0</v>
      </c>
      <c r="I43" s="28">
        <f>VLOOKUP(Table142[[#This Row],[S/No]],Table8[#All],24,FALSE)</f>
        <v>0</v>
      </c>
      <c r="J43" s="28">
        <f>VLOOKUP(Table142[[#This Row],[S/No]],Table8[#All],28,FALSE)</f>
        <v>0</v>
      </c>
      <c r="K43" s="28">
        <f>VLOOKUP(Table142[[#This Row],[S/No]],Table8[#All],32,FALSE)</f>
        <v>0</v>
      </c>
      <c r="L43" s="28">
        <f>VLOOKUP(Table142[[#This Row],[S/No]],Table8[#All],36,FALSE)</f>
        <v>0</v>
      </c>
      <c r="M43" s="28">
        <f>VLOOKUP(Table142[[#This Row],[S/No]],Table8[#All],40,FALSE)</f>
        <v>0</v>
      </c>
      <c r="N43" s="28">
        <v>10</v>
      </c>
      <c r="O43" s="28">
        <f t="shared" si="0"/>
        <v>0</v>
      </c>
      <c r="P43" s="36">
        <f>SUM(Table142[[#This Row],[Ctz]:[Spell]])/(Table142[[#This Row],[No. of Sub.]]*20)</f>
        <v>0</v>
      </c>
      <c r="Q43" s="28" t="b">
        <f t="shared" si="2"/>
        <v>0</v>
      </c>
    </row>
    <row r="44" spans="1:17" x14ac:dyDescent="0.75">
      <c r="A44" s="28">
        <v>36</v>
      </c>
      <c r="B44" s="28">
        <f>VLOOKUP(Table142[[#This Row],[S/No]],DATABASE!A41:AQ90,2,FALSE)</f>
        <v>0</v>
      </c>
      <c r="C44" s="28">
        <f>VLOOKUP(Table142[[#This Row],[S/No]],DATABASE!A41:AQ90,3,FALSE)</f>
        <v>0</v>
      </c>
      <c r="D44" s="28">
        <f>VLOOKUP(Table142[[#This Row],[S/No]],Table8[#All],4,FALSE)</f>
        <v>0</v>
      </c>
      <c r="E44" s="28">
        <f>VLOOKUP(Table142[[#This Row],[S/No]],Table8[#All],8,FALSE)</f>
        <v>0</v>
      </c>
      <c r="F44" s="28">
        <f>VLOOKUP(Table142[[#This Row],[S/No]],Table8[#All],12,FALSE)</f>
        <v>0</v>
      </c>
      <c r="G44" s="28">
        <f>VLOOKUP(Table142[[#This Row],[S/No]],Table8[#All],16,FALSE)</f>
        <v>0</v>
      </c>
      <c r="H44" s="28">
        <f>VLOOKUP(Table142[[#This Row],[S/No]],Table8[#All],20,FALSE)</f>
        <v>0</v>
      </c>
      <c r="I44" s="28">
        <f>VLOOKUP(Table142[[#This Row],[S/No]],Table8[#All],24,FALSE)</f>
        <v>0</v>
      </c>
      <c r="J44" s="28">
        <f>VLOOKUP(Table142[[#This Row],[S/No]],Table8[#All],28,FALSE)</f>
        <v>0</v>
      </c>
      <c r="K44" s="28">
        <f>VLOOKUP(Table142[[#This Row],[S/No]],Table8[#All],32,FALSE)</f>
        <v>0</v>
      </c>
      <c r="L44" s="28">
        <f>VLOOKUP(Table142[[#This Row],[S/No]],Table8[#All],36,FALSE)</f>
        <v>0</v>
      </c>
      <c r="M44" s="28">
        <f>VLOOKUP(Table142[[#This Row],[S/No]],Table8[#All],40,FALSE)</f>
        <v>0</v>
      </c>
      <c r="N44" s="28">
        <v>10</v>
      </c>
      <c r="O44" s="28">
        <f t="shared" si="0"/>
        <v>0</v>
      </c>
      <c r="P44" s="36">
        <f>SUM(Table142[[#This Row],[Ctz]:[Spell]])/(Table142[[#This Row],[No. of Sub.]]*20)</f>
        <v>0</v>
      </c>
      <c r="Q44" s="28" t="b">
        <f t="shared" si="2"/>
        <v>0</v>
      </c>
    </row>
    <row r="45" spans="1:17" x14ac:dyDescent="0.75">
      <c r="A45" s="28">
        <v>37</v>
      </c>
      <c r="B45" s="28">
        <f>VLOOKUP(Table142[[#This Row],[S/No]],DATABASE!A42:AQ91,2,FALSE)</f>
        <v>0</v>
      </c>
      <c r="C45" s="28">
        <f>VLOOKUP(Table142[[#This Row],[S/No]],DATABASE!A42:AQ91,3,FALSE)</f>
        <v>0</v>
      </c>
      <c r="D45" s="28">
        <f>VLOOKUP(Table142[[#This Row],[S/No]],Table8[#All],4,FALSE)</f>
        <v>0</v>
      </c>
      <c r="E45" s="28">
        <f>VLOOKUP(Table142[[#This Row],[S/No]],Table8[#All],8,FALSE)</f>
        <v>0</v>
      </c>
      <c r="F45" s="28">
        <f>VLOOKUP(Table142[[#This Row],[S/No]],Table8[#All],12,FALSE)</f>
        <v>0</v>
      </c>
      <c r="G45" s="28">
        <f>VLOOKUP(Table142[[#This Row],[S/No]],Table8[#All],16,FALSE)</f>
        <v>0</v>
      </c>
      <c r="H45" s="28">
        <f>VLOOKUP(Table142[[#This Row],[S/No]],Table8[#All],20,FALSE)</f>
        <v>0</v>
      </c>
      <c r="I45" s="28">
        <f>VLOOKUP(Table142[[#This Row],[S/No]],Table8[#All],24,FALSE)</f>
        <v>0</v>
      </c>
      <c r="J45" s="28">
        <f>VLOOKUP(Table142[[#This Row],[S/No]],Table8[#All],28,FALSE)</f>
        <v>0</v>
      </c>
      <c r="K45" s="28">
        <f>VLOOKUP(Table142[[#This Row],[S/No]],Table8[#All],32,FALSE)</f>
        <v>0</v>
      </c>
      <c r="L45" s="28">
        <f>VLOOKUP(Table142[[#This Row],[S/No]],Table8[#All],36,FALSE)</f>
        <v>0</v>
      </c>
      <c r="M45" s="28">
        <f>VLOOKUP(Table142[[#This Row],[S/No]],Table8[#All],40,FALSE)</f>
        <v>0</v>
      </c>
      <c r="N45" s="28">
        <v>10</v>
      </c>
      <c r="O45" s="28">
        <f t="shared" si="0"/>
        <v>0</v>
      </c>
      <c r="P45" s="36">
        <f>SUM(Table142[[#This Row],[Ctz]:[Spell]])/(Table142[[#This Row],[No. of Sub.]]*20)</f>
        <v>0</v>
      </c>
      <c r="Q45" s="28" t="b">
        <f t="shared" si="2"/>
        <v>0</v>
      </c>
    </row>
    <row r="46" spans="1:17" x14ac:dyDescent="0.75">
      <c r="A46" s="28">
        <v>38</v>
      </c>
      <c r="B46" s="28">
        <f>VLOOKUP(Table142[[#This Row],[S/No]],DATABASE!A43:AQ92,2,FALSE)</f>
        <v>0</v>
      </c>
      <c r="C46" s="28">
        <f>VLOOKUP(Table142[[#This Row],[S/No]],DATABASE!A43:AQ92,3,FALSE)</f>
        <v>0</v>
      </c>
      <c r="D46" s="28">
        <f>VLOOKUP(Table142[[#This Row],[S/No]],Table8[#All],4,FALSE)</f>
        <v>0</v>
      </c>
      <c r="E46" s="28">
        <f>VLOOKUP(Table142[[#This Row],[S/No]],Table8[#All],8,FALSE)</f>
        <v>0</v>
      </c>
      <c r="F46" s="28">
        <f>VLOOKUP(Table142[[#This Row],[S/No]],Table8[#All],12,FALSE)</f>
        <v>0</v>
      </c>
      <c r="G46" s="28">
        <f>VLOOKUP(Table142[[#This Row],[S/No]],Table8[#All],16,FALSE)</f>
        <v>0</v>
      </c>
      <c r="H46" s="28">
        <f>VLOOKUP(Table142[[#This Row],[S/No]],Table8[#All],20,FALSE)</f>
        <v>0</v>
      </c>
      <c r="I46" s="28">
        <f>VLOOKUP(Table142[[#This Row],[S/No]],Table8[#All],24,FALSE)</f>
        <v>0</v>
      </c>
      <c r="J46" s="28">
        <f>VLOOKUP(Table142[[#This Row],[S/No]],Table8[#All],28,FALSE)</f>
        <v>0</v>
      </c>
      <c r="K46" s="28">
        <f>VLOOKUP(Table142[[#This Row],[S/No]],Table8[#All],32,FALSE)</f>
        <v>0</v>
      </c>
      <c r="L46" s="28">
        <f>VLOOKUP(Table142[[#This Row],[S/No]],Table8[#All],36,FALSE)</f>
        <v>0</v>
      </c>
      <c r="M46" s="28">
        <f>VLOOKUP(Table142[[#This Row],[S/No]],Table8[#All],40,FALSE)</f>
        <v>0</v>
      </c>
      <c r="N46" s="28">
        <v>10</v>
      </c>
      <c r="O46" s="28">
        <f t="shared" si="0"/>
        <v>0</v>
      </c>
      <c r="P46" s="36">
        <f>SUM(Table142[[#This Row],[Ctz]:[Spell]])/(Table142[[#This Row],[No. of Sub.]]*20)</f>
        <v>0</v>
      </c>
      <c r="Q46" s="28" t="b">
        <f t="shared" si="2"/>
        <v>0</v>
      </c>
    </row>
    <row r="47" spans="1:17" x14ac:dyDescent="0.75">
      <c r="A47" s="28">
        <v>39</v>
      </c>
      <c r="B47" s="28">
        <f>VLOOKUP(Table142[[#This Row],[S/No]],DATABASE!A44:AQ93,2,FALSE)</f>
        <v>0</v>
      </c>
      <c r="C47" s="28">
        <f>VLOOKUP(Table142[[#This Row],[S/No]],DATABASE!A44:AQ93,3,FALSE)</f>
        <v>0</v>
      </c>
      <c r="D47" s="28">
        <f>VLOOKUP(Table142[[#This Row],[S/No]],Table8[#All],4,FALSE)</f>
        <v>0</v>
      </c>
      <c r="E47" s="28">
        <f>VLOOKUP(Table142[[#This Row],[S/No]],Table8[#All],8,FALSE)</f>
        <v>0</v>
      </c>
      <c r="F47" s="28">
        <f>VLOOKUP(Table142[[#This Row],[S/No]],Table8[#All],12,FALSE)</f>
        <v>0</v>
      </c>
      <c r="G47" s="28">
        <f>VLOOKUP(Table142[[#This Row],[S/No]],Table8[#All],16,FALSE)</f>
        <v>0</v>
      </c>
      <c r="H47" s="28">
        <f>VLOOKUP(Table142[[#This Row],[S/No]],Table8[#All],20,FALSE)</f>
        <v>0</v>
      </c>
      <c r="I47" s="28">
        <f>VLOOKUP(Table142[[#This Row],[S/No]],Table8[#All],24,FALSE)</f>
        <v>0</v>
      </c>
      <c r="J47" s="28">
        <f>VLOOKUP(Table142[[#This Row],[S/No]],Table8[#All],28,FALSE)</f>
        <v>0</v>
      </c>
      <c r="K47" s="28">
        <f>VLOOKUP(Table142[[#This Row],[S/No]],Table8[#All],32,FALSE)</f>
        <v>0</v>
      </c>
      <c r="L47" s="28">
        <f>VLOOKUP(Table142[[#This Row],[S/No]],Table8[#All],36,FALSE)</f>
        <v>0</v>
      </c>
      <c r="M47" s="28">
        <f>VLOOKUP(Table142[[#This Row],[S/No]],Table8[#All],40,FALSE)</f>
        <v>0</v>
      </c>
      <c r="N47" s="28">
        <v>10</v>
      </c>
      <c r="O47" s="28">
        <f t="shared" si="0"/>
        <v>0</v>
      </c>
      <c r="P47" s="36">
        <f>SUM(Table142[[#This Row],[Ctz]:[Spell]])/(Table142[[#This Row],[No. of Sub.]]*20)</f>
        <v>0</v>
      </c>
      <c r="Q47" s="28" t="b">
        <f t="shared" si="2"/>
        <v>0</v>
      </c>
    </row>
    <row r="48" spans="1:17" x14ac:dyDescent="0.75">
      <c r="A48" s="28">
        <v>40</v>
      </c>
      <c r="B48" s="28">
        <f>VLOOKUP(Table142[[#This Row],[S/No]],DATABASE!A45:AQ94,2,FALSE)</f>
        <v>0</v>
      </c>
      <c r="C48" s="28">
        <f>VLOOKUP(Table142[[#This Row],[S/No]],DATABASE!A45:AQ94,3,FALSE)</f>
        <v>0</v>
      </c>
      <c r="D48" s="28">
        <f>VLOOKUP(Table142[[#This Row],[S/No]],Table8[#All],4,FALSE)</f>
        <v>0</v>
      </c>
      <c r="E48" s="28">
        <f>VLOOKUP(Table142[[#This Row],[S/No]],Table8[#All],8,FALSE)</f>
        <v>0</v>
      </c>
      <c r="F48" s="28">
        <f>VLOOKUP(Table142[[#This Row],[S/No]],Table8[#All],12,FALSE)</f>
        <v>0</v>
      </c>
      <c r="G48" s="28">
        <f>VLOOKUP(Table142[[#This Row],[S/No]],Table8[#All],16,FALSE)</f>
        <v>0</v>
      </c>
      <c r="H48" s="28">
        <f>VLOOKUP(Table142[[#This Row],[S/No]],Table8[#All],20,FALSE)</f>
        <v>0</v>
      </c>
      <c r="I48" s="28">
        <f>VLOOKUP(Table142[[#This Row],[S/No]],Table8[#All],24,FALSE)</f>
        <v>0</v>
      </c>
      <c r="J48" s="28">
        <f>VLOOKUP(Table142[[#This Row],[S/No]],Table8[#All],28,FALSE)</f>
        <v>0</v>
      </c>
      <c r="K48" s="28">
        <f>VLOOKUP(Table142[[#This Row],[S/No]],Table8[#All],32,FALSE)</f>
        <v>0</v>
      </c>
      <c r="L48" s="28">
        <f>VLOOKUP(Table142[[#This Row],[S/No]],Table8[#All],36,FALSE)</f>
        <v>0</v>
      </c>
      <c r="M48" s="28">
        <f>VLOOKUP(Table142[[#This Row],[S/No]],Table8[#All],40,FALSE)</f>
        <v>0</v>
      </c>
      <c r="N48" s="28">
        <v>10</v>
      </c>
      <c r="O48" s="28">
        <f t="shared" si="0"/>
        <v>0</v>
      </c>
      <c r="P48" s="36">
        <f>SUM(Table142[[#This Row],[Ctz]:[Spell]])/(Table142[[#This Row],[No. of Sub.]]*20)</f>
        <v>0</v>
      </c>
      <c r="Q48" s="28" t="b">
        <f t="shared" si="2"/>
        <v>0</v>
      </c>
    </row>
    <row r="49" spans="1:17" x14ac:dyDescent="0.75">
      <c r="A49" s="28">
        <v>41</v>
      </c>
      <c r="B49" s="28">
        <f>VLOOKUP(Table142[[#This Row],[S/No]],DATABASE!A46:AQ95,2,FALSE)</f>
        <v>0</v>
      </c>
      <c r="C49" s="28">
        <f>VLOOKUP(Table142[[#This Row],[S/No]],DATABASE!A46:AQ95,3,FALSE)</f>
        <v>0</v>
      </c>
      <c r="D49" s="28">
        <f>VLOOKUP(Table142[[#This Row],[S/No]],Table8[#All],4,FALSE)</f>
        <v>0</v>
      </c>
      <c r="E49" s="28">
        <f>VLOOKUP(Table142[[#This Row],[S/No]],Table8[#All],8,FALSE)</f>
        <v>0</v>
      </c>
      <c r="F49" s="28">
        <f>VLOOKUP(Table142[[#This Row],[S/No]],Table8[#All],12,FALSE)</f>
        <v>0</v>
      </c>
      <c r="G49" s="28">
        <f>VLOOKUP(Table142[[#This Row],[S/No]],Table8[#All],16,FALSE)</f>
        <v>0</v>
      </c>
      <c r="H49" s="28">
        <f>VLOOKUP(Table142[[#This Row],[S/No]],Table8[#All],20,FALSE)</f>
        <v>0</v>
      </c>
      <c r="I49" s="28">
        <f>VLOOKUP(Table142[[#This Row],[S/No]],Table8[#All],24,FALSE)</f>
        <v>0</v>
      </c>
      <c r="J49" s="28">
        <f>VLOOKUP(Table142[[#This Row],[S/No]],Table8[#All],28,FALSE)</f>
        <v>0</v>
      </c>
      <c r="K49" s="28">
        <f>VLOOKUP(Table142[[#This Row],[S/No]],Table8[#All],32,FALSE)</f>
        <v>0</v>
      </c>
      <c r="L49" s="28">
        <f>VLOOKUP(Table142[[#This Row],[S/No]],Table8[#All],36,FALSE)</f>
        <v>0</v>
      </c>
      <c r="M49" s="28">
        <f>VLOOKUP(Table142[[#This Row],[S/No]],Table8[#All],40,FALSE)</f>
        <v>0</v>
      </c>
      <c r="N49" s="28">
        <v>10</v>
      </c>
      <c r="O49" s="28">
        <f t="shared" si="0"/>
        <v>0</v>
      </c>
      <c r="P49" s="36">
        <f>SUM(Table142[[#This Row],[Ctz]:[Spell]])/(Table142[[#This Row],[No. of Sub.]]*20)</f>
        <v>0</v>
      </c>
      <c r="Q49" s="28" t="b">
        <f t="shared" si="2"/>
        <v>0</v>
      </c>
    </row>
    <row r="50" spans="1:17" x14ac:dyDescent="0.75">
      <c r="A50" s="28">
        <v>42</v>
      </c>
      <c r="B50" s="28">
        <f>VLOOKUP(Table142[[#This Row],[S/No]],DATABASE!A47:AQ96,2,FALSE)</f>
        <v>0</v>
      </c>
      <c r="C50" s="28">
        <f>VLOOKUP(Table142[[#This Row],[S/No]],DATABASE!A47:AQ96,3,FALSE)</f>
        <v>0</v>
      </c>
      <c r="D50" s="28">
        <f>VLOOKUP(Table142[[#This Row],[S/No]],Table8[#All],4,FALSE)</f>
        <v>0</v>
      </c>
      <c r="E50" s="28">
        <f>VLOOKUP(Table142[[#This Row],[S/No]],Table8[#All],8,FALSE)</f>
        <v>0</v>
      </c>
      <c r="F50" s="28">
        <f>VLOOKUP(Table142[[#This Row],[S/No]],Table8[#All],12,FALSE)</f>
        <v>0</v>
      </c>
      <c r="G50" s="28">
        <f>VLOOKUP(Table142[[#This Row],[S/No]],Table8[#All],16,FALSE)</f>
        <v>0</v>
      </c>
      <c r="H50" s="28">
        <f>VLOOKUP(Table142[[#This Row],[S/No]],Table8[#All],20,FALSE)</f>
        <v>0</v>
      </c>
      <c r="I50" s="28">
        <f>VLOOKUP(Table142[[#This Row],[S/No]],Table8[#All],24,FALSE)</f>
        <v>0</v>
      </c>
      <c r="J50" s="28">
        <f>VLOOKUP(Table142[[#This Row],[S/No]],Table8[#All],28,FALSE)</f>
        <v>0</v>
      </c>
      <c r="K50" s="28">
        <f>VLOOKUP(Table142[[#This Row],[S/No]],Table8[#All],32,FALSE)</f>
        <v>0</v>
      </c>
      <c r="L50" s="28">
        <f>VLOOKUP(Table142[[#This Row],[S/No]],Table8[#All],36,FALSE)</f>
        <v>0</v>
      </c>
      <c r="M50" s="28">
        <f>VLOOKUP(Table142[[#This Row],[S/No]],Table8[#All],40,FALSE)</f>
        <v>0</v>
      </c>
      <c r="N50" s="28">
        <v>10</v>
      </c>
      <c r="O50" s="28">
        <f t="shared" si="0"/>
        <v>0</v>
      </c>
      <c r="P50" s="36">
        <f>SUM(Table142[[#This Row],[Ctz]:[Spell]])/(Table142[[#This Row],[No. of Sub.]]*20)</f>
        <v>0</v>
      </c>
      <c r="Q50" s="28" t="b">
        <f t="shared" si="2"/>
        <v>0</v>
      </c>
    </row>
    <row r="51" spans="1:17" x14ac:dyDescent="0.75">
      <c r="A51" s="28">
        <v>43</v>
      </c>
      <c r="B51" s="28">
        <f>VLOOKUP(Table142[[#This Row],[S/No]],DATABASE!A48:AQ97,2,FALSE)</f>
        <v>0</v>
      </c>
      <c r="C51" s="28">
        <f>VLOOKUP(Table142[[#This Row],[S/No]],DATABASE!A48:AQ97,3,FALSE)</f>
        <v>0</v>
      </c>
      <c r="D51" s="28">
        <f>VLOOKUP(Table142[[#This Row],[S/No]],Table8[#All],4,FALSE)</f>
        <v>0</v>
      </c>
      <c r="E51" s="28">
        <f>VLOOKUP(Table142[[#This Row],[S/No]],Table8[#All],8,FALSE)</f>
        <v>0</v>
      </c>
      <c r="F51" s="28">
        <f>VLOOKUP(Table142[[#This Row],[S/No]],Table8[#All],12,FALSE)</f>
        <v>0</v>
      </c>
      <c r="G51" s="28">
        <f>VLOOKUP(Table142[[#This Row],[S/No]],Table8[#All],16,FALSE)</f>
        <v>0</v>
      </c>
      <c r="H51" s="28">
        <f>VLOOKUP(Table142[[#This Row],[S/No]],Table8[#All],20,FALSE)</f>
        <v>0</v>
      </c>
      <c r="I51" s="28">
        <f>VLOOKUP(Table142[[#This Row],[S/No]],Table8[#All],24,FALSE)</f>
        <v>0</v>
      </c>
      <c r="J51" s="28">
        <f>VLOOKUP(Table142[[#This Row],[S/No]],Table8[#All],28,FALSE)</f>
        <v>0</v>
      </c>
      <c r="K51" s="28">
        <f>VLOOKUP(Table142[[#This Row],[S/No]],Table8[#All],32,FALSE)</f>
        <v>0</v>
      </c>
      <c r="L51" s="28">
        <f>VLOOKUP(Table142[[#This Row],[S/No]],Table8[#All],36,FALSE)</f>
        <v>0</v>
      </c>
      <c r="M51" s="28">
        <f>VLOOKUP(Table142[[#This Row],[S/No]],Table8[#All],40,FALSE)</f>
        <v>0</v>
      </c>
      <c r="N51" s="28">
        <v>10</v>
      </c>
      <c r="O51" s="28">
        <f t="shared" si="0"/>
        <v>0</v>
      </c>
      <c r="P51" s="36">
        <f>SUM(Table142[[#This Row],[Ctz]:[Spell]])/(Table142[[#This Row],[No. of Sub.]]*20)</f>
        <v>0</v>
      </c>
      <c r="Q51" s="28" t="b">
        <f t="shared" si="2"/>
        <v>0</v>
      </c>
    </row>
    <row r="52" spans="1:17" x14ac:dyDescent="0.75">
      <c r="A52" s="28">
        <v>44</v>
      </c>
      <c r="B52" s="28">
        <f>VLOOKUP(Table142[[#This Row],[S/No]],DATABASE!A49:AQ98,2,FALSE)</f>
        <v>0</v>
      </c>
      <c r="C52" s="28">
        <f>VLOOKUP(Table142[[#This Row],[S/No]],DATABASE!A49:AQ98,3,FALSE)</f>
        <v>0</v>
      </c>
      <c r="D52" s="28">
        <f>VLOOKUP(Table142[[#This Row],[S/No]],Table8[#All],4,FALSE)</f>
        <v>0</v>
      </c>
      <c r="E52" s="28">
        <f>VLOOKUP(Table142[[#This Row],[S/No]],Table8[#All],8,FALSE)</f>
        <v>0</v>
      </c>
      <c r="F52" s="28">
        <f>VLOOKUP(Table142[[#This Row],[S/No]],Table8[#All],12,FALSE)</f>
        <v>0</v>
      </c>
      <c r="G52" s="28">
        <f>VLOOKUP(Table142[[#This Row],[S/No]],Table8[#All],16,FALSE)</f>
        <v>0</v>
      </c>
      <c r="H52" s="28">
        <f>VLOOKUP(Table142[[#This Row],[S/No]],Table8[#All],20,FALSE)</f>
        <v>0</v>
      </c>
      <c r="I52" s="28">
        <f>VLOOKUP(Table142[[#This Row],[S/No]],Table8[#All],24,FALSE)</f>
        <v>0</v>
      </c>
      <c r="J52" s="28">
        <f>VLOOKUP(Table142[[#This Row],[S/No]],Table8[#All],28,FALSE)</f>
        <v>0</v>
      </c>
      <c r="K52" s="28">
        <f>VLOOKUP(Table142[[#This Row],[S/No]],Table8[#All],32,FALSE)</f>
        <v>0</v>
      </c>
      <c r="L52" s="28">
        <f>VLOOKUP(Table142[[#This Row],[S/No]],Table8[#All],36,FALSE)</f>
        <v>0</v>
      </c>
      <c r="M52" s="28">
        <f>VLOOKUP(Table142[[#This Row],[S/No]],Table8[#All],40,FALSE)</f>
        <v>0</v>
      </c>
      <c r="N52" s="28">
        <v>10</v>
      </c>
      <c r="O52" s="28">
        <f t="shared" si="0"/>
        <v>0</v>
      </c>
      <c r="P52" s="36">
        <f>SUM(Table142[[#This Row],[Ctz]:[Spell]])/(Table142[[#This Row],[No. of Sub.]]*20)</f>
        <v>0</v>
      </c>
      <c r="Q52" s="28" t="b">
        <f t="shared" si="2"/>
        <v>0</v>
      </c>
    </row>
    <row r="53" spans="1:17" x14ac:dyDescent="0.75">
      <c r="A53" s="28">
        <v>45</v>
      </c>
      <c r="B53" s="28">
        <f>VLOOKUP(Table142[[#This Row],[S/No]],DATABASE!A50:AQ99,2,FALSE)</f>
        <v>0</v>
      </c>
      <c r="C53" s="28">
        <f>VLOOKUP(Table142[[#This Row],[S/No]],DATABASE!A50:AQ99,3,FALSE)</f>
        <v>0</v>
      </c>
      <c r="D53" s="28">
        <f>VLOOKUP(Table142[[#This Row],[S/No]],Table8[#All],4,FALSE)</f>
        <v>0</v>
      </c>
      <c r="E53" s="28">
        <f>VLOOKUP(Table142[[#This Row],[S/No]],Table8[#All],8,FALSE)</f>
        <v>0</v>
      </c>
      <c r="F53" s="28">
        <f>VLOOKUP(Table142[[#This Row],[S/No]],Table8[#All],12,FALSE)</f>
        <v>0</v>
      </c>
      <c r="G53" s="28">
        <f>VLOOKUP(Table142[[#This Row],[S/No]],Table8[#All],16,FALSE)</f>
        <v>0</v>
      </c>
      <c r="H53" s="28">
        <f>VLOOKUP(Table142[[#This Row],[S/No]],Table8[#All],20,FALSE)</f>
        <v>0</v>
      </c>
      <c r="I53" s="28">
        <f>VLOOKUP(Table142[[#This Row],[S/No]],Table8[#All],24,FALSE)</f>
        <v>0</v>
      </c>
      <c r="J53" s="28">
        <f>VLOOKUP(Table142[[#This Row],[S/No]],Table8[#All],28,FALSE)</f>
        <v>0</v>
      </c>
      <c r="K53" s="28">
        <f>VLOOKUP(Table142[[#This Row],[S/No]],Table8[#All],32,FALSE)</f>
        <v>0</v>
      </c>
      <c r="L53" s="28">
        <f>VLOOKUP(Table142[[#This Row],[S/No]],Table8[#All],36,FALSE)</f>
        <v>0</v>
      </c>
      <c r="M53" s="28">
        <f>VLOOKUP(Table142[[#This Row],[S/No]],Table8[#All],40,FALSE)</f>
        <v>0</v>
      </c>
      <c r="N53" s="28">
        <v>10</v>
      </c>
      <c r="O53" s="28">
        <f t="shared" si="0"/>
        <v>0</v>
      </c>
      <c r="P53" s="36">
        <f>SUM(Table142[[#This Row],[Ctz]:[Spell]])/(Table142[[#This Row],[No. of Sub.]]*20)</f>
        <v>0</v>
      </c>
      <c r="Q53" s="28" t="b">
        <f t="shared" si="2"/>
        <v>0</v>
      </c>
    </row>
    <row r="54" spans="1:17" x14ac:dyDescent="0.75">
      <c r="A54" s="28">
        <v>46</v>
      </c>
      <c r="B54" s="28">
        <f>VLOOKUP(Table142[[#This Row],[S/No]],DATABASE!A51:AQ100,2,FALSE)</f>
        <v>0</v>
      </c>
      <c r="C54" s="28">
        <f>VLOOKUP(Table142[[#This Row],[S/No]],DATABASE!A51:AQ100,3,FALSE)</f>
        <v>0</v>
      </c>
      <c r="D54" s="28">
        <f>VLOOKUP(Table142[[#This Row],[S/No]],Table8[#All],4,FALSE)</f>
        <v>0</v>
      </c>
      <c r="E54" s="28">
        <f>VLOOKUP(Table142[[#This Row],[S/No]],Table8[#All],8,FALSE)</f>
        <v>0</v>
      </c>
      <c r="F54" s="28">
        <f>VLOOKUP(Table142[[#This Row],[S/No]],Table8[#All],12,FALSE)</f>
        <v>0</v>
      </c>
      <c r="G54" s="28">
        <f>VLOOKUP(Table142[[#This Row],[S/No]],Table8[#All],16,FALSE)</f>
        <v>0</v>
      </c>
      <c r="H54" s="28">
        <f>VLOOKUP(Table142[[#This Row],[S/No]],Table8[#All],20,FALSE)</f>
        <v>0</v>
      </c>
      <c r="I54" s="28">
        <f>VLOOKUP(Table142[[#This Row],[S/No]],Table8[#All],24,FALSE)</f>
        <v>0</v>
      </c>
      <c r="J54" s="28">
        <f>VLOOKUP(Table142[[#This Row],[S/No]],Table8[#All],28,FALSE)</f>
        <v>0</v>
      </c>
      <c r="K54" s="28">
        <f>VLOOKUP(Table142[[#This Row],[S/No]],Table8[#All],32,FALSE)</f>
        <v>0</v>
      </c>
      <c r="L54" s="28">
        <f>VLOOKUP(Table142[[#This Row],[S/No]],Table8[#All],36,FALSE)</f>
        <v>0</v>
      </c>
      <c r="M54" s="28">
        <f>VLOOKUP(Table142[[#This Row],[S/No]],Table8[#All],40,FALSE)</f>
        <v>0</v>
      </c>
      <c r="N54" s="28">
        <v>10</v>
      </c>
      <c r="O54" s="28">
        <f t="shared" si="0"/>
        <v>0</v>
      </c>
      <c r="P54" s="36">
        <f>SUM(Table142[[#This Row],[Ctz]:[Spell]])/(Table142[[#This Row],[No. of Sub.]]*20)</f>
        <v>0</v>
      </c>
      <c r="Q54" s="28" t="b">
        <f t="shared" si="2"/>
        <v>0</v>
      </c>
    </row>
    <row r="55" spans="1:17" x14ac:dyDescent="0.75">
      <c r="A55" s="28">
        <v>47</v>
      </c>
      <c r="B55" s="28">
        <f>VLOOKUP(Table142[[#This Row],[S/No]],DATABASE!A52:AQ101,2,FALSE)</f>
        <v>0</v>
      </c>
      <c r="C55" s="28">
        <f>VLOOKUP(Table142[[#This Row],[S/No]],DATABASE!A52:AQ101,3,FALSE)</f>
        <v>0</v>
      </c>
      <c r="D55" s="28">
        <f>VLOOKUP(Table142[[#This Row],[S/No]],Table8[#All],4,FALSE)</f>
        <v>0</v>
      </c>
      <c r="E55" s="28">
        <f>VLOOKUP(Table142[[#This Row],[S/No]],Table8[#All],8,FALSE)</f>
        <v>0</v>
      </c>
      <c r="F55" s="28">
        <f>VLOOKUP(Table142[[#This Row],[S/No]],Table8[#All],12,FALSE)</f>
        <v>0</v>
      </c>
      <c r="G55" s="28">
        <f>VLOOKUP(Table142[[#This Row],[S/No]],Table8[#All],16,FALSE)</f>
        <v>0</v>
      </c>
      <c r="H55" s="28">
        <f>VLOOKUP(Table142[[#This Row],[S/No]],Table8[#All],20,FALSE)</f>
        <v>0</v>
      </c>
      <c r="I55" s="28">
        <f>VLOOKUP(Table142[[#This Row],[S/No]],Table8[#All],24,FALSE)</f>
        <v>0</v>
      </c>
      <c r="J55" s="28">
        <f>VLOOKUP(Table142[[#This Row],[S/No]],Table8[#All],28,FALSE)</f>
        <v>0</v>
      </c>
      <c r="K55" s="28">
        <f>VLOOKUP(Table142[[#This Row],[S/No]],Table8[#All],32,FALSE)</f>
        <v>0</v>
      </c>
      <c r="L55" s="28">
        <f>VLOOKUP(Table142[[#This Row],[S/No]],Table8[#All],36,FALSE)</f>
        <v>0</v>
      </c>
      <c r="M55" s="28">
        <f>VLOOKUP(Table142[[#This Row],[S/No]],Table8[#All],40,FALSE)</f>
        <v>0</v>
      </c>
      <c r="N55" s="28">
        <v>10</v>
      </c>
      <c r="O55" s="28">
        <f t="shared" si="0"/>
        <v>0</v>
      </c>
      <c r="P55" s="36">
        <f>SUM(Table142[[#This Row],[Ctz]:[Spell]])/(Table142[[#This Row],[No. of Sub.]]*20)</f>
        <v>0</v>
      </c>
      <c r="Q55" s="28" t="b">
        <f t="shared" si="2"/>
        <v>0</v>
      </c>
    </row>
    <row r="56" spans="1:17" x14ac:dyDescent="0.75">
      <c r="A56" s="28">
        <v>48</v>
      </c>
      <c r="B56" s="28">
        <f>VLOOKUP(Table142[[#This Row],[S/No]],DATABASE!A53:AQ102,2,FALSE)</f>
        <v>0</v>
      </c>
      <c r="C56" s="28">
        <f>VLOOKUP(Table142[[#This Row],[S/No]],DATABASE!A53:AQ102,3,FALSE)</f>
        <v>0</v>
      </c>
      <c r="D56" s="28">
        <f>VLOOKUP(Table142[[#This Row],[S/No]],Table8[#All],4,FALSE)</f>
        <v>0</v>
      </c>
      <c r="E56" s="28">
        <f>VLOOKUP(Table142[[#This Row],[S/No]],Table8[#All],8,FALSE)</f>
        <v>0</v>
      </c>
      <c r="F56" s="28">
        <f>VLOOKUP(Table142[[#This Row],[S/No]],Table8[#All],12,FALSE)</f>
        <v>0</v>
      </c>
      <c r="G56" s="28">
        <f>VLOOKUP(Table142[[#This Row],[S/No]],Table8[#All],16,FALSE)</f>
        <v>0</v>
      </c>
      <c r="H56" s="28">
        <f>VLOOKUP(Table142[[#This Row],[S/No]],Table8[#All],20,FALSE)</f>
        <v>0</v>
      </c>
      <c r="I56" s="28">
        <f>VLOOKUP(Table142[[#This Row],[S/No]],Table8[#All],24,FALSE)</f>
        <v>0</v>
      </c>
      <c r="J56" s="28">
        <f>VLOOKUP(Table142[[#This Row],[S/No]],Table8[#All],28,FALSE)</f>
        <v>0</v>
      </c>
      <c r="K56" s="28">
        <f>VLOOKUP(Table142[[#This Row],[S/No]],Table8[#All],32,FALSE)</f>
        <v>0</v>
      </c>
      <c r="L56" s="28">
        <f>VLOOKUP(Table142[[#This Row],[S/No]],Table8[#All],36,FALSE)</f>
        <v>0</v>
      </c>
      <c r="M56" s="28">
        <f>VLOOKUP(Table142[[#This Row],[S/No]],Table8[#All],40,FALSE)</f>
        <v>0</v>
      </c>
      <c r="N56" s="28">
        <v>10</v>
      </c>
      <c r="O56" s="28">
        <f t="shared" si="0"/>
        <v>0</v>
      </c>
      <c r="P56" s="36">
        <f>SUM(Table142[[#This Row],[Ctz]:[Spell]])/(Table142[[#This Row],[No. of Sub.]]*20)</f>
        <v>0</v>
      </c>
      <c r="Q56" s="28" t="b">
        <f t="shared" si="2"/>
        <v>0</v>
      </c>
    </row>
    <row r="57" spans="1:17" x14ac:dyDescent="0.75">
      <c r="A57" s="28">
        <v>49</v>
      </c>
      <c r="B57" s="28">
        <f>VLOOKUP(Table142[[#This Row],[S/No]],DATABASE!A54:AQ103,2,FALSE)</f>
        <v>0</v>
      </c>
      <c r="C57" s="28">
        <f>VLOOKUP(Table142[[#This Row],[S/No]],DATABASE!A54:AQ103,3,FALSE)</f>
        <v>0</v>
      </c>
      <c r="D57" s="28">
        <f>VLOOKUP(Table142[[#This Row],[S/No]],Table8[#All],4,FALSE)</f>
        <v>0</v>
      </c>
      <c r="E57" s="28">
        <f>VLOOKUP(Table142[[#This Row],[S/No]],Table8[#All],8,FALSE)</f>
        <v>0</v>
      </c>
      <c r="F57" s="28">
        <f>VLOOKUP(Table142[[#This Row],[S/No]],Table8[#All],12,FALSE)</f>
        <v>0</v>
      </c>
      <c r="G57" s="28">
        <f>VLOOKUP(Table142[[#This Row],[S/No]],Table8[#All],16,FALSE)</f>
        <v>0</v>
      </c>
      <c r="H57" s="28">
        <f>VLOOKUP(Table142[[#This Row],[S/No]],Table8[#All],20,FALSE)</f>
        <v>0</v>
      </c>
      <c r="I57" s="28">
        <f>VLOOKUP(Table142[[#This Row],[S/No]],Table8[#All],24,FALSE)</f>
        <v>0</v>
      </c>
      <c r="J57" s="28">
        <f>VLOOKUP(Table142[[#This Row],[S/No]],Table8[#All],28,FALSE)</f>
        <v>0</v>
      </c>
      <c r="K57" s="28">
        <f>VLOOKUP(Table142[[#This Row],[S/No]],Table8[#All],32,FALSE)</f>
        <v>0</v>
      </c>
      <c r="L57" s="28">
        <f>VLOOKUP(Table142[[#This Row],[S/No]],Table8[#All],36,FALSE)</f>
        <v>0</v>
      </c>
      <c r="M57" s="28">
        <f>VLOOKUP(Table142[[#This Row],[S/No]],Table8[#All],40,FALSE)</f>
        <v>0</v>
      </c>
      <c r="N57" s="28">
        <v>10</v>
      </c>
      <c r="O57" s="28">
        <f t="shared" si="0"/>
        <v>0</v>
      </c>
      <c r="P57" s="36">
        <f>SUM(Table142[[#This Row],[Ctz]:[Spell]])/(Table142[[#This Row],[No. of Sub.]]*20)</f>
        <v>0</v>
      </c>
      <c r="Q57" s="28" t="b">
        <f t="shared" si="2"/>
        <v>0</v>
      </c>
    </row>
    <row r="58" spans="1:17" x14ac:dyDescent="0.75">
      <c r="A58" s="28">
        <v>50</v>
      </c>
      <c r="B58" s="28">
        <f>VLOOKUP(Table142[[#This Row],[S/No]],DATABASE!A55:AQ104,2,FALSE)</f>
        <v>0</v>
      </c>
      <c r="C58" s="28">
        <f>VLOOKUP(Table142[[#This Row],[S/No]],DATABASE!A55:AQ104,3,FALSE)</f>
        <v>0</v>
      </c>
      <c r="D58" s="28">
        <f>VLOOKUP(Table142[[#This Row],[S/No]],Table8[#All],4,FALSE)</f>
        <v>0</v>
      </c>
      <c r="E58" s="28">
        <f>VLOOKUP(Table142[[#This Row],[S/No]],Table8[#All],8,FALSE)</f>
        <v>0</v>
      </c>
      <c r="F58" s="28">
        <f>VLOOKUP(Table142[[#This Row],[S/No]],Table8[#All],12,FALSE)</f>
        <v>0</v>
      </c>
      <c r="G58" s="28">
        <f>VLOOKUP(Table142[[#This Row],[S/No]],Table8[#All],16,FALSE)</f>
        <v>0</v>
      </c>
      <c r="H58" s="28">
        <f>VLOOKUP(Table142[[#This Row],[S/No]],Table8[#All],20,FALSE)</f>
        <v>0</v>
      </c>
      <c r="I58" s="28">
        <f>VLOOKUP(Table142[[#This Row],[S/No]],Table8[#All],24,FALSE)</f>
        <v>0</v>
      </c>
      <c r="J58" s="28">
        <f>VLOOKUP(Table142[[#This Row],[S/No]],Table8[#All],28,FALSE)</f>
        <v>0</v>
      </c>
      <c r="K58" s="28">
        <f>VLOOKUP(Table142[[#This Row],[S/No]],Table8[#All],32,FALSE)</f>
        <v>0</v>
      </c>
      <c r="L58" s="28">
        <f>VLOOKUP(Table142[[#This Row],[S/No]],Table8[#All],36,FALSE)</f>
        <v>0</v>
      </c>
      <c r="M58" s="28">
        <f>VLOOKUP(Table142[[#This Row],[S/No]],Table8[#All],40,FALSE)</f>
        <v>0</v>
      </c>
      <c r="N58" s="28">
        <v>10</v>
      </c>
      <c r="O58" s="28">
        <f t="shared" si="0"/>
        <v>0</v>
      </c>
      <c r="P58" s="36">
        <f>SUM(Table142[[#This Row],[Ctz]:[Spell]])/(Table142[[#This Row],[No. of Sub.]]*20)</f>
        <v>0</v>
      </c>
      <c r="Q58" s="28" t="b">
        <f t="shared" si="2"/>
        <v>0</v>
      </c>
    </row>
  </sheetData>
  <sheetProtection formatCells="0" formatColumns="0" formatRows="0"/>
  <mergeCells count="5">
    <mergeCell ref="S2:T2"/>
    <mergeCell ref="S15:T17"/>
    <mergeCell ref="S18:T18"/>
    <mergeCell ref="S19:T19"/>
    <mergeCell ref="C1:M2"/>
  </mergeCells>
  <pageMargins left="0.7" right="0.7" top="0.75" bottom="0.75" header="0.3" footer="0.3"/>
  <pageSetup paperSize="9" scale="81" orientation="landscape" r:id="rId1"/>
  <rowBreaks count="1" manualBreakCount="1">
    <brk id="31" max="16383" man="1"/>
  </rowBreak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11094-1D6A-4803-B1F4-8C2556BB283B}">
  <sheetPr codeName="Sheet2">
    <pageSetUpPr fitToPage="1"/>
  </sheetPr>
  <dimension ref="A1:Y74"/>
  <sheetViews>
    <sheetView showRuler="0" topLeftCell="A4" zoomScale="69" zoomScaleNormal="69" zoomScalePageLayoutView="57" workbookViewId="0">
      <selection activeCell="D15" sqref="D15:G15"/>
    </sheetView>
  </sheetViews>
  <sheetFormatPr defaultRowHeight="14.75" x14ac:dyDescent="0.75"/>
  <cols>
    <col min="1" max="1" width="2.08984375" customWidth="1"/>
    <col min="2" max="2" width="2.7265625" customWidth="1"/>
    <col min="3" max="3" width="21" customWidth="1"/>
    <col min="4" max="4" width="9.54296875" customWidth="1"/>
    <col min="5" max="5" width="7.453125" customWidth="1"/>
    <col min="6" max="6" width="13.26953125" bestFit="1" customWidth="1"/>
    <col min="7" max="7" width="9.6328125" customWidth="1"/>
    <col min="8" max="8" width="11.453125" customWidth="1"/>
    <col min="10" max="10" width="13.453125" customWidth="1"/>
    <col min="11" max="11" width="13.36328125" customWidth="1"/>
    <col min="12" max="12" width="8.81640625" customWidth="1"/>
    <col min="13" max="13" width="4.453125" customWidth="1"/>
    <col min="16" max="16" width="6.453125" customWidth="1"/>
  </cols>
  <sheetData>
    <row r="1" spans="1:16" x14ac:dyDescent="0.7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6" ht="14.75" customHeight="1" x14ac:dyDescent="0.75">
      <c r="A2" s="1"/>
      <c r="B2" s="1"/>
      <c r="C2" s="1"/>
      <c r="D2" s="1"/>
      <c r="E2" s="1"/>
      <c r="F2" s="256" t="s">
        <v>237</v>
      </c>
      <c r="G2" s="256"/>
      <c r="H2" s="256"/>
      <c r="I2" s="256"/>
      <c r="J2" s="256"/>
      <c r="K2" s="1"/>
      <c r="L2" s="1"/>
      <c r="M2" s="1"/>
      <c r="N2" s="1"/>
      <c r="O2" s="1"/>
      <c r="P2" s="1"/>
    </row>
    <row r="3" spans="1:16" ht="14.75" customHeight="1" x14ac:dyDescent="0.75">
      <c r="A3" s="1"/>
      <c r="B3" s="1"/>
      <c r="C3" s="1"/>
      <c r="D3" s="1"/>
      <c r="E3" s="1"/>
      <c r="F3" s="256"/>
      <c r="G3" s="256"/>
      <c r="H3" s="256"/>
      <c r="I3" s="256"/>
      <c r="J3" s="256"/>
      <c r="K3" s="1"/>
      <c r="L3" s="1"/>
      <c r="M3" s="1"/>
      <c r="N3" s="1"/>
      <c r="O3" s="1"/>
      <c r="P3" s="1"/>
    </row>
    <row r="4" spans="1:16" ht="14.75" customHeight="1" x14ac:dyDescent="0.75">
      <c r="A4" s="1"/>
      <c r="B4" s="1"/>
      <c r="C4" s="1"/>
      <c r="D4" s="1"/>
      <c r="E4" s="1"/>
      <c r="F4" s="256"/>
      <c r="G4" s="256"/>
      <c r="H4" s="256"/>
      <c r="I4" s="256"/>
      <c r="J4" s="256"/>
      <c r="K4" s="1"/>
      <c r="L4" s="1"/>
      <c r="M4" s="1"/>
      <c r="N4" s="1"/>
      <c r="O4" s="1"/>
      <c r="P4" s="1"/>
    </row>
    <row r="5" spans="1:16" ht="14.75" customHeight="1" x14ac:dyDescent="0.75">
      <c r="A5" s="1"/>
      <c r="B5" s="1"/>
      <c r="C5" s="1"/>
      <c r="D5" s="1"/>
      <c r="E5" s="1"/>
      <c r="F5" s="256"/>
      <c r="G5" s="256"/>
      <c r="H5" s="256"/>
      <c r="I5" s="256"/>
      <c r="J5" s="256"/>
      <c r="K5" s="1"/>
      <c r="L5" s="1"/>
      <c r="M5" s="1"/>
      <c r="N5" s="1"/>
      <c r="O5" s="1"/>
      <c r="P5" s="1"/>
    </row>
    <row r="6" spans="1:16" ht="14.75" customHeight="1" x14ac:dyDescent="0.75">
      <c r="A6" s="1"/>
      <c r="B6" s="1"/>
      <c r="C6" s="1"/>
      <c r="D6" s="1"/>
      <c r="E6" s="1"/>
      <c r="F6" s="256"/>
      <c r="G6" s="256"/>
      <c r="H6" s="256"/>
      <c r="I6" s="256"/>
      <c r="J6" s="256"/>
      <c r="K6" s="1"/>
      <c r="L6" s="1"/>
      <c r="M6" s="1"/>
      <c r="N6" s="1"/>
      <c r="O6" s="1"/>
      <c r="P6" s="1"/>
    </row>
    <row r="7" spans="1:16" x14ac:dyDescent="0.7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7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7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ht="15.75" x14ac:dyDescent="0.75">
      <c r="A10" s="1"/>
      <c r="B10" s="1"/>
      <c r="C10" s="10"/>
      <c r="D10" s="13"/>
      <c r="E10" s="13"/>
      <c r="F10" s="13"/>
      <c r="G10" s="13"/>
      <c r="H10" s="1"/>
      <c r="I10" s="12"/>
      <c r="J10" s="1"/>
      <c r="K10" s="1"/>
      <c r="L10" s="1"/>
      <c r="M10" s="1"/>
      <c r="N10" s="1"/>
      <c r="O10" s="1"/>
      <c r="P10" s="1"/>
    </row>
    <row r="11" spans="1:16" x14ac:dyDescent="0.75">
      <c r="A11" s="1"/>
      <c r="B11" s="1"/>
      <c r="C11" s="1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ht="15.4" customHeight="1" x14ac:dyDescent="0.75">
      <c r="A12" s="1"/>
      <c r="B12" s="1"/>
      <c r="C12" s="10"/>
      <c r="D12" s="14"/>
      <c r="E12" s="14"/>
      <c r="F12" s="14"/>
      <c r="G12" s="14"/>
      <c r="H12" s="1"/>
      <c r="I12" s="1"/>
      <c r="J12" s="1"/>
      <c r="K12" s="1"/>
      <c r="L12" s="1"/>
      <c r="M12" s="1"/>
      <c r="N12" s="1"/>
      <c r="O12" s="1"/>
      <c r="P12" s="1"/>
    </row>
    <row r="13" spans="1:16" ht="16" x14ac:dyDescent="0.8">
      <c r="A13" s="1"/>
      <c r="B13" s="1"/>
      <c r="C13" s="15" t="s">
        <v>149</v>
      </c>
      <c r="D13" s="223" t="s">
        <v>13</v>
      </c>
      <c r="E13" s="223"/>
      <c r="F13" s="223"/>
      <c r="G13" s="223"/>
      <c r="H13" s="1"/>
      <c r="I13" s="12" t="s">
        <v>157</v>
      </c>
      <c r="J13" s="223" t="s">
        <v>141</v>
      </c>
      <c r="K13" s="223"/>
      <c r="L13" s="1"/>
      <c r="M13" s="1"/>
      <c r="N13" s="1"/>
      <c r="O13" s="1"/>
      <c r="P13" s="1"/>
    </row>
    <row r="14" spans="1:16" ht="15.4" customHeight="1" x14ac:dyDescent="0.75">
      <c r="A14" s="1"/>
      <c r="B14" s="1"/>
      <c r="C14" s="10"/>
      <c r="D14" s="1"/>
      <c r="E14" s="1"/>
      <c r="F14" s="1"/>
      <c r="G14" s="1"/>
      <c r="H14" s="1"/>
      <c r="I14" s="12"/>
      <c r="J14" s="1"/>
      <c r="K14" s="1"/>
      <c r="L14" s="1"/>
      <c r="M14" s="1"/>
      <c r="N14" s="1"/>
      <c r="O14" s="1"/>
      <c r="P14" s="1"/>
    </row>
    <row r="15" spans="1:16" ht="16" x14ac:dyDescent="0.8">
      <c r="A15" s="1"/>
      <c r="B15" s="1"/>
      <c r="C15" s="16" t="s">
        <v>150</v>
      </c>
      <c r="D15" s="224" t="str">
        <f>VLOOKUP(D13,DATABASE!B5:BB54,2,FALSE)</f>
        <v>TCS/2015/372</v>
      </c>
      <c r="E15" s="224"/>
      <c r="F15" s="224"/>
      <c r="G15" s="224"/>
      <c r="H15" s="1"/>
      <c r="I15" s="16" t="s">
        <v>152</v>
      </c>
      <c r="J15" s="224" t="str">
        <f ca="1">DATEDIF(VLOOKUP(D13,DATABASE!B5:BB54,47,FALSE),TODAY(),"Y") &amp; " Years, " &amp; DATEDIF(VLOOKUP(D13,DATABASE!B5:BB54,47,FALSE),TODAY(),"YM") &amp; " Months"</f>
        <v>9 Years, 9 Months</v>
      </c>
      <c r="K15" s="224"/>
      <c r="L15" s="1"/>
      <c r="M15" s="1"/>
      <c r="N15" s="1"/>
      <c r="O15" s="1"/>
      <c r="P15" s="1"/>
    </row>
    <row r="16" spans="1:16" ht="15.75" x14ac:dyDescent="0.75">
      <c r="A16" s="1"/>
      <c r="B16" s="1"/>
      <c r="C16" s="2"/>
      <c r="D16" s="1"/>
      <c r="E16" s="4"/>
      <c r="F16" s="2"/>
      <c r="G16" s="1"/>
      <c r="H16" s="4"/>
      <c r="I16" s="1"/>
      <c r="J16" s="1"/>
      <c r="K16" s="1"/>
      <c r="L16" s="1"/>
      <c r="M16" s="1"/>
      <c r="N16" s="1"/>
      <c r="O16" s="1"/>
      <c r="P16" s="1"/>
    </row>
    <row r="17" spans="1:25" ht="16" x14ac:dyDescent="0.8">
      <c r="A17" s="1"/>
      <c r="B17" s="1"/>
      <c r="C17" s="16" t="s">
        <v>151</v>
      </c>
      <c r="D17" s="225" t="str">
        <f>VLOOKUP(D13,DATABASE!B5:BB54,45,FALSE)</f>
        <v>4.5'</v>
      </c>
      <c r="E17" s="225"/>
      <c r="F17" s="225"/>
      <c r="G17" s="225"/>
      <c r="H17" s="1"/>
      <c r="I17" s="16" t="s">
        <v>153</v>
      </c>
      <c r="J17" s="18" t="str">
        <f>VLOOKUP(D13,DATABASE!B5:BB54,46,FALSE)</f>
        <v>45kg</v>
      </c>
      <c r="K17" s="1"/>
      <c r="L17" s="1"/>
      <c r="M17" s="1"/>
      <c r="N17" s="1"/>
      <c r="O17" s="1"/>
      <c r="P17" s="1"/>
    </row>
    <row r="18" spans="1:25" x14ac:dyDescent="0.75">
      <c r="A18" s="1"/>
      <c r="B18" s="1"/>
      <c r="C18" s="1"/>
      <c r="D18" s="1"/>
      <c r="E18" s="1"/>
      <c r="F18" s="3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25" x14ac:dyDescent="0.75">
      <c r="A19" s="1"/>
      <c r="B19" s="1"/>
      <c r="C19" s="1"/>
      <c r="D19" s="1"/>
      <c r="E19" s="1"/>
      <c r="F19" s="3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25" ht="15.5" thickBot="1" x14ac:dyDescent="0.9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25" ht="60.5" thickTop="1" thickBot="1" x14ac:dyDescent="0.9">
      <c r="A21" s="1"/>
      <c r="B21" s="1"/>
      <c r="C21" s="66" t="s">
        <v>96</v>
      </c>
      <c r="D21" s="208" t="s">
        <v>160</v>
      </c>
      <c r="E21" s="209"/>
      <c r="F21" s="67" t="s">
        <v>161</v>
      </c>
      <c r="G21" s="68" t="s">
        <v>100</v>
      </c>
      <c r="H21" s="226" t="s">
        <v>101</v>
      </c>
      <c r="I21" s="227"/>
      <c r="J21" s="227"/>
      <c r="K21" s="227"/>
      <c r="L21" s="228"/>
      <c r="M21" s="1"/>
      <c r="N21" s="212" t="s">
        <v>114</v>
      </c>
      <c r="O21" s="213"/>
      <c r="P21" s="1"/>
    </row>
    <row r="22" spans="1:25" ht="21.4" customHeight="1" x14ac:dyDescent="0.75">
      <c r="A22" s="1"/>
      <c r="B22" s="1"/>
      <c r="C22" s="22" t="s">
        <v>103</v>
      </c>
      <c r="D22" s="206">
        <f>VLOOKUP(D13,DATABASE!B5:BB54,3,FALSE)</f>
        <v>10</v>
      </c>
      <c r="E22" s="207"/>
      <c r="F22" s="24">
        <v>20</v>
      </c>
      <c r="G22" s="23" t="str">
        <f>IF(D22&gt;=17,"A",IF(D22&gt;=15,"B",IF(D22&gt;=12,"C",IF(D22&gt;=9,"D",IF(D22&gt;=0,"E")))))</f>
        <v>D</v>
      </c>
      <c r="H22" s="214" t="str">
        <f>IF(G22="A","An excellent understanding of the overall objectives of the subject.",IF(G22="B", "A good understanding of the overall objectives of the subject.",IF(G22="C","An average understanding of the overall objectives of the subject.",IF(G22="D","A fair understanding of the overall objectives of the subject.",IF(G22="E","Has not met the minimum requirements of the subject.")))))</f>
        <v>A fair understanding of the overall objectives of the subject.</v>
      </c>
      <c r="I22" s="215"/>
      <c r="J22" s="215"/>
      <c r="K22" s="215"/>
      <c r="L22" s="216"/>
      <c r="M22" s="1"/>
      <c r="N22" s="217" t="s">
        <v>168</v>
      </c>
      <c r="O22" s="218"/>
      <c r="P22" s="1"/>
    </row>
    <row r="23" spans="1:25" ht="21.65" customHeight="1" x14ac:dyDescent="0.75">
      <c r="A23" s="1"/>
      <c r="B23" s="1"/>
      <c r="C23" s="69" t="s">
        <v>104</v>
      </c>
      <c r="D23" s="210">
        <f>VLOOKUP(D13,DATABASE!B5:BB54,7,FALSE)</f>
        <v>10</v>
      </c>
      <c r="E23" s="211"/>
      <c r="F23" s="70">
        <v>20</v>
      </c>
      <c r="G23" s="70" t="str">
        <f t="shared" ref="G23:G31" si="0">IF(D23&gt;=17,"A",IF(D23&gt;=15,"B",IF(D23&gt;=12,"C",IF(D23&gt;=9,"D",IF(D23&gt;=0,"E")))))</f>
        <v>D</v>
      </c>
      <c r="H23" s="210" t="str">
        <f t="shared" ref="H23:H31" si="1">IF(G23="A","An excellent understanding of the overall objectives of the subject.",IF(G23="B", "A good understanding of the overall objectives of the subject.",IF(G23="C","An average understanding of the overall objectives of the subject.",IF(G23="D","A fair understanding of the overall objectives of the subject.",IF(G23="E","Has not met the minimum requirements of the subject.")))))</f>
        <v>A fair understanding of the overall objectives of the subject.</v>
      </c>
      <c r="I23" s="219"/>
      <c r="J23" s="219"/>
      <c r="K23" s="219"/>
      <c r="L23" s="220"/>
      <c r="M23" s="1"/>
      <c r="N23" s="221" t="s">
        <v>169</v>
      </c>
      <c r="O23" s="222"/>
      <c r="P23" s="1"/>
    </row>
    <row r="24" spans="1:25" ht="20.75" customHeight="1" x14ac:dyDescent="0.75">
      <c r="A24" s="1"/>
      <c r="B24" s="1"/>
      <c r="C24" s="9" t="s">
        <v>105</v>
      </c>
      <c r="D24" s="252">
        <f>VLOOKUP(D13,DATABASE!B5:BB54,11,FALSE)</f>
        <v>10</v>
      </c>
      <c r="E24" s="253"/>
      <c r="F24" s="19">
        <v>20</v>
      </c>
      <c r="G24" s="23" t="str">
        <f t="shared" si="0"/>
        <v>D</v>
      </c>
      <c r="H24" s="236" t="str">
        <f t="shared" si="1"/>
        <v>A fair understanding of the overall objectives of the subject.</v>
      </c>
      <c r="I24" s="237"/>
      <c r="J24" s="237"/>
      <c r="K24" s="237"/>
      <c r="L24" s="238"/>
      <c r="M24" s="1"/>
      <c r="N24" s="217" t="s">
        <v>170</v>
      </c>
      <c r="O24" s="218"/>
      <c r="P24" s="1"/>
    </row>
    <row r="25" spans="1:25" ht="20.149999999999999" customHeight="1" x14ac:dyDescent="0.75">
      <c r="A25" s="1"/>
      <c r="B25" s="1"/>
      <c r="C25" s="69" t="s">
        <v>106</v>
      </c>
      <c r="D25" s="210">
        <f>VLOOKUP(D13,DATABASE!B5:BB54,15,FALSE)</f>
        <v>10</v>
      </c>
      <c r="E25" s="211"/>
      <c r="F25" s="70">
        <v>20</v>
      </c>
      <c r="G25" s="70" t="str">
        <f t="shared" si="0"/>
        <v>D</v>
      </c>
      <c r="H25" s="233" t="str">
        <f t="shared" si="1"/>
        <v>A fair understanding of the overall objectives of the subject.</v>
      </c>
      <c r="I25" s="234"/>
      <c r="J25" s="234"/>
      <c r="K25" s="234"/>
      <c r="L25" s="235"/>
      <c r="M25" s="1"/>
      <c r="N25" s="221" t="s">
        <v>171</v>
      </c>
      <c r="O25" s="222"/>
      <c r="P25" s="1"/>
      <c r="Y25" t="str">
        <f>VLOOKUP(D13,DATABASE!B6:AX55,49,FALSE)</f>
        <v>cell1</v>
      </c>
    </row>
    <row r="26" spans="1:25" ht="17.75" customHeight="1" thickBot="1" x14ac:dyDescent="0.9">
      <c r="A26" s="1"/>
      <c r="B26" s="1"/>
      <c r="C26" s="9" t="s">
        <v>107</v>
      </c>
      <c r="D26" s="252">
        <f>VLOOKUP(D13,DATABASE!B5:BB54,19,FALSE)</f>
        <v>10</v>
      </c>
      <c r="E26" s="253"/>
      <c r="F26" s="19">
        <v>20</v>
      </c>
      <c r="G26" s="23" t="str">
        <f t="shared" si="0"/>
        <v>D</v>
      </c>
      <c r="H26" s="236" t="str">
        <f t="shared" si="1"/>
        <v>A fair understanding of the overall objectives of the subject.</v>
      </c>
      <c r="I26" s="237"/>
      <c r="J26" s="237"/>
      <c r="K26" s="237"/>
      <c r="L26" s="238"/>
      <c r="M26" s="1"/>
      <c r="N26" s="296" t="s">
        <v>172</v>
      </c>
      <c r="O26" s="297"/>
      <c r="P26" s="1"/>
    </row>
    <row r="27" spans="1:25" ht="16.25" customHeight="1" x14ac:dyDescent="0.75">
      <c r="A27" s="1"/>
      <c r="B27" s="1"/>
      <c r="C27" s="69" t="s">
        <v>108</v>
      </c>
      <c r="D27" s="210">
        <f>VLOOKUP(D13,DATABASE!B5:BB54,23,FALSE)</f>
        <v>10</v>
      </c>
      <c r="E27" s="211"/>
      <c r="F27" s="70">
        <v>20</v>
      </c>
      <c r="G27" s="70" t="str">
        <f t="shared" si="0"/>
        <v>D</v>
      </c>
      <c r="H27" s="233" t="str">
        <f t="shared" si="1"/>
        <v>A fair understanding of the overall objectives of the subject.</v>
      </c>
      <c r="I27" s="234"/>
      <c r="J27" s="234"/>
      <c r="K27" s="234"/>
      <c r="L27" s="235"/>
      <c r="M27" s="1"/>
      <c r="N27" s="1"/>
      <c r="O27" s="1"/>
      <c r="P27" s="1"/>
    </row>
    <row r="28" spans="1:25" ht="16.5" customHeight="1" x14ac:dyDescent="0.75">
      <c r="A28" s="1"/>
      <c r="B28" s="1"/>
      <c r="C28" s="9" t="s">
        <v>54</v>
      </c>
      <c r="D28" s="252">
        <f>VLOOKUP(D13,DATABASE!B5:BB54,27,FALSE)</f>
        <v>10</v>
      </c>
      <c r="E28" s="253"/>
      <c r="F28" s="19">
        <v>20</v>
      </c>
      <c r="G28" s="23" t="str">
        <f t="shared" si="0"/>
        <v>D</v>
      </c>
      <c r="H28" s="236" t="str">
        <f t="shared" si="1"/>
        <v>A fair understanding of the overall objectives of the subject.</v>
      </c>
      <c r="I28" s="237"/>
      <c r="J28" s="237"/>
      <c r="K28" s="237"/>
      <c r="L28" s="238"/>
      <c r="M28" s="1"/>
      <c r="N28" s="1"/>
      <c r="O28" s="1"/>
      <c r="P28" s="1"/>
    </row>
    <row r="29" spans="1:25" ht="16.25" customHeight="1" x14ac:dyDescent="0.75">
      <c r="A29" s="1"/>
      <c r="B29" s="1"/>
      <c r="C29" s="69" t="s">
        <v>109</v>
      </c>
      <c r="D29" s="210">
        <f>VLOOKUP(D13,DATABASE!B5:BB54,31,FALSE)</f>
        <v>10</v>
      </c>
      <c r="E29" s="211"/>
      <c r="F29" s="70">
        <v>20</v>
      </c>
      <c r="G29" s="70" t="str">
        <f t="shared" si="0"/>
        <v>D</v>
      </c>
      <c r="H29" s="233" t="str">
        <f t="shared" si="1"/>
        <v>A fair understanding of the overall objectives of the subject.</v>
      </c>
      <c r="I29" s="234"/>
      <c r="J29" s="234"/>
      <c r="K29" s="234"/>
      <c r="L29" s="235"/>
      <c r="M29" s="1"/>
      <c r="N29" s="1"/>
      <c r="O29" s="1"/>
      <c r="P29" s="1"/>
    </row>
    <row r="30" spans="1:25" ht="17.149999999999999" customHeight="1" x14ac:dyDescent="0.75">
      <c r="A30" s="1"/>
      <c r="B30" s="1"/>
      <c r="C30" s="9" t="s">
        <v>110</v>
      </c>
      <c r="D30" s="252">
        <f>VLOOKUP(D13,DATABASE!B5:BB54,35,FALSE)</f>
        <v>10</v>
      </c>
      <c r="E30" s="253"/>
      <c r="F30" s="19">
        <v>20</v>
      </c>
      <c r="G30" s="23" t="str">
        <f t="shared" si="0"/>
        <v>D</v>
      </c>
      <c r="H30" s="236" t="str">
        <f t="shared" si="1"/>
        <v>A fair understanding of the overall objectives of the subject.</v>
      </c>
      <c r="I30" s="237"/>
      <c r="J30" s="237"/>
      <c r="K30" s="237"/>
      <c r="L30" s="238"/>
      <c r="M30" s="3"/>
      <c r="N30" s="1"/>
      <c r="O30" s="1"/>
      <c r="P30" s="1"/>
    </row>
    <row r="31" spans="1:25" ht="17.399999999999999" customHeight="1" thickBot="1" x14ac:dyDescent="0.9">
      <c r="A31" s="1"/>
      <c r="B31" s="1"/>
      <c r="C31" s="71" t="s">
        <v>111</v>
      </c>
      <c r="D31" s="254">
        <f>VLOOKUP(D13,DATABASE!B5:BB54,39,FALSE)</f>
        <v>10</v>
      </c>
      <c r="E31" s="255"/>
      <c r="F31" s="72">
        <v>20</v>
      </c>
      <c r="G31" s="72" t="str">
        <f t="shared" si="0"/>
        <v>D</v>
      </c>
      <c r="H31" s="239" t="str">
        <f t="shared" si="1"/>
        <v>A fair understanding of the overall objectives of the subject.</v>
      </c>
      <c r="I31" s="240"/>
      <c r="J31" s="240"/>
      <c r="K31" s="240"/>
      <c r="L31" s="241"/>
      <c r="M31" s="1"/>
      <c r="N31" s="1"/>
      <c r="O31" s="1"/>
      <c r="P31" s="1"/>
    </row>
    <row r="32" spans="1:25" ht="15.5" thickTop="1" x14ac:dyDescent="0.7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16" ht="15.5" thickBot="1" x14ac:dyDescent="0.9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16" x14ac:dyDescent="0.75">
      <c r="A34" s="1"/>
      <c r="B34" s="1"/>
      <c r="C34" s="73" t="s">
        <v>102</v>
      </c>
      <c r="D34" s="74">
        <f>SUM(D22:E31)</f>
        <v>100</v>
      </c>
      <c r="E34" s="1"/>
      <c r="F34" s="75" t="s">
        <v>144</v>
      </c>
      <c r="G34" s="76"/>
      <c r="H34" s="1"/>
      <c r="I34" s="1"/>
      <c r="J34" s="242" t="s">
        <v>147</v>
      </c>
      <c r="K34" s="243"/>
      <c r="L34" s="246"/>
      <c r="M34" s="247"/>
      <c r="N34" s="247"/>
      <c r="O34" s="248"/>
      <c r="P34" s="1"/>
    </row>
    <row r="35" spans="1:16" ht="15.5" thickBot="1" x14ac:dyDescent="0.9">
      <c r="A35" s="1"/>
      <c r="B35" s="1"/>
      <c r="C35" s="26" t="s">
        <v>112</v>
      </c>
      <c r="D35" s="37">
        <f>D34/SUM(F22:F31)</f>
        <v>0.5</v>
      </c>
      <c r="E35" s="1"/>
      <c r="F35" s="25" t="s">
        <v>145</v>
      </c>
      <c r="G35" s="27">
        <f>VLOOKUP(D13,DATABASE!B5:BB54,43,FALSE)</f>
        <v>117</v>
      </c>
      <c r="H35" s="1"/>
      <c r="I35" s="1"/>
      <c r="J35" s="244"/>
      <c r="K35" s="245"/>
      <c r="L35" s="249"/>
      <c r="M35" s="250"/>
      <c r="N35" s="250"/>
      <c r="O35" s="251"/>
      <c r="P35" s="1"/>
    </row>
    <row r="36" spans="1:16" ht="15.5" thickBot="1" x14ac:dyDescent="0.9">
      <c r="A36" s="1"/>
      <c r="B36" s="1"/>
      <c r="C36" s="77" t="s">
        <v>113</v>
      </c>
      <c r="D36" s="78">
        <f>'1ST CA BROADSHEET'!T10</f>
        <v>0.73260869565217401</v>
      </c>
      <c r="E36" s="1"/>
      <c r="F36" s="79" t="s">
        <v>146</v>
      </c>
      <c r="G36" s="80">
        <f>VLOOKUP(D13,DATABASE!B5:BB54,44,FALSE)</f>
        <v>1</v>
      </c>
      <c r="H36" s="1"/>
      <c r="I36" s="1"/>
      <c r="J36" s="1"/>
      <c r="K36" s="1"/>
      <c r="L36" s="1"/>
      <c r="M36" s="1"/>
      <c r="N36" s="1"/>
      <c r="O36" s="1"/>
      <c r="P36" s="1"/>
    </row>
    <row r="37" spans="1:16" ht="18.5" x14ac:dyDescent="0.75">
      <c r="A37" s="1"/>
      <c r="B37" s="1"/>
      <c r="C37" s="1"/>
      <c r="D37" s="1"/>
      <c r="E37" s="1"/>
      <c r="F37" s="1"/>
      <c r="G37" s="1"/>
      <c r="H37" s="1"/>
      <c r="I37" s="20"/>
      <c r="J37" s="20"/>
      <c r="K37" s="1"/>
      <c r="L37" s="21"/>
      <c r="M37" s="1"/>
      <c r="N37" s="1"/>
      <c r="O37" s="1"/>
      <c r="P37" s="1"/>
    </row>
    <row r="38" spans="1:16" ht="18.5" x14ac:dyDescent="0.75">
      <c r="A38" s="1"/>
      <c r="B38" s="1"/>
      <c r="C38" s="1"/>
      <c r="D38" s="1"/>
      <c r="E38" s="1"/>
      <c r="F38" s="1"/>
      <c r="G38" s="1"/>
      <c r="H38" s="1"/>
      <c r="I38" s="21"/>
      <c r="J38" s="20"/>
      <c r="K38" s="20"/>
      <c r="L38" s="21"/>
      <c r="M38" s="1"/>
      <c r="N38" s="1"/>
      <c r="O38" s="1"/>
      <c r="P38" s="1"/>
    </row>
    <row r="39" spans="1:16" ht="15.5" thickBot="1" x14ac:dyDescent="0.9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1:16" ht="28.9" customHeight="1" thickTop="1" thickBot="1" x14ac:dyDescent="0.9">
      <c r="A40" s="1"/>
      <c r="B40" s="1"/>
      <c r="C40" s="229" t="s">
        <v>120</v>
      </c>
      <c r="D40" s="231" t="s">
        <v>121</v>
      </c>
      <c r="E40" s="231"/>
      <c r="F40" s="231"/>
      <c r="G40" s="231"/>
      <c r="H40" s="232"/>
      <c r="I40" s="1"/>
      <c r="J40" s="272" t="s">
        <v>142</v>
      </c>
      <c r="K40" s="273"/>
      <c r="L40" s="273"/>
      <c r="M40" s="273"/>
      <c r="N40" s="273"/>
      <c r="O40" s="274"/>
      <c r="P40" s="1"/>
    </row>
    <row r="41" spans="1:16" ht="16.25" thickTop="1" thickBot="1" x14ac:dyDescent="0.9">
      <c r="A41" s="1"/>
      <c r="B41" s="1"/>
      <c r="C41" s="230"/>
      <c r="D41" s="82">
        <v>5</v>
      </c>
      <c r="E41" s="82">
        <v>4</v>
      </c>
      <c r="F41" s="82">
        <v>3</v>
      </c>
      <c r="G41" s="82">
        <v>2</v>
      </c>
      <c r="H41" s="83">
        <v>1</v>
      </c>
      <c r="I41" s="1"/>
      <c r="J41" s="275" t="str">
        <f>VLOOKUP(D13,DATABASE!B5:BB54,50,FALSE)</f>
        <v>Great</v>
      </c>
      <c r="K41" s="276"/>
      <c r="L41" s="276"/>
      <c r="M41" s="276"/>
      <c r="N41" s="276"/>
      <c r="O41" s="277"/>
      <c r="P41" s="1"/>
    </row>
    <row r="42" spans="1:16" ht="20" thickTop="1" thickBot="1" x14ac:dyDescent="1.05">
      <c r="A42" s="1"/>
      <c r="B42" s="1"/>
      <c r="C42" s="84" t="s">
        <v>122</v>
      </c>
      <c r="D42" s="85"/>
      <c r="E42" s="85"/>
      <c r="F42" s="85"/>
      <c r="G42" s="85"/>
      <c r="H42" s="86"/>
      <c r="I42" s="1"/>
      <c r="J42" s="278"/>
      <c r="K42" s="279"/>
      <c r="L42" s="279"/>
      <c r="M42" s="279"/>
      <c r="N42" s="279"/>
      <c r="O42" s="280"/>
      <c r="P42" s="1"/>
    </row>
    <row r="43" spans="1:16" ht="19.25" thickBot="1" x14ac:dyDescent="1.05">
      <c r="A43" s="1"/>
      <c r="B43" s="1"/>
      <c r="C43" s="87" t="s">
        <v>123</v>
      </c>
      <c r="D43" s="81"/>
      <c r="E43" s="81" t="s">
        <v>182</v>
      </c>
      <c r="F43" s="81"/>
      <c r="G43" s="81"/>
      <c r="H43" s="88"/>
      <c r="I43" s="1"/>
      <c r="J43" s="278"/>
      <c r="K43" s="279"/>
      <c r="L43" s="279"/>
      <c r="M43" s="279"/>
      <c r="N43" s="279"/>
      <c r="O43" s="280"/>
      <c r="P43" s="1"/>
    </row>
    <row r="44" spans="1:16" ht="19.25" thickBot="1" x14ac:dyDescent="1.05">
      <c r="A44" s="1"/>
      <c r="B44" s="1"/>
      <c r="C44" s="89" t="s">
        <v>124</v>
      </c>
      <c r="D44" s="34"/>
      <c r="E44" s="34" t="s">
        <v>182</v>
      </c>
      <c r="F44" s="34"/>
      <c r="G44" s="34"/>
      <c r="H44" s="90"/>
      <c r="I44" s="1"/>
      <c r="J44" s="278"/>
      <c r="K44" s="279"/>
      <c r="L44" s="279"/>
      <c r="M44" s="279"/>
      <c r="N44" s="279"/>
      <c r="O44" s="280"/>
      <c r="P44" s="1"/>
    </row>
    <row r="45" spans="1:16" ht="19.25" thickBot="1" x14ac:dyDescent="1.05">
      <c r="A45" s="1"/>
      <c r="B45" s="1"/>
      <c r="C45" s="87" t="s">
        <v>125</v>
      </c>
      <c r="D45" s="81"/>
      <c r="E45" s="81" t="s">
        <v>182</v>
      </c>
      <c r="F45" s="81"/>
      <c r="G45" s="81"/>
      <c r="H45" s="88"/>
      <c r="I45" s="1"/>
      <c r="J45" s="281"/>
      <c r="K45" s="282"/>
      <c r="L45" s="282"/>
      <c r="M45" s="282"/>
      <c r="N45" s="282"/>
      <c r="O45" s="283"/>
      <c r="P45" s="1"/>
    </row>
    <row r="46" spans="1:16" ht="19.25" thickBot="1" x14ac:dyDescent="1.05">
      <c r="A46" s="1"/>
      <c r="B46" s="1"/>
      <c r="C46" s="89" t="s">
        <v>126</v>
      </c>
      <c r="D46" s="34" t="s">
        <v>182</v>
      </c>
      <c r="E46" s="34"/>
      <c r="F46" s="34"/>
      <c r="G46" s="34"/>
      <c r="H46" s="90"/>
      <c r="I46" s="1"/>
      <c r="J46" s="284" t="s">
        <v>241</v>
      </c>
      <c r="K46" s="285"/>
      <c r="L46" s="285"/>
      <c r="M46" s="285"/>
      <c r="N46" s="285"/>
      <c r="O46" s="286"/>
      <c r="P46" s="1"/>
    </row>
    <row r="47" spans="1:16" ht="19.25" thickBot="1" x14ac:dyDescent="1.05">
      <c r="A47" s="1"/>
      <c r="B47" s="1"/>
      <c r="C47" s="87" t="s">
        <v>127</v>
      </c>
      <c r="D47" s="81"/>
      <c r="E47" s="81"/>
      <c r="F47" s="81"/>
      <c r="G47" s="81"/>
      <c r="H47" s="88"/>
      <c r="I47" s="1"/>
      <c r="J47" s="287"/>
      <c r="K47" s="288"/>
      <c r="L47" s="288"/>
      <c r="M47" s="288"/>
      <c r="N47" s="288"/>
      <c r="O47" s="289"/>
      <c r="P47" s="1"/>
    </row>
    <row r="48" spans="1:16" ht="19.25" thickBot="1" x14ac:dyDescent="1.05">
      <c r="A48" s="1"/>
      <c r="B48" s="1"/>
      <c r="C48" s="89" t="s">
        <v>128</v>
      </c>
      <c r="D48" s="34"/>
      <c r="E48" s="34"/>
      <c r="F48" s="34"/>
      <c r="G48" s="34"/>
      <c r="H48" s="90"/>
      <c r="I48" s="1"/>
      <c r="J48" s="290"/>
      <c r="K48" s="291"/>
      <c r="L48" s="291"/>
      <c r="M48" s="291"/>
      <c r="N48" s="291"/>
      <c r="O48" s="292"/>
      <c r="P48" s="1"/>
    </row>
    <row r="49" spans="1:16" ht="19.25" thickTop="1" x14ac:dyDescent="0.9">
      <c r="A49" s="1"/>
      <c r="B49" s="1"/>
      <c r="C49" s="87" t="s">
        <v>129</v>
      </c>
      <c r="D49" s="81"/>
      <c r="E49" s="81"/>
      <c r="F49" s="81"/>
      <c r="G49" s="81"/>
      <c r="H49" s="88"/>
      <c r="I49" s="1"/>
      <c r="J49" s="1"/>
      <c r="K49" s="1"/>
      <c r="L49" s="1"/>
      <c r="M49" s="1"/>
      <c r="N49" s="1"/>
      <c r="O49" s="1"/>
      <c r="P49" s="1"/>
    </row>
    <row r="50" spans="1:16" ht="19.25" thickBot="1" x14ac:dyDescent="1.05">
      <c r="A50" s="1"/>
      <c r="B50" s="1"/>
      <c r="C50" s="89" t="s">
        <v>130</v>
      </c>
      <c r="D50" s="34"/>
      <c r="E50" s="34"/>
      <c r="F50" s="34"/>
      <c r="G50" s="34"/>
      <c r="H50" s="90"/>
      <c r="I50" s="1"/>
      <c r="J50" s="1"/>
      <c r="K50" s="1"/>
      <c r="L50" s="1"/>
      <c r="M50" s="1"/>
      <c r="N50" s="1"/>
      <c r="O50" s="1"/>
      <c r="P50" s="1"/>
    </row>
    <row r="51" spans="1:16" ht="38.5" thickTop="1" thickBot="1" x14ac:dyDescent="1.05">
      <c r="A51" s="1"/>
      <c r="B51" s="1"/>
      <c r="C51" s="91" t="s">
        <v>131</v>
      </c>
      <c r="D51" s="81"/>
      <c r="E51" s="81" t="s">
        <v>182</v>
      </c>
      <c r="F51" s="81"/>
      <c r="G51" s="81"/>
      <c r="H51" s="88"/>
      <c r="I51" s="1"/>
      <c r="J51" s="293" t="s">
        <v>143</v>
      </c>
      <c r="K51" s="294"/>
      <c r="L51" s="294"/>
      <c r="M51" s="294"/>
      <c r="N51" s="294"/>
      <c r="O51" s="295"/>
      <c r="P51" s="1"/>
    </row>
    <row r="52" spans="1:16" ht="18.5" x14ac:dyDescent="0.9">
      <c r="A52" s="1"/>
      <c r="B52" s="1"/>
      <c r="C52" s="89" t="s">
        <v>132</v>
      </c>
      <c r="D52" s="34"/>
      <c r="E52" s="34"/>
      <c r="F52" s="34"/>
      <c r="G52" s="34"/>
      <c r="H52" s="90"/>
      <c r="I52" s="1"/>
      <c r="J52" s="257" t="str">
        <f>VLOOKUP(D13,DATABASE!B5:BB54,51,FALSE)</f>
        <v>Good</v>
      </c>
      <c r="K52" s="258"/>
      <c r="L52" s="258"/>
      <c r="M52" s="258"/>
      <c r="N52" s="258"/>
      <c r="O52" s="259"/>
      <c r="P52" s="1"/>
    </row>
    <row r="53" spans="1:16" ht="18.5" x14ac:dyDescent="0.9">
      <c r="A53" s="1"/>
      <c r="B53" s="1"/>
      <c r="C53" s="87" t="s">
        <v>133</v>
      </c>
      <c r="D53" s="81"/>
      <c r="E53" s="81"/>
      <c r="F53" s="81"/>
      <c r="G53" s="81"/>
      <c r="H53" s="88"/>
      <c r="I53" s="1"/>
      <c r="J53" s="260"/>
      <c r="K53" s="261"/>
      <c r="L53" s="261"/>
      <c r="M53" s="261"/>
      <c r="N53" s="261"/>
      <c r="O53" s="262"/>
      <c r="P53" s="1"/>
    </row>
    <row r="54" spans="1:16" ht="18.5" x14ac:dyDescent="0.9">
      <c r="A54" s="1"/>
      <c r="B54" s="1"/>
      <c r="C54" s="89" t="s">
        <v>134</v>
      </c>
      <c r="D54" s="34"/>
      <c r="E54" s="34"/>
      <c r="F54" s="34"/>
      <c r="G54" s="34"/>
      <c r="H54" s="90"/>
      <c r="I54" s="1"/>
      <c r="J54" s="260"/>
      <c r="K54" s="261"/>
      <c r="L54" s="261"/>
      <c r="M54" s="261"/>
      <c r="N54" s="261"/>
      <c r="O54" s="262"/>
      <c r="P54" s="1"/>
    </row>
    <row r="55" spans="1:16" ht="19.25" thickBot="1" x14ac:dyDescent="1.05">
      <c r="A55" s="1"/>
      <c r="B55" s="1"/>
      <c r="C55" s="87" t="s">
        <v>135</v>
      </c>
      <c r="D55" s="81"/>
      <c r="E55" s="81"/>
      <c r="F55" s="81"/>
      <c r="G55" s="81"/>
      <c r="H55" s="88"/>
      <c r="I55" s="1"/>
      <c r="J55" s="263"/>
      <c r="K55" s="264"/>
      <c r="L55" s="264"/>
      <c r="M55" s="264"/>
      <c r="N55" s="264"/>
      <c r="O55" s="265"/>
      <c r="P55" s="1"/>
    </row>
    <row r="56" spans="1:16" ht="18.5" x14ac:dyDescent="0.9">
      <c r="A56" s="1"/>
      <c r="B56" s="1"/>
      <c r="C56" s="89" t="s">
        <v>136</v>
      </c>
      <c r="D56" s="34"/>
      <c r="E56" s="34"/>
      <c r="F56" s="34"/>
      <c r="G56" s="34"/>
      <c r="H56" s="90"/>
      <c r="I56" s="1"/>
      <c r="J56" s="266" t="s">
        <v>239</v>
      </c>
      <c r="K56" s="267"/>
      <c r="L56" s="267"/>
      <c r="M56" s="267"/>
      <c r="N56" s="267"/>
      <c r="O56" s="268"/>
      <c r="P56" s="1"/>
    </row>
    <row r="57" spans="1:16" ht="18.5" x14ac:dyDescent="0.9">
      <c r="A57" s="1"/>
      <c r="B57" s="1"/>
      <c r="C57" s="87" t="s">
        <v>137</v>
      </c>
      <c r="D57" s="81"/>
      <c r="E57" s="81"/>
      <c r="F57" s="81"/>
      <c r="G57" s="81"/>
      <c r="H57" s="88"/>
      <c r="I57" s="1"/>
      <c r="J57" s="266"/>
      <c r="K57" s="267"/>
      <c r="L57" s="267"/>
      <c r="M57" s="267"/>
      <c r="N57" s="267"/>
      <c r="O57" s="268"/>
      <c r="P57" s="1"/>
    </row>
    <row r="58" spans="1:16" ht="19.25" thickBot="1" x14ac:dyDescent="1.05">
      <c r="A58" s="1"/>
      <c r="B58" s="1"/>
      <c r="C58" s="92" t="s">
        <v>138</v>
      </c>
      <c r="D58" s="93"/>
      <c r="E58" s="93"/>
      <c r="F58" s="93"/>
      <c r="G58" s="93"/>
      <c r="H58" s="94"/>
      <c r="I58" s="1"/>
      <c r="J58" s="269"/>
      <c r="K58" s="270"/>
      <c r="L58" s="270"/>
      <c r="M58" s="270"/>
      <c r="N58" s="270"/>
      <c r="O58" s="271"/>
      <c r="P58" s="1"/>
    </row>
    <row r="59" spans="1:16" ht="15.5" thickTop="1" x14ac:dyDescent="0.7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x14ac:dyDescent="0.7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x14ac:dyDescent="0.7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x14ac:dyDescent="0.75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x14ac:dyDescent="0.75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x14ac:dyDescent="0.75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x14ac:dyDescent="0.7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x14ac:dyDescent="0.7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x14ac:dyDescent="0.7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x14ac:dyDescent="0.7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x14ac:dyDescent="0.7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x14ac:dyDescent="0.7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x14ac:dyDescent="0.7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x14ac:dyDescent="0.7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x14ac:dyDescent="0.7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x14ac:dyDescent="0.7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</sheetData>
  <sheetProtection insertHyperlinks="0"/>
  <mergeCells count="44">
    <mergeCell ref="F2:J6"/>
    <mergeCell ref="J52:O55"/>
    <mergeCell ref="J56:O58"/>
    <mergeCell ref="J40:O40"/>
    <mergeCell ref="J41:O45"/>
    <mergeCell ref="J46:O48"/>
    <mergeCell ref="J51:O51"/>
    <mergeCell ref="H28:L28"/>
    <mergeCell ref="H25:L25"/>
    <mergeCell ref="N25:O25"/>
    <mergeCell ref="H26:L26"/>
    <mergeCell ref="N26:O26"/>
    <mergeCell ref="H27:L27"/>
    <mergeCell ref="H24:L24"/>
    <mergeCell ref="N24:O24"/>
    <mergeCell ref="D13:G13"/>
    <mergeCell ref="D24:E24"/>
    <mergeCell ref="D25:E25"/>
    <mergeCell ref="D29:E29"/>
    <mergeCell ref="D30:E30"/>
    <mergeCell ref="D31:E31"/>
    <mergeCell ref="D26:E26"/>
    <mergeCell ref="D27:E27"/>
    <mergeCell ref="D28:E28"/>
    <mergeCell ref="C40:C41"/>
    <mergeCell ref="D40:H40"/>
    <mergeCell ref="H29:L29"/>
    <mergeCell ref="H30:L30"/>
    <mergeCell ref="H31:L31"/>
    <mergeCell ref="J34:K35"/>
    <mergeCell ref="L34:O35"/>
    <mergeCell ref="J13:K13"/>
    <mergeCell ref="D15:G15"/>
    <mergeCell ref="J15:K15"/>
    <mergeCell ref="D17:G17"/>
    <mergeCell ref="H21:L21"/>
    <mergeCell ref="D22:E22"/>
    <mergeCell ref="D21:E21"/>
    <mergeCell ref="D23:E23"/>
    <mergeCell ref="N21:O21"/>
    <mergeCell ref="H22:L22"/>
    <mergeCell ref="N22:O22"/>
    <mergeCell ref="H23:L23"/>
    <mergeCell ref="N23:O23"/>
  </mergeCells>
  <printOptions horizontalCentered="1" verticalCentered="1"/>
  <pageMargins left="0.1" right="0.1" top="0.1" bottom="0.1" header="0.1" footer="0.1"/>
  <pageSetup paperSize="9" scale="63" orientation="portrait" horizontalDpi="4294967295" verticalDpi="4294967295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75A4C6C-1D0E-4ADD-A699-510BCC0C7A25}">
          <x14:formula1>
            <xm:f>DATABASE!$B$6:$B$55</xm:f>
          </x14:formula1>
          <xm:sqref>D13:G13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41F50-9DD3-4489-80C4-57579F80245E}">
  <sheetPr codeName="Sheet4"/>
  <dimension ref="A1:T58"/>
  <sheetViews>
    <sheetView topLeftCell="A10" zoomScale="78" zoomScaleNormal="78" workbookViewId="0">
      <selection activeCell="N6" sqref="N6"/>
    </sheetView>
  </sheetViews>
  <sheetFormatPr defaultRowHeight="14.75" x14ac:dyDescent="0.75"/>
  <cols>
    <col min="1" max="1" width="4.08984375" customWidth="1"/>
    <col min="2" max="2" width="23.90625" customWidth="1"/>
    <col min="3" max="3" width="12.08984375" customWidth="1"/>
    <col min="4" max="4" width="4.26953125" customWidth="1"/>
    <col min="5" max="5" width="6.54296875" customWidth="1"/>
    <col min="6" max="6" width="4.54296875" customWidth="1"/>
    <col min="7" max="7" width="6.54296875" customWidth="1"/>
    <col min="8" max="8" width="5.1796875" customWidth="1"/>
    <col min="9" max="9" width="4.36328125" customWidth="1"/>
    <col min="10" max="10" width="4.7265625" customWidth="1"/>
    <col min="11" max="11" width="5.36328125" customWidth="1"/>
    <col min="12" max="12" width="4.26953125" customWidth="1"/>
    <col min="13" max="13" width="5.08984375" customWidth="1"/>
    <col min="14" max="14" width="5.81640625" customWidth="1"/>
    <col min="15" max="15" width="6.453125" customWidth="1"/>
    <col min="16" max="16" width="5.6328125" bestFit="1" customWidth="1"/>
    <col min="17" max="17" width="6.54296875" customWidth="1"/>
    <col min="18" max="18" width="3.7265625" customWidth="1"/>
    <col min="19" max="19" width="15.7265625" customWidth="1"/>
    <col min="20" max="20" width="26.08984375" customWidth="1"/>
  </cols>
  <sheetData>
    <row r="1" spans="1:20" ht="15.5" thickBot="1" x14ac:dyDescent="0.9"/>
    <row r="2" spans="1:20" ht="16.75" x14ac:dyDescent="0.75">
      <c r="S2" s="298" t="s">
        <v>179</v>
      </c>
      <c r="T2" s="299"/>
    </row>
    <row r="3" spans="1:20" ht="16.75" x14ac:dyDescent="0.75">
      <c r="S3" s="38" t="s">
        <v>173</v>
      </c>
      <c r="T3" s="39" t="s">
        <v>240</v>
      </c>
    </row>
    <row r="4" spans="1:20" ht="16.75" x14ac:dyDescent="0.75">
      <c r="S4" s="40" t="s">
        <v>174</v>
      </c>
      <c r="T4" s="41" t="s">
        <v>175</v>
      </c>
    </row>
    <row r="5" spans="1:20" ht="17.5" thickBot="1" x14ac:dyDescent="0.9">
      <c r="S5" s="42" t="s">
        <v>176</v>
      </c>
      <c r="T5" s="43" t="s">
        <v>177</v>
      </c>
    </row>
    <row r="8" spans="1:20" ht="23.5" x14ac:dyDescent="0.75">
      <c r="A8" s="28" t="s">
        <v>46</v>
      </c>
      <c r="B8" s="31" t="s">
        <v>47</v>
      </c>
      <c r="C8" s="32" t="s">
        <v>79</v>
      </c>
      <c r="D8" s="31" t="s">
        <v>48</v>
      </c>
      <c r="E8" s="31" t="s">
        <v>49</v>
      </c>
      <c r="F8" s="31" t="s">
        <v>50</v>
      </c>
      <c r="G8" s="28" t="s">
        <v>51</v>
      </c>
      <c r="H8" s="31" t="s">
        <v>52</v>
      </c>
      <c r="I8" s="31" t="s">
        <v>53</v>
      </c>
      <c r="J8" s="31" t="s">
        <v>54</v>
      </c>
      <c r="K8" s="28" t="s">
        <v>55</v>
      </c>
      <c r="L8" s="31" t="s">
        <v>56</v>
      </c>
      <c r="M8" s="28" t="s">
        <v>57</v>
      </c>
      <c r="N8" s="33" t="s">
        <v>58</v>
      </c>
      <c r="O8" s="31" t="s">
        <v>59</v>
      </c>
      <c r="P8" s="31" t="s">
        <v>60</v>
      </c>
      <c r="Q8" s="32" t="s">
        <v>61</v>
      </c>
      <c r="S8" s="30" t="s">
        <v>178</v>
      </c>
      <c r="T8" s="30" t="s">
        <v>162</v>
      </c>
    </row>
    <row r="9" spans="1:20" x14ac:dyDescent="0.75">
      <c r="A9" s="28">
        <v>1</v>
      </c>
      <c r="B9" s="28" t="str">
        <f>VLOOKUP(Table14[[#This Row],[S/No]],DATABASE!A6:AQ55,2,FALSE)</f>
        <v>KAMALUDEEN U. SHEHU</v>
      </c>
      <c r="C9" s="28" t="str">
        <f>VLOOKUP(Table14[[#This Row],[S/No]],DATABASE!A6:AQ55,3,FALSE)</f>
        <v>TCS/2015/372</v>
      </c>
      <c r="D9" s="28">
        <f>VLOOKUP(Table14[[#This Row],[S/No]],Table8[#All],7,FALSE)</f>
        <v>56</v>
      </c>
      <c r="E9" s="28">
        <f>VLOOKUP(Table14[[#This Row],[S/No]],Table8[#All],11,FALSE)</f>
        <v>70</v>
      </c>
      <c r="F9" s="28">
        <f>VLOOKUP(Table14[[#This Row],[S/No]],Table8[#All],15,FALSE)</f>
        <v>70</v>
      </c>
      <c r="G9" s="28">
        <f>VLOOKUP(Table14[[#This Row],[S/No]],Table8[#All],19,FALSE)</f>
        <v>70</v>
      </c>
      <c r="H9" s="28">
        <f>VLOOKUP(Table14[[#This Row],[S/No]],Table8[#All],23,FALSE)</f>
        <v>70</v>
      </c>
      <c r="I9" s="28">
        <f>VLOOKUP(Table14[[#This Row],[S/No]],Table8[#All],27,FALSE)</f>
        <v>70</v>
      </c>
      <c r="J9" s="28">
        <f>VLOOKUP(Table14[[#This Row],[S/No]],Table8[#All],31,FALSE)</f>
        <v>70</v>
      </c>
      <c r="K9" s="28">
        <f>VLOOKUP(Table14[[#This Row],[S/No]],Table8[#All],35,FALSE)</f>
        <v>70</v>
      </c>
      <c r="L9" s="28">
        <f>VLOOKUP(Table14[[#This Row],[S/No]],Table8[#All],39,FALSE)</f>
        <v>70</v>
      </c>
      <c r="M9" s="28">
        <f>VLOOKUP(Table14[[#This Row],[S/No]],Table8[#All],43,FALSE)</f>
        <v>70</v>
      </c>
      <c r="N9" s="28">
        <v>10</v>
      </c>
      <c r="O9" s="28">
        <f t="shared" ref="O9:O58" si="0">SUM(D9:M9)</f>
        <v>686</v>
      </c>
      <c r="P9" s="36">
        <f>SUM(Table14[[#This Row],[Ctz]:[Spell]])/(Table14[[#This Row],[No. of Sub.]]*100)</f>
        <v>0.68600000000000005</v>
      </c>
      <c r="Q9" s="28">
        <f>IF(P9&gt;0, RANK(P9, $P$9:$P$58))</f>
        <v>18</v>
      </c>
      <c r="S9" s="30" t="s">
        <v>163</v>
      </c>
      <c r="T9" s="30">
        <f>COUNTIF(Table14[AVE],"&lt;&gt;0")</f>
        <v>23</v>
      </c>
    </row>
    <row r="10" spans="1:20" x14ac:dyDescent="0.75">
      <c r="A10" s="28">
        <v>2</v>
      </c>
      <c r="B10" s="28" t="str">
        <f>VLOOKUP(Table14[[#This Row],[S/No]],DATABASE!A7:AQ56,2,FALSE)</f>
        <v>REHOBOTH ENENCHE</v>
      </c>
      <c r="C10" s="28" t="str">
        <f>VLOOKUP(Table14[[#This Row],[S/No]],DATABASE!A7:AQ56,3,FALSE)</f>
        <v>TCS/2015/386</v>
      </c>
      <c r="D10" s="28">
        <f>VLOOKUP(Table14[[#This Row],[S/No]],Table8[#All],7,FALSE)</f>
        <v>75</v>
      </c>
      <c r="E10" s="28">
        <f>VLOOKUP(Table14[[#This Row],[S/No]],Table8[#All],11,FALSE)</f>
        <v>75</v>
      </c>
      <c r="F10" s="28">
        <f>VLOOKUP(Table14[[#This Row],[S/No]],Table8[#All],15,FALSE)</f>
        <v>75</v>
      </c>
      <c r="G10" s="28">
        <f>VLOOKUP(Table14[[#This Row],[S/No]],Table8[#All],19,FALSE)</f>
        <v>75</v>
      </c>
      <c r="H10" s="28">
        <f>VLOOKUP(Table14[[#This Row],[S/No]],Table8[#All],23,FALSE)</f>
        <v>75</v>
      </c>
      <c r="I10" s="28">
        <f>VLOOKUP(Table14[[#This Row],[S/No]],Table8[#All],27,FALSE)</f>
        <v>75</v>
      </c>
      <c r="J10" s="28">
        <f>VLOOKUP(Table14[[#This Row],[S/No]],Table8[#All],31,FALSE)</f>
        <v>75</v>
      </c>
      <c r="K10" s="28">
        <f>VLOOKUP(Table14[[#This Row],[S/No]],Table8[#All],35,FALSE)</f>
        <v>75</v>
      </c>
      <c r="L10" s="28">
        <f>VLOOKUP(Table14[[#This Row],[S/No]],Table8[#All],39,FALSE)</f>
        <v>75</v>
      </c>
      <c r="M10" s="28">
        <f>VLOOKUP(Table14[[#This Row],[S/No]],Table8[#All],43,FALSE)</f>
        <v>75</v>
      </c>
      <c r="N10" s="28">
        <v>10</v>
      </c>
      <c r="O10" s="28">
        <f t="shared" si="0"/>
        <v>750</v>
      </c>
      <c r="P10" s="36">
        <f>SUM(Table14[[#This Row],[Ctz]:[Spell]])/(Table14[[#This Row],[No. of Sub.]]*100)</f>
        <v>0.75</v>
      </c>
      <c r="Q10" s="28">
        <f t="shared" ref="Q10:Q40" si="1">IF(P10&gt;0, RANK(P10, $P$9:$P$58))</f>
        <v>15</v>
      </c>
      <c r="S10" s="30" t="s">
        <v>164</v>
      </c>
      <c r="T10" s="35">
        <f>AVERAGEIF(Table14[AVE], "&gt;0")</f>
        <v>0.77882608695652178</v>
      </c>
    </row>
    <row r="11" spans="1:20" x14ac:dyDescent="0.75">
      <c r="A11" s="28">
        <v>3</v>
      </c>
      <c r="B11" s="28" t="str">
        <f>VLOOKUP(Table14[[#This Row],[S/No]],DATABASE!A8:AQ57,2,FALSE)</f>
        <v>ZAINAB SULE</v>
      </c>
      <c r="C11" s="28" t="str">
        <f>VLOOKUP(Table14[[#This Row],[S/No]],DATABASE!A8:AQ57,3,FALSE)</f>
        <v>TCS/2016/460</v>
      </c>
      <c r="D11" s="28">
        <f>VLOOKUP(Table14[[#This Row],[S/No]],Table8[#All],7,FALSE)</f>
        <v>66</v>
      </c>
      <c r="E11" s="28">
        <f>VLOOKUP(Table14[[#This Row],[S/No]],Table8[#All],11,FALSE)</f>
        <v>66</v>
      </c>
      <c r="F11" s="28">
        <f>VLOOKUP(Table14[[#This Row],[S/No]],Table8[#All],15,FALSE)</f>
        <v>66</v>
      </c>
      <c r="G11" s="28">
        <f>VLOOKUP(Table14[[#This Row],[S/No]],Table8[#All],19,FALSE)</f>
        <v>66</v>
      </c>
      <c r="H11" s="28">
        <f>VLOOKUP(Table14[[#This Row],[S/No]],Table8[#All],23,FALSE)</f>
        <v>66</v>
      </c>
      <c r="I11" s="28">
        <f>VLOOKUP(Table14[[#This Row],[S/No]],Table8[#All],27,FALSE)</f>
        <v>66</v>
      </c>
      <c r="J11" s="28">
        <f>VLOOKUP(Table14[[#This Row],[S/No]],Table8[#All],31,FALSE)</f>
        <v>66</v>
      </c>
      <c r="K11" s="29">
        <f>VLOOKUP(Table14[[#This Row],[S/No]],Table8[#All],35,FALSE)</f>
        <v>66</v>
      </c>
      <c r="L11" s="28">
        <f>VLOOKUP(Table14[[#This Row],[S/No]],Table8[#All],39,FALSE)</f>
        <v>66</v>
      </c>
      <c r="M11" s="28">
        <f>VLOOKUP(Table14[[#This Row],[S/No]],Table8[#All],43,FALSE)</f>
        <v>66</v>
      </c>
      <c r="N11" s="28">
        <v>10</v>
      </c>
      <c r="O11" s="28">
        <f t="shared" si="0"/>
        <v>660</v>
      </c>
      <c r="P11" s="36">
        <f>SUM(Table14[[#This Row],[Ctz]:[Spell]])/(Table14[[#This Row],[No. of Sub.]]*100)</f>
        <v>0.66</v>
      </c>
      <c r="Q11" s="28">
        <f t="shared" si="1"/>
        <v>21</v>
      </c>
      <c r="S11" s="30" t="s">
        <v>165</v>
      </c>
      <c r="T11" s="35">
        <f t="array" ref="T11">MAX(IF(Table14[AVE]&lt;&gt;0, Table14[AVE]))</f>
        <v>0.90600000000000003</v>
      </c>
    </row>
    <row r="12" spans="1:20" x14ac:dyDescent="0.75">
      <c r="A12" s="28">
        <v>4</v>
      </c>
      <c r="B12" s="28" t="str">
        <f>VLOOKUP(Table14[[#This Row],[S/No]],DATABASE!A9:AQ58,2,FALSE)</f>
        <v>AHMED MARTE</v>
      </c>
      <c r="C12" s="28" t="str">
        <f>VLOOKUP(Table14[[#This Row],[S/No]],DATABASE!A9:AQ58,3,FALSE)</f>
        <v>TCS/2016/475</v>
      </c>
      <c r="D12" s="28">
        <f>VLOOKUP(Table14[[#This Row],[S/No]],Table8[#All],7,FALSE)</f>
        <v>86</v>
      </c>
      <c r="E12" s="28">
        <f>VLOOKUP(Table14[[#This Row],[S/No]],Table8[#All],11,FALSE)</f>
        <v>86</v>
      </c>
      <c r="F12" s="28">
        <f>VLOOKUP(Table14[[#This Row],[S/No]],Table8[#All],15,FALSE)</f>
        <v>86</v>
      </c>
      <c r="G12" s="28">
        <f>VLOOKUP(Table14[[#This Row],[S/No]],Table8[#All],19,FALSE)</f>
        <v>86</v>
      </c>
      <c r="H12" s="28">
        <f>VLOOKUP(Table14[[#This Row],[S/No]],Table8[#All],23,FALSE)</f>
        <v>86</v>
      </c>
      <c r="I12" s="28">
        <f>VLOOKUP(Table14[[#This Row],[S/No]],Table8[#All],27,FALSE)</f>
        <v>86</v>
      </c>
      <c r="J12" s="28">
        <f>VLOOKUP(Table14[[#This Row],[S/No]],Table8[#All],31,FALSE)</f>
        <v>86</v>
      </c>
      <c r="K12" s="28">
        <f>VLOOKUP(Table14[[#This Row],[S/No]],Table8[#All],35,FALSE)</f>
        <v>86</v>
      </c>
      <c r="L12" s="28">
        <f>VLOOKUP(Table14[[#This Row],[S/No]],Table8[#All],39,FALSE)</f>
        <v>86</v>
      </c>
      <c r="M12" s="28">
        <f>VLOOKUP(Table14[[#This Row],[S/No]],Table8[#All],43,FALSE)</f>
        <v>86</v>
      </c>
      <c r="N12" s="28">
        <v>10</v>
      </c>
      <c r="O12" s="28">
        <f t="shared" si="0"/>
        <v>860</v>
      </c>
      <c r="P12" s="36">
        <f>SUM(Table14[[#This Row],[Ctz]:[Spell]])/(Table14[[#This Row],[No. of Sub.]]*100)</f>
        <v>0.86</v>
      </c>
      <c r="Q12" s="28">
        <f t="shared" si="1"/>
        <v>5</v>
      </c>
      <c r="S12" s="30" t="s">
        <v>166</v>
      </c>
      <c r="T12" s="35">
        <f t="array" ref="T12">MIN(IF(Table14[AVE]&lt;&gt;0, Table14[AVE]))</f>
        <v>0.64</v>
      </c>
    </row>
    <row r="13" spans="1:20" x14ac:dyDescent="0.75">
      <c r="A13" s="28">
        <v>5</v>
      </c>
      <c r="B13" s="28" t="str">
        <f>VLOOKUP(Table14[[#This Row],[S/No]],DATABASE!A10:AQ59,2,FALSE)</f>
        <v>ILHAM JIBRIL</v>
      </c>
      <c r="C13" s="28" t="str">
        <f>VLOOKUP(Table14[[#This Row],[S/No]],DATABASE!A10:AQ59,3,FALSE)</f>
        <v>TCS/2017/557</v>
      </c>
      <c r="D13" s="28">
        <f>VLOOKUP(Table14[[#This Row],[S/No]],Table8[#All],7,FALSE)</f>
        <v>86</v>
      </c>
      <c r="E13" s="28">
        <f>VLOOKUP(Table14[[#This Row],[S/No]],Table8[#All],11,FALSE)</f>
        <v>80</v>
      </c>
      <c r="F13" s="28">
        <f>VLOOKUP(Table14[[#This Row],[S/No]],Table8[#All],15,FALSE)</f>
        <v>80</v>
      </c>
      <c r="G13" s="28">
        <f>VLOOKUP(Table14[[#This Row],[S/No]],Table8[#All],19,FALSE)</f>
        <v>80</v>
      </c>
      <c r="H13" s="28">
        <f>VLOOKUP(Table14[[#This Row],[S/No]],Table8[#All],23,FALSE)</f>
        <v>80</v>
      </c>
      <c r="I13" s="28">
        <f>VLOOKUP(Table14[[#This Row],[S/No]],Table8[#All],27,FALSE)</f>
        <v>80</v>
      </c>
      <c r="J13" s="28">
        <f>VLOOKUP(Table14[[#This Row],[S/No]],Table8[#All],31,FALSE)</f>
        <v>80</v>
      </c>
      <c r="K13" s="28">
        <f>VLOOKUP(Table14[[#This Row],[S/No]],Table8[#All],35,FALSE)</f>
        <v>80</v>
      </c>
      <c r="L13" s="28">
        <f>VLOOKUP(Table14[[#This Row],[S/No]],Table8[#All],39,FALSE)</f>
        <v>80</v>
      </c>
      <c r="M13" s="28">
        <f>VLOOKUP(Table14[[#This Row],[S/No]],Table8[#All],43,FALSE)</f>
        <v>80</v>
      </c>
      <c r="N13" s="28">
        <v>10</v>
      </c>
      <c r="O13" s="28">
        <f t="shared" si="0"/>
        <v>806</v>
      </c>
      <c r="P13" s="36">
        <f>SUM(Table14[[#This Row],[Ctz]:[Spell]])/(Table14[[#This Row],[No. of Sub.]]*100)</f>
        <v>0.80600000000000005</v>
      </c>
      <c r="Q13" s="28">
        <f t="shared" si="1"/>
        <v>10</v>
      </c>
    </row>
    <row r="14" spans="1:20" ht="15.5" thickBot="1" x14ac:dyDescent="0.9">
      <c r="A14" s="28">
        <v>6</v>
      </c>
      <c r="B14" s="28" t="str">
        <f>VLOOKUP(Table14[[#This Row],[S/No]],DATABASE!A11:AQ60,2,FALSE)</f>
        <v>AHMED FARUK</v>
      </c>
      <c r="C14" s="28" t="str">
        <f>VLOOKUP(Table14[[#This Row],[S/No]],DATABASE!A11:AQ60,3,FALSE)</f>
        <v>TCS/2017/559</v>
      </c>
      <c r="D14" s="28">
        <f>VLOOKUP(Table14[[#This Row],[S/No]],Table8[#All],7,FALSE)</f>
        <v>78</v>
      </c>
      <c r="E14" s="28">
        <f>VLOOKUP(Table14[[#This Row],[S/No]],Table8[#All],11,FALSE)</f>
        <v>78</v>
      </c>
      <c r="F14" s="28">
        <f>VLOOKUP(Table14[[#This Row],[S/No]],Table8[#All],15,FALSE)</f>
        <v>78</v>
      </c>
      <c r="G14" s="28">
        <f>VLOOKUP(Table14[[#This Row],[S/No]],Table8[#All],19,FALSE)</f>
        <v>78</v>
      </c>
      <c r="H14" s="28">
        <f>VLOOKUP(Table14[[#This Row],[S/No]],Table8[#All],23,FALSE)</f>
        <v>78</v>
      </c>
      <c r="I14" s="28">
        <f>VLOOKUP(Table14[[#This Row],[S/No]],Table8[#All],27,FALSE)</f>
        <v>78</v>
      </c>
      <c r="J14" s="28">
        <f>VLOOKUP(Table14[[#This Row],[S/No]],Table8[#All],31,FALSE)</f>
        <v>78</v>
      </c>
      <c r="K14" s="28">
        <f>VLOOKUP(Table14[[#This Row],[S/No]],Table8[#All],35,FALSE)</f>
        <v>78</v>
      </c>
      <c r="L14" s="28">
        <f>VLOOKUP(Table14[[#This Row],[S/No]],Table8[#All],39,FALSE)</f>
        <v>78</v>
      </c>
      <c r="M14" s="28">
        <f>VLOOKUP(Table14[[#This Row],[S/No]],Table8[#All],43,FALSE)</f>
        <v>78</v>
      </c>
      <c r="N14" s="28">
        <v>10</v>
      </c>
      <c r="O14" s="28">
        <f t="shared" si="0"/>
        <v>780</v>
      </c>
      <c r="P14" s="36">
        <f>SUM(Table14[[#This Row],[Ctz]:[Spell]])/(Table14[[#This Row],[No. of Sub.]]*100)</f>
        <v>0.78</v>
      </c>
      <c r="Q14" s="28">
        <f t="shared" si="1"/>
        <v>13</v>
      </c>
    </row>
    <row r="15" spans="1:20" x14ac:dyDescent="0.75">
      <c r="A15" s="28">
        <v>7</v>
      </c>
      <c r="B15" s="28" t="str">
        <f>VLOOKUP(Table14[[#This Row],[S/No]],DATABASE!A12:AQ61,2,FALSE)</f>
        <v>ZAIN AQIB</v>
      </c>
      <c r="C15" s="28" t="str">
        <f>VLOOKUP(Table14[[#This Row],[S/No]],DATABASE!A12:AQ61,3,FALSE)</f>
        <v>TCS/2017/572</v>
      </c>
      <c r="D15" s="28">
        <f>VLOOKUP(Table14[[#This Row],[S/No]],Table8[#All],7,FALSE)</f>
        <v>82</v>
      </c>
      <c r="E15" s="28">
        <f>VLOOKUP(Table14[[#This Row],[S/No]],Table8[#All],11,FALSE)</f>
        <v>82</v>
      </c>
      <c r="F15" s="28">
        <f>VLOOKUP(Table14[[#This Row],[S/No]],Table8[#All],15,FALSE)</f>
        <v>82</v>
      </c>
      <c r="G15" s="28">
        <f>VLOOKUP(Table14[[#This Row],[S/No]],Table8[#All],19,FALSE)</f>
        <v>82</v>
      </c>
      <c r="H15" s="28">
        <f>VLOOKUP(Table14[[#This Row],[S/No]],Table8[#All],23,FALSE)</f>
        <v>82</v>
      </c>
      <c r="I15" s="28">
        <f>VLOOKUP(Table14[[#This Row],[S/No]],Table8[#All],27,FALSE)</f>
        <v>82</v>
      </c>
      <c r="J15" s="28">
        <f>VLOOKUP(Table14[[#This Row],[S/No]],Table8[#All],31,FALSE)</f>
        <v>82</v>
      </c>
      <c r="K15" s="28">
        <f>VLOOKUP(Table14[[#This Row],[S/No]],Table8[#All],35,FALSE)</f>
        <v>82</v>
      </c>
      <c r="L15" s="28">
        <f>VLOOKUP(Table14[[#This Row],[S/No]],Table8[#All],39,FALSE)</f>
        <v>82</v>
      </c>
      <c r="M15" s="28">
        <f>VLOOKUP(Table14[[#This Row],[S/No]],Table8[#All],43,FALSE)</f>
        <v>82</v>
      </c>
      <c r="N15" s="28">
        <v>10</v>
      </c>
      <c r="O15" s="28">
        <f t="shared" si="0"/>
        <v>820</v>
      </c>
      <c r="P15" s="36">
        <f>SUM(Table14[[#This Row],[Ctz]:[Spell]])/(Table14[[#This Row],[No. of Sub.]]*100)</f>
        <v>0.82</v>
      </c>
      <c r="Q15" s="28">
        <f t="shared" si="1"/>
        <v>8</v>
      </c>
      <c r="S15" s="197"/>
      <c r="T15" s="198"/>
    </row>
    <row r="16" spans="1:20" x14ac:dyDescent="0.75">
      <c r="A16" s="28">
        <v>8</v>
      </c>
      <c r="B16" s="28" t="str">
        <f>VLOOKUP(Table14[[#This Row],[S/No]],DATABASE!A13:AQ62,2,FALSE)</f>
        <v>AISHA SANGIR</v>
      </c>
      <c r="C16" s="28" t="str">
        <f>VLOOKUP(Table14[[#This Row],[S/No]],DATABASE!A13:AQ62,3,FALSE)</f>
        <v>TCS/2017/577</v>
      </c>
      <c r="D16" s="28">
        <f>VLOOKUP(Table14[[#This Row],[S/No]],Table8[#All],7,FALSE)</f>
        <v>88</v>
      </c>
      <c r="E16" s="28">
        <f>VLOOKUP(Table14[[#This Row],[S/No]],Table8[#All],11,FALSE)</f>
        <v>88</v>
      </c>
      <c r="F16" s="28">
        <f>VLOOKUP(Table14[[#This Row],[S/No]],Table8[#All],15,FALSE)</f>
        <v>88</v>
      </c>
      <c r="G16" s="28">
        <f>VLOOKUP(Table14[[#This Row],[S/No]],Table8[#All],19,FALSE)</f>
        <v>88</v>
      </c>
      <c r="H16" s="28">
        <f>VLOOKUP(Table14[[#This Row],[S/No]],Table8[#All],23,FALSE)</f>
        <v>88</v>
      </c>
      <c r="I16" s="28">
        <f>VLOOKUP(Table14[[#This Row],[S/No]],Table8[#All],27,FALSE)</f>
        <v>88</v>
      </c>
      <c r="J16" s="28">
        <f>VLOOKUP(Table14[[#This Row],[S/No]],Table8[#All],31,FALSE)</f>
        <v>88</v>
      </c>
      <c r="K16" s="28">
        <f>VLOOKUP(Table14[[#This Row],[S/No]],Table8[#All],35,FALSE)</f>
        <v>88</v>
      </c>
      <c r="L16" s="28">
        <f>VLOOKUP(Table14[[#This Row],[S/No]],Table8[#All],39,FALSE)</f>
        <v>88</v>
      </c>
      <c r="M16" s="28">
        <f>VLOOKUP(Table14[[#This Row],[S/No]],Table8[#All],43,FALSE)</f>
        <v>88</v>
      </c>
      <c r="N16" s="28">
        <v>10</v>
      </c>
      <c r="O16" s="28">
        <f t="shared" si="0"/>
        <v>880</v>
      </c>
      <c r="P16" s="36">
        <f>SUM(Table14[[#This Row],[Ctz]:[Spell]])/(Table14[[#This Row],[No. of Sub.]]*100)</f>
        <v>0.88</v>
      </c>
      <c r="Q16" s="28">
        <f t="shared" si="1"/>
        <v>3</v>
      </c>
      <c r="S16" s="199"/>
      <c r="T16" s="200"/>
    </row>
    <row r="17" spans="1:20" x14ac:dyDescent="0.75">
      <c r="A17" s="28">
        <v>9</v>
      </c>
      <c r="B17" s="28" t="str">
        <f>VLOOKUP(Table14[[#This Row],[S/No]],DATABASE!A14:AQ63,2,FALSE)</f>
        <v>ASIYA ADAMU ZARMA</v>
      </c>
      <c r="C17" s="28" t="str">
        <f>VLOOKUP(Table14[[#This Row],[S/No]],DATABASE!A14:AQ63,3,FALSE)</f>
        <v>TCS/2018/596</v>
      </c>
      <c r="D17" s="28">
        <f>VLOOKUP(Table14[[#This Row],[S/No]],Table8[#All],7,FALSE)</f>
        <v>68</v>
      </c>
      <c r="E17" s="28">
        <f>VLOOKUP(Table14[[#This Row],[S/No]],Table8[#All],11,FALSE)</f>
        <v>68</v>
      </c>
      <c r="F17" s="28">
        <f>VLOOKUP(Table14[[#This Row],[S/No]],Table8[#All],15,FALSE)</f>
        <v>68</v>
      </c>
      <c r="G17" s="28">
        <f>VLOOKUP(Table14[[#This Row],[S/No]],Table8[#All],19,FALSE)</f>
        <v>68</v>
      </c>
      <c r="H17" s="28">
        <f>VLOOKUP(Table14[[#This Row],[S/No]],Table8[#All],23,FALSE)</f>
        <v>68</v>
      </c>
      <c r="I17" s="28">
        <f>VLOOKUP(Table14[[#This Row],[S/No]],Table8[#All],27,FALSE)</f>
        <v>68</v>
      </c>
      <c r="J17" s="28">
        <f>VLOOKUP(Table14[[#This Row],[S/No]],Table8[#All],31,FALSE)</f>
        <v>68</v>
      </c>
      <c r="K17" s="28">
        <f>VLOOKUP(Table14[[#This Row],[S/No]],Table8[#All],35,FALSE)</f>
        <v>68</v>
      </c>
      <c r="L17" s="28">
        <f>VLOOKUP(Table14[[#This Row],[S/No]],Table8[#All],39,FALSE)</f>
        <v>68</v>
      </c>
      <c r="M17" s="28">
        <f>VLOOKUP(Table14[[#This Row],[S/No]],Table8[#All],43,FALSE)</f>
        <v>68</v>
      </c>
      <c r="N17" s="28">
        <v>10</v>
      </c>
      <c r="O17" s="28">
        <f t="shared" si="0"/>
        <v>680</v>
      </c>
      <c r="P17" s="36">
        <f>SUM(Table14[[#This Row],[Ctz]:[Spell]])/(Table14[[#This Row],[No. of Sub.]]*100)</f>
        <v>0.68</v>
      </c>
      <c r="Q17" s="28">
        <f t="shared" si="1"/>
        <v>20</v>
      </c>
      <c r="S17" s="199"/>
      <c r="T17" s="200"/>
    </row>
    <row r="18" spans="1:20" x14ac:dyDescent="0.75">
      <c r="A18" s="28">
        <v>10</v>
      </c>
      <c r="B18" s="28" t="str">
        <f>VLOOKUP(Table14[[#This Row],[S/No]],DATABASE!A15:AQ64,2,FALSE)</f>
        <v>ABDULAZIZ A. MOHAMMED</v>
      </c>
      <c r="C18" s="28" t="str">
        <f>VLOOKUP(Table14[[#This Row],[S/No]],DATABASE!A15:AQ64,3,FALSE)</f>
        <v>TCS/2018/613</v>
      </c>
      <c r="D18" s="29">
        <f>VLOOKUP(Table14[[#This Row],[S/No]],Table8[#All],7,FALSE)</f>
        <v>82</v>
      </c>
      <c r="E18" s="28">
        <f>VLOOKUP(Table14[[#This Row],[S/No]],Table8[#All],11,FALSE)</f>
        <v>80</v>
      </c>
      <c r="F18" s="28">
        <f>VLOOKUP(Table14[[#This Row],[S/No]],Table8[#All],15,FALSE)</f>
        <v>80</v>
      </c>
      <c r="G18" s="28">
        <f>VLOOKUP(Table14[[#This Row],[S/No]],Table8[#All],19,FALSE)</f>
        <v>80</v>
      </c>
      <c r="H18" s="28">
        <f>VLOOKUP(Table14[[#This Row],[S/No]],Table8[#All],23,FALSE)</f>
        <v>80</v>
      </c>
      <c r="I18" s="28">
        <f>VLOOKUP(Table14[[#This Row],[S/No]],Table8[#All],27,FALSE)</f>
        <v>80</v>
      </c>
      <c r="J18" s="28">
        <f>VLOOKUP(Table14[[#This Row],[S/No]],Table8[#All],31,FALSE)</f>
        <v>80</v>
      </c>
      <c r="K18" s="29">
        <f>VLOOKUP(Table14[[#This Row],[S/No]],Table8[#All],35,FALSE)</f>
        <v>80</v>
      </c>
      <c r="L18" s="28">
        <f>VLOOKUP(Table14[[#This Row],[S/No]],Table8[#All],39,FALSE)</f>
        <v>80</v>
      </c>
      <c r="M18" s="28">
        <f>VLOOKUP(Table14[[#This Row],[S/No]],Table8[#All],43,FALSE)</f>
        <v>80</v>
      </c>
      <c r="N18" s="28">
        <v>10</v>
      </c>
      <c r="O18" s="28">
        <f t="shared" si="0"/>
        <v>802</v>
      </c>
      <c r="P18" s="36">
        <f>SUM(Table14[[#This Row],[Ctz]:[Spell]])/(Table14[[#This Row],[No. of Sub.]]*100)</f>
        <v>0.80200000000000005</v>
      </c>
      <c r="Q18" s="28">
        <f t="shared" si="1"/>
        <v>11</v>
      </c>
      <c r="S18" s="201" t="s">
        <v>238</v>
      </c>
      <c r="T18" s="202"/>
    </row>
    <row r="19" spans="1:20" ht="15.5" thickBot="1" x14ac:dyDescent="0.9">
      <c r="A19" s="28">
        <v>11</v>
      </c>
      <c r="B19" s="28" t="str">
        <f>VLOOKUP(Table14[[#This Row],[S/No]],DATABASE!A16:AQ65,2,FALSE)</f>
        <v xml:space="preserve">HAFSAT IDRIS </v>
      </c>
      <c r="C19" s="28" t="str">
        <f>VLOOKUP(Table14[[#This Row],[S/No]],DATABASE!A16:AQ65,3,FALSE)</f>
        <v>TCS/2018/635</v>
      </c>
      <c r="D19" s="28">
        <f>VLOOKUP(Table14[[#This Row],[S/No]],Table8[#All],7,FALSE)</f>
        <v>76</v>
      </c>
      <c r="E19" s="28">
        <f>VLOOKUP(Table14[[#This Row],[S/No]],Table8[#All],11,FALSE)</f>
        <v>76</v>
      </c>
      <c r="F19" s="28">
        <f>VLOOKUP(Table14[[#This Row],[S/No]],Table8[#All],15,FALSE)</f>
        <v>76</v>
      </c>
      <c r="G19" s="28">
        <f>VLOOKUP(Table14[[#This Row],[S/No]],Table8[#All],19,FALSE)</f>
        <v>76</v>
      </c>
      <c r="H19" s="28">
        <f>VLOOKUP(Table14[[#This Row],[S/No]],Table8[#All],23,FALSE)</f>
        <v>76</v>
      </c>
      <c r="I19" s="28">
        <f>VLOOKUP(Table14[[#This Row],[S/No]],Table8[#All],27,FALSE)</f>
        <v>76</v>
      </c>
      <c r="J19" s="28">
        <f>VLOOKUP(Table14[[#This Row],[S/No]],Table8[#All],31,FALSE)</f>
        <v>76</v>
      </c>
      <c r="K19" s="28">
        <f>VLOOKUP(Table14[[#This Row],[S/No]],Table8[#All],35,FALSE)</f>
        <v>76</v>
      </c>
      <c r="L19" s="28">
        <f>VLOOKUP(Table14[[#This Row],[S/No]],Table8[#All],39,FALSE)</f>
        <v>76</v>
      </c>
      <c r="M19" s="28">
        <f>VLOOKUP(Table14[[#This Row],[S/No]],Table8[#All],43,FALSE)</f>
        <v>76</v>
      </c>
      <c r="N19" s="28">
        <v>10</v>
      </c>
      <c r="O19" s="28">
        <f t="shared" si="0"/>
        <v>760</v>
      </c>
      <c r="P19" s="36">
        <f>SUM(Table14[[#This Row],[Ctz]:[Spell]])/(Table14[[#This Row],[No. of Sub.]]*100)</f>
        <v>0.76</v>
      </c>
      <c r="Q19" s="28">
        <f t="shared" si="1"/>
        <v>14</v>
      </c>
      <c r="S19" s="203" t="s">
        <v>167</v>
      </c>
      <c r="T19" s="204"/>
    </row>
    <row r="20" spans="1:20" x14ac:dyDescent="0.75">
      <c r="A20" s="28">
        <v>12</v>
      </c>
      <c r="B20" s="28" t="str">
        <f>VLOOKUP(Table14[[#This Row],[S/No]],DATABASE!A17:AQ66,2,FALSE)</f>
        <v>HADASSAH MEDUGU</v>
      </c>
      <c r="C20" s="28" t="str">
        <f>VLOOKUP(Table14[[#This Row],[S/No]],DATABASE!A17:AQ66,3,FALSE)</f>
        <v>TCS/2018/640</v>
      </c>
      <c r="D20" s="28">
        <f>VLOOKUP(Table14[[#This Row],[S/No]],Table8[#All],7,FALSE)</f>
        <v>88</v>
      </c>
      <c r="E20" s="28">
        <f>VLOOKUP(Table14[[#This Row],[S/No]],Table8[#All],11,FALSE)</f>
        <v>88</v>
      </c>
      <c r="F20" s="28">
        <f>VLOOKUP(Table14[[#This Row],[S/No]],Table8[#All],15,FALSE)</f>
        <v>88</v>
      </c>
      <c r="G20" s="28">
        <f>VLOOKUP(Table14[[#This Row],[S/No]],Table8[#All],19,FALSE)</f>
        <v>88</v>
      </c>
      <c r="H20" s="28">
        <f>VLOOKUP(Table14[[#This Row],[S/No]],Table8[#All],23,FALSE)</f>
        <v>88</v>
      </c>
      <c r="I20" s="28">
        <f>VLOOKUP(Table14[[#This Row],[S/No]],Table8[#All],27,FALSE)</f>
        <v>88</v>
      </c>
      <c r="J20" s="28">
        <f>VLOOKUP(Table14[[#This Row],[S/No]],Table8[#All],31,FALSE)</f>
        <v>88</v>
      </c>
      <c r="K20" s="28">
        <f>VLOOKUP(Table14[[#This Row],[S/No]],Table8[#All],35,FALSE)</f>
        <v>88</v>
      </c>
      <c r="L20" s="28">
        <f>VLOOKUP(Table14[[#This Row],[S/No]],Table8[#All],39,FALSE)</f>
        <v>88</v>
      </c>
      <c r="M20" s="28">
        <f>VLOOKUP(Table14[[#This Row],[S/No]],Table8[#All],43,FALSE)</f>
        <v>88</v>
      </c>
      <c r="N20" s="28">
        <v>10</v>
      </c>
      <c r="O20" s="28">
        <f t="shared" si="0"/>
        <v>880</v>
      </c>
      <c r="P20" s="36">
        <f>SUM(Table14[[#This Row],[Ctz]:[Spell]])/(Table14[[#This Row],[No. of Sub.]]*100)</f>
        <v>0.88</v>
      </c>
      <c r="Q20" s="28">
        <f t="shared" si="1"/>
        <v>3</v>
      </c>
    </row>
    <row r="21" spans="1:20" x14ac:dyDescent="0.75">
      <c r="A21" s="28">
        <v>13</v>
      </c>
      <c r="B21" s="28" t="str">
        <f>VLOOKUP(Table14[[#This Row],[S/No]],DATABASE!A18:AQ67,2,FALSE)</f>
        <v>HAUWA’U M. EL-YAKUB</v>
      </c>
      <c r="C21" s="28" t="str">
        <f>VLOOKUP(Table14[[#This Row],[S/No]],DATABASE!A18:AQ67,3,FALSE)</f>
        <v>TCS/2018/649</v>
      </c>
      <c r="D21" s="28">
        <f>VLOOKUP(Table14[[#This Row],[S/No]],Table8[#All],7,FALSE)</f>
        <v>74</v>
      </c>
      <c r="E21" s="28">
        <f>VLOOKUP(Table14[[#This Row],[S/No]],Table8[#All],11,FALSE)</f>
        <v>74</v>
      </c>
      <c r="F21" s="28">
        <f>VLOOKUP(Table14[[#This Row],[S/No]],Table8[#All],15,FALSE)</f>
        <v>74</v>
      </c>
      <c r="G21" s="28">
        <f>VLOOKUP(Table14[[#This Row],[S/No]],Table8[#All],19,FALSE)</f>
        <v>74</v>
      </c>
      <c r="H21" s="28">
        <f>VLOOKUP(Table14[[#This Row],[S/No]],Table8[#All],23,FALSE)</f>
        <v>74</v>
      </c>
      <c r="I21" s="28">
        <f>VLOOKUP(Table14[[#This Row],[S/No]],Table8[#All],27,FALSE)</f>
        <v>74</v>
      </c>
      <c r="J21" s="28">
        <f>VLOOKUP(Table14[[#This Row],[S/No]],Table8[#All],31,FALSE)</f>
        <v>74</v>
      </c>
      <c r="K21" s="28">
        <f>VLOOKUP(Table14[[#This Row],[S/No]],Table8[#All],35,FALSE)</f>
        <v>74</v>
      </c>
      <c r="L21" s="28">
        <f>VLOOKUP(Table14[[#This Row],[S/No]],Table8[#All],39,FALSE)</f>
        <v>74</v>
      </c>
      <c r="M21" s="28">
        <f>VLOOKUP(Table14[[#This Row],[S/No]],Table8[#All],43,FALSE)</f>
        <v>74</v>
      </c>
      <c r="N21" s="28">
        <v>10</v>
      </c>
      <c r="O21" s="28">
        <f t="shared" si="0"/>
        <v>740</v>
      </c>
      <c r="P21" s="36">
        <f>SUM(Table14[[#This Row],[Ctz]:[Spell]])/(Table14[[#This Row],[No. of Sub.]]*100)</f>
        <v>0.74</v>
      </c>
      <c r="Q21" s="28">
        <f t="shared" si="1"/>
        <v>16</v>
      </c>
    </row>
    <row r="22" spans="1:20" x14ac:dyDescent="0.75">
      <c r="A22" s="28">
        <v>14</v>
      </c>
      <c r="B22" s="28" t="str">
        <f>VLOOKUP(Table14[[#This Row],[S/No]],DATABASE!A19:AQ68,2,FALSE)</f>
        <v>MOHAMMED UZAIRU</v>
      </c>
      <c r="C22" s="28" t="str">
        <f>VLOOKUP(Table14[[#This Row],[S/No]],DATABASE!A19:AQ68,3,FALSE)</f>
        <v>TCS/2019/710</v>
      </c>
      <c r="D22" s="28">
        <f>VLOOKUP(Table14[[#This Row],[S/No]],Table8[#All],7,FALSE)</f>
        <v>82</v>
      </c>
      <c r="E22" s="28">
        <f>VLOOKUP(Table14[[#This Row],[S/No]],Table8[#All],11,FALSE)</f>
        <v>82</v>
      </c>
      <c r="F22" s="28">
        <f>VLOOKUP(Table14[[#This Row],[S/No]],Table8[#All],15,FALSE)</f>
        <v>82</v>
      </c>
      <c r="G22" s="28">
        <f>VLOOKUP(Table14[[#This Row],[S/No]],Table8[#All],19,FALSE)</f>
        <v>82</v>
      </c>
      <c r="H22" s="28">
        <f>VLOOKUP(Table14[[#This Row],[S/No]],Table8[#All],23,FALSE)</f>
        <v>82</v>
      </c>
      <c r="I22" s="28">
        <f>VLOOKUP(Table14[[#This Row],[S/No]],Table8[#All],27,FALSE)</f>
        <v>82</v>
      </c>
      <c r="J22" s="28">
        <f>VLOOKUP(Table14[[#This Row],[S/No]],Table8[#All],31,FALSE)</f>
        <v>82</v>
      </c>
      <c r="K22" s="28">
        <f>VLOOKUP(Table14[[#This Row],[S/No]],Table8[#All],35,FALSE)</f>
        <v>82</v>
      </c>
      <c r="L22" s="28">
        <f>VLOOKUP(Table14[[#This Row],[S/No]],Table8[#All],39,FALSE)</f>
        <v>82</v>
      </c>
      <c r="M22" s="28">
        <f>VLOOKUP(Table14[[#This Row],[S/No]],Table8[#All],43,FALSE)</f>
        <v>82</v>
      </c>
      <c r="N22" s="28">
        <v>10</v>
      </c>
      <c r="O22" s="28">
        <f t="shared" si="0"/>
        <v>820</v>
      </c>
      <c r="P22" s="36">
        <f>SUM(Table14[[#This Row],[Ctz]:[Spell]])/(Table14[[#This Row],[No. of Sub.]]*100)</f>
        <v>0.82</v>
      </c>
      <c r="Q22" s="28">
        <f t="shared" si="1"/>
        <v>8</v>
      </c>
    </row>
    <row r="23" spans="1:20" x14ac:dyDescent="0.75">
      <c r="A23" s="28">
        <v>15</v>
      </c>
      <c r="B23" s="28" t="str">
        <f>VLOOKUP(Table14[[#This Row],[S/No]],DATABASE!A20:AQ69,2,FALSE)</f>
        <v>RUKAYYA LADAN</v>
      </c>
      <c r="C23" s="28" t="str">
        <f>VLOOKUP(Table14[[#This Row],[S/No]],DATABASE!A20:AQ69,3,FALSE)</f>
        <v>TCS/2019/713</v>
      </c>
      <c r="D23" s="28">
        <f>VLOOKUP(Table14[[#This Row],[S/No]],Table8[#All],7,FALSE)</f>
        <v>90</v>
      </c>
      <c r="E23" s="28">
        <f>VLOOKUP(Table14[[#This Row],[S/No]],Table8[#All],11,FALSE)</f>
        <v>90</v>
      </c>
      <c r="F23" s="28">
        <f>VLOOKUP(Table14[[#This Row],[S/No]],Table8[#All],15,FALSE)</f>
        <v>90</v>
      </c>
      <c r="G23" s="28">
        <f>VLOOKUP(Table14[[#This Row],[S/No]],Table8[#All],19,FALSE)</f>
        <v>90</v>
      </c>
      <c r="H23" s="28">
        <f>VLOOKUP(Table14[[#This Row],[S/No]],Table8[#All],23,FALSE)</f>
        <v>90</v>
      </c>
      <c r="I23" s="28">
        <f>VLOOKUP(Table14[[#This Row],[S/No]],Table8[#All],27,FALSE)</f>
        <v>90</v>
      </c>
      <c r="J23" s="28">
        <f>VLOOKUP(Table14[[#This Row],[S/No]],Table8[#All],31,FALSE)</f>
        <v>90</v>
      </c>
      <c r="K23" s="28">
        <f>VLOOKUP(Table14[[#This Row],[S/No]],Table8[#All],35,FALSE)</f>
        <v>90</v>
      </c>
      <c r="L23" s="28">
        <f>VLOOKUP(Table14[[#This Row],[S/No]],Table8[#All],39,FALSE)</f>
        <v>90</v>
      </c>
      <c r="M23" s="28">
        <f>VLOOKUP(Table14[[#This Row],[S/No]],Table8[#All],43,FALSE)</f>
        <v>90</v>
      </c>
      <c r="N23" s="28">
        <v>10</v>
      </c>
      <c r="O23" s="28">
        <f t="shared" si="0"/>
        <v>900</v>
      </c>
      <c r="P23" s="36">
        <f>SUM(Table14[[#This Row],[Ctz]:[Spell]])/(Table14[[#This Row],[No. of Sub.]]*100)</f>
        <v>0.9</v>
      </c>
      <c r="Q23" s="28">
        <f t="shared" si="1"/>
        <v>2</v>
      </c>
    </row>
    <row r="24" spans="1:20" x14ac:dyDescent="0.75">
      <c r="A24" s="28">
        <v>16</v>
      </c>
      <c r="B24" s="28" t="str">
        <f>VLOOKUP(Table14[[#This Row],[S/No]],DATABASE!A21:AQ70,2,FALSE)</f>
        <v>FATIMA MOHAMMED</v>
      </c>
      <c r="C24" s="28" t="str">
        <f>VLOOKUP(Table14[[#This Row],[S/No]],DATABASE!A21:AQ70,3,FALSE)</f>
        <v>TCS/2019/738</v>
      </c>
      <c r="D24" s="28">
        <f>VLOOKUP(Table14[[#This Row],[S/No]],Table8[#All],7,FALSE)</f>
        <v>74</v>
      </c>
      <c r="E24" s="28">
        <f>VLOOKUP(Table14[[#This Row],[S/No]],Table8[#All],11,FALSE)</f>
        <v>74</v>
      </c>
      <c r="F24" s="28">
        <f>VLOOKUP(Table14[[#This Row],[S/No]],Table8[#All],15,FALSE)</f>
        <v>74</v>
      </c>
      <c r="G24" s="28">
        <f>VLOOKUP(Table14[[#This Row],[S/No]],Table8[#All],19,FALSE)</f>
        <v>74</v>
      </c>
      <c r="H24" s="28">
        <f>VLOOKUP(Table14[[#This Row],[S/No]],Table8[#All],23,FALSE)</f>
        <v>74</v>
      </c>
      <c r="I24" s="28">
        <f>VLOOKUP(Table14[[#This Row],[S/No]],Table8[#All],27,FALSE)</f>
        <v>74</v>
      </c>
      <c r="J24" s="28">
        <f>VLOOKUP(Table14[[#This Row],[S/No]],Table8[#All],31,FALSE)</f>
        <v>74</v>
      </c>
      <c r="K24" s="28">
        <f>VLOOKUP(Table14[[#This Row],[S/No]],Table8[#All],35,FALSE)</f>
        <v>74</v>
      </c>
      <c r="L24" s="28">
        <f>VLOOKUP(Table14[[#This Row],[S/No]],Table8[#All],39,FALSE)</f>
        <v>74</v>
      </c>
      <c r="M24" s="28">
        <f>VLOOKUP(Table14[[#This Row],[S/No]],Table8[#All],43,FALSE)</f>
        <v>74</v>
      </c>
      <c r="N24" s="28">
        <v>10</v>
      </c>
      <c r="O24" s="28">
        <f t="shared" si="0"/>
        <v>740</v>
      </c>
      <c r="P24" s="36">
        <f>SUM(Table14[[#This Row],[Ctz]:[Spell]])/(Table14[[#This Row],[No. of Sub.]]*100)</f>
        <v>0.74</v>
      </c>
      <c r="Q24" s="28">
        <f t="shared" si="1"/>
        <v>16</v>
      </c>
    </row>
    <row r="25" spans="1:20" x14ac:dyDescent="0.75">
      <c r="A25" s="28">
        <v>17</v>
      </c>
      <c r="B25" s="28" t="str">
        <f>VLOOKUP(Table14[[#This Row],[S/No]],DATABASE!A22:AQ71,2,FALSE)</f>
        <v>ADNAN YAKUB DANJA</v>
      </c>
      <c r="C25" s="28" t="str">
        <f>VLOOKUP(Table14[[#This Row],[S/No]],DATABASE!A22:AQ71,3,FALSE)</f>
        <v xml:space="preserve">TCS/2020/794 </v>
      </c>
      <c r="D25" s="28">
        <f>VLOOKUP(Table14[[#This Row],[S/No]],Table8[#All],7,FALSE)</f>
        <v>64</v>
      </c>
      <c r="E25" s="28">
        <f>VLOOKUP(Table14[[#This Row],[S/No]],Table8[#All],11,FALSE)</f>
        <v>64</v>
      </c>
      <c r="F25" s="28">
        <f>VLOOKUP(Table14[[#This Row],[S/No]],Table8[#All],15,FALSE)</f>
        <v>64</v>
      </c>
      <c r="G25" s="28">
        <f>VLOOKUP(Table14[[#This Row],[S/No]],Table8[#All],19,FALSE)</f>
        <v>64</v>
      </c>
      <c r="H25" s="28">
        <f>VLOOKUP(Table14[[#This Row],[S/No]],Table8[#All],23,FALSE)</f>
        <v>64</v>
      </c>
      <c r="I25" s="28">
        <f>VLOOKUP(Table14[[#This Row],[S/No]],Table8[#All],27,FALSE)</f>
        <v>64</v>
      </c>
      <c r="J25" s="28">
        <f>VLOOKUP(Table14[[#This Row],[S/No]],Table8[#All],31,FALSE)</f>
        <v>64</v>
      </c>
      <c r="K25" s="28">
        <f>VLOOKUP(Table14[[#This Row],[S/No]],Table8[#All],35,FALSE)</f>
        <v>64</v>
      </c>
      <c r="L25" s="28">
        <f>VLOOKUP(Table14[[#This Row],[S/No]],Table8[#All],39,FALSE)</f>
        <v>64</v>
      </c>
      <c r="M25" s="28">
        <f>VLOOKUP(Table14[[#This Row],[S/No]],Table8[#All],43,FALSE)</f>
        <v>64</v>
      </c>
      <c r="N25" s="28">
        <v>10</v>
      </c>
      <c r="O25" s="28">
        <f t="shared" si="0"/>
        <v>640</v>
      </c>
      <c r="P25" s="36">
        <f>SUM(Table14[[#This Row],[Ctz]:[Spell]])/(Table14[[#This Row],[No. of Sub.]]*100)</f>
        <v>0.64</v>
      </c>
      <c r="Q25" s="28">
        <f t="shared" si="1"/>
        <v>23</v>
      </c>
    </row>
    <row r="26" spans="1:20" x14ac:dyDescent="0.75">
      <c r="A26" s="28">
        <v>18</v>
      </c>
      <c r="B26" s="28" t="str">
        <f>VLOOKUP(Table14[[#This Row],[S/No]],DATABASE!A23:AQ72,2,FALSE)</f>
        <v>KHADIJAH IDRIS</v>
      </c>
      <c r="C26" s="28" t="str">
        <f>VLOOKUP(Table14[[#This Row],[S/No]],DATABASE!A23:AQ72,3,FALSE)</f>
        <v>TCS/2021/794</v>
      </c>
      <c r="D26" s="28">
        <f>VLOOKUP(Table14[[#This Row],[S/No]],Table8[#All],7,FALSE)</f>
        <v>61</v>
      </c>
      <c r="E26" s="28">
        <f>VLOOKUP(Table14[[#This Row],[S/No]],Table8[#All],11,FALSE)</f>
        <v>69</v>
      </c>
      <c r="F26" s="28">
        <f>VLOOKUP(Table14[[#This Row],[S/No]],Table8[#All],15,FALSE)</f>
        <v>69</v>
      </c>
      <c r="G26" s="28">
        <f>VLOOKUP(Table14[[#This Row],[S/No]],Table8[#All],19,FALSE)</f>
        <v>69</v>
      </c>
      <c r="H26" s="28">
        <f>VLOOKUP(Table14[[#This Row],[S/No]],Table8[#All],23,FALSE)</f>
        <v>69</v>
      </c>
      <c r="I26" s="28">
        <f>VLOOKUP(Table14[[#This Row],[S/No]],Table8[#All],27,FALSE)</f>
        <v>69</v>
      </c>
      <c r="J26" s="28">
        <f>VLOOKUP(Table14[[#This Row],[S/No]],Table8[#All],31,FALSE)</f>
        <v>70</v>
      </c>
      <c r="K26" s="28">
        <f>VLOOKUP(Table14[[#This Row],[S/No]],Table8[#All],35,FALSE)</f>
        <v>69</v>
      </c>
      <c r="L26" s="28">
        <f>VLOOKUP(Table14[[#This Row],[S/No]],Table8[#All],39,FALSE)</f>
        <v>69</v>
      </c>
      <c r="M26" s="28">
        <f>VLOOKUP(Table14[[#This Row],[S/No]],Table8[#All],43,FALSE)</f>
        <v>69</v>
      </c>
      <c r="N26" s="28">
        <v>10</v>
      </c>
      <c r="O26" s="28">
        <f t="shared" si="0"/>
        <v>683</v>
      </c>
      <c r="P26" s="36">
        <f>SUM(Table14[[#This Row],[Ctz]:[Spell]])/(Table14[[#This Row],[No. of Sub.]]*100)</f>
        <v>0.68300000000000005</v>
      </c>
      <c r="Q26" s="28">
        <f t="shared" si="1"/>
        <v>19</v>
      </c>
    </row>
    <row r="27" spans="1:20" x14ac:dyDescent="0.75">
      <c r="A27" s="28">
        <v>19</v>
      </c>
      <c r="B27" s="28" t="str">
        <f>VLOOKUP(Table14[[#This Row],[S/No]],DATABASE!A24:AQ73,2,FALSE)</f>
        <v>AISHA BULAMA</v>
      </c>
      <c r="C27" s="28" t="str">
        <f>VLOOKUP(Table14[[#This Row],[S/No]],DATABASE!A24:AQ73,3,FALSE)</f>
        <v>TCS/2021/853</v>
      </c>
      <c r="D27" s="28">
        <f>VLOOKUP(Table14[[#This Row],[S/No]],Table8[#All],7,FALSE)</f>
        <v>65</v>
      </c>
      <c r="E27" s="28">
        <f>VLOOKUP(Table14[[#This Row],[S/No]],Table8[#All],11,FALSE)</f>
        <v>65</v>
      </c>
      <c r="F27" s="28">
        <f>VLOOKUP(Table14[[#This Row],[S/No]],Table8[#All],15,FALSE)</f>
        <v>65</v>
      </c>
      <c r="G27" s="28">
        <f>VLOOKUP(Table14[[#This Row],[S/No]],Table8[#All],19,FALSE)</f>
        <v>65</v>
      </c>
      <c r="H27" s="28">
        <f>VLOOKUP(Table14[[#This Row],[S/No]],Table8[#All],23,FALSE)</f>
        <v>65</v>
      </c>
      <c r="I27" s="28">
        <f>VLOOKUP(Table14[[#This Row],[S/No]],Table8[#All],27,FALSE)</f>
        <v>65</v>
      </c>
      <c r="J27" s="28">
        <f>VLOOKUP(Table14[[#This Row],[S/No]],Table8[#All],31,FALSE)</f>
        <v>65</v>
      </c>
      <c r="K27" s="28">
        <f>VLOOKUP(Table14[[#This Row],[S/No]],Table8[#All],35,FALSE)</f>
        <v>65</v>
      </c>
      <c r="L27" s="28">
        <f>VLOOKUP(Table14[[#This Row],[S/No]],Table8[#All],39,FALSE)</f>
        <v>65</v>
      </c>
      <c r="M27" s="28">
        <f>VLOOKUP(Table14[[#This Row],[S/No]],Table8[#All],43,FALSE)</f>
        <v>65</v>
      </c>
      <c r="N27" s="28">
        <v>10</v>
      </c>
      <c r="O27" s="28">
        <f t="shared" si="0"/>
        <v>650</v>
      </c>
      <c r="P27" s="36">
        <f>SUM(Table14[[#This Row],[Ctz]:[Spell]])/(Table14[[#This Row],[No. of Sub.]]*100)</f>
        <v>0.65</v>
      </c>
      <c r="Q27" s="28">
        <f t="shared" si="1"/>
        <v>22</v>
      </c>
    </row>
    <row r="28" spans="1:20" x14ac:dyDescent="0.75">
      <c r="A28" s="28">
        <v>20</v>
      </c>
      <c r="B28" s="28" t="str">
        <f>VLOOKUP(Table14[[#This Row],[S/No]],DATABASE!A25:AQ74,2,FALSE)</f>
        <v>AYMAN O. ABIDEEN</v>
      </c>
      <c r="C28" s="28" t="str">
        <f>VLOOKUP(Table14[[#This Row],[S/No]],DATABASE!A25:AQ74,3,FALSE)</f>
        <v>TCS/2021/879</v>
      </c>
      <c r="D28" s="28">
        <f>VLOOKUP(Table14[[#This Row],[S/No]],Table8[#All],7,FALSE)</f>
        <v>83</v>
      </c>
      <c r="E28" s="28">
        <f>VLOOKUP(Table14[[#This Row],[S/No]],Table8[#All],11,FALSE)</f>
        <v>83</v>
      </c>
      <c r="F28" s="28">
        <f>VLOOKUP(Table14[[#This Row],[S/No]],Table8[#All],15,FALSE)</f>
        <v>83</v>
      </c>
      <c r="G28" s="28">
        <f>VLOOKUP(Table14[[#This Row],[S/No]],Table8[#All],19,FALSE)</f>
        <v>83</v>
      </c>
      <c r="H28" s="28">
        <f>VLOOKUP(Table14[[#This Row],[S/No]],Table8[#All],23,FALSE)</f>
        <v>83</v>
      </c>
      <c r="I28" s="28">
        <f>VLOOKUP(Table14[[#This Row],[S/No]],Table8[#All],27,FALSE)</f>
        <v>83</v>
      </c>
      <c r="J28" s="28">
        <f>VLOOKUP(Table14[[#This Row],[S/No]],Table8[#All],31,FALSE)</f>
        <v>83</v>
      </c>
      <c r="K28" s="28">
        <f>VLOOKUP(Table14[[#This Row],[S/No]],Table8[#All],35,FALSE)</f>
        <v>83</v>
      </c>
      <c r="L28" s="28">
        <f>VLOOKUP(Table14[[#This Row],[S/No]],Table8[#All],39,FALSE)</f>
        <v>83</v>
      </c>
      <c r="M28" s="28">
        <f>VLOOKUP(Table14[[#This Row],[S/No]],Table8[#All],43,FALSE)</f>
        <v>83</v>
      </c>
      <c r="N28" s="28">
        <v>10</v>
      </c>
      <c r="O28" s="28">
        <f t="shared" si="0"/>
        <v>830</v>
      </c>
      <c r="P28" s="36">
        <f>SUM(Table14[[#This Row],[Ctz]:[Spell]])/(Table14[[#This Row],[No. of Sub.]]*100)</f>
        <v>0.83</v>
      </c>
      <c r="Q28" s="28">
        <f t="shared" si="1"/>
        <v>7</v>
      </c>
    </row>
    <row r="29" spans="1:20" x14ac:dyDescent="0.75">
      <c r="A29" s="28">
        <v>21</v>
      </c>
      <c r="B29" s="28" t="str">
        <f>VLOOKUP(Table14[[#This Row],[S/No]],DATABASE!A26:AQ75,2,FALSE)</f>
        <v>MOHAMMED MAYAKI</v>
      </c>
      <c r="C29" s="28" t="str">
        <f>VLOOKUP(Table14[[#This Row],[S/No]],DATABASE!A26:AQ75,3,FALSE)</f>
        <v>TCS/2022/921</v>
      </c>
      <c r="D29" s="28">
        <f>VLOOKUP(Table14[[#This Row],[S/No]],Table8[#All],7,FALSE)</f>
        <v>85</v>
      </c>
      <c r="E29" s="28">
        <f>VLOOKUP(Table14[[#This Row],[S/No]],Table8[#All],11,FALSE)</f>
        <v>85</v>
      </c>
      <c r="F29" s="28">
        <f>VLOOKUP(Table14[[#This Row],[S/No]],Table8[#All],15,FALSE)</f>
        <v>85</v>
      </c>
      <c r="G29" s="28">
        <f>VLOOKUP(Table14[[#This Row],[S/No]],Table8[#All],19,FALSE)</f>
        <v>85</v>
      </c>
      <c r="H29" s="28">
        <f>VLOOKUP(Table14[[#This Row],[S/No]],Table8[#All],23,FALSE)</f>
        <v>85</v>
      </c>
      <c r="I29" s="28">
        <f>VLOOKUP(Table14[[#This Row],[S/No]],Table8[#All],27,FALSE)</f>
        <v>85</v>
      </c>
      <c r="J29" s="28">
        <f>VLOOKUP(Table14[[#This Row],[S/No]],Table8[#All],31,FALSE)</f>
        <v>85</v>
      </c>
      <c r="K29" s="28">
        <f>VLOOKUP(Table14[[#This Row],[S/No]],Table8[#All],35,FALSE)</f>
        <v>85</v>
      </c>
      <c r="L29" s="28">
        <f>VLOOKUP(Table14[[#This Row],[S/No]],Table8[#All],39,FALSE)</f>
        <v>85</v>
      </c>
      <c r="M29" s="28">
        <f>VLOOKUP(Table14[[#This Row],[S/No]],Table8[#All],43,FALSE)</f>
        <v>85</v>
      </c>
      <c r="N29" s="28">
        <v>10</v>
      </c>
      <c r="O29" s="28">
        <f t="shared" si="0"/>
        <v>850</v>
      </c>
      <c r="P29" s="36">
        <f>SUM(Table14[[#This Row],[Ctz]:[Spell]])/(Table14[[#This Row],[No. of Sub.]]*100)</f>
        <v>0.85</v>
      </c>
      <c r="Q29" s="28">
        <f t="shared" si="1"/>
        <v>6</v>
      </c>
    </row>
    <row r="30" spans="1:20" x14ac:dyDescent="0.75">
      <c r="A30" s="28">
        <v>22</v>
      </c>
      <c r="B30" s="28" t="str">
        <f>VLOOKUP(Table14[[#This Row],[S/No]],DATABASE!A27:AQ76,2,FALSE)</f>
        <v>BOUCARY BOUCARY</v>
      </c>
      <c r="C30" s="28" t="str">
        <f>VLOOKUP(Table14[[#This Row],[S/No]],DATABASE!A27:AQ76,3,FALSE)</f>
        <v>TCS/2022/931</v>
      </c>
      <c r="D30" s="28">
        <f>VLOOKUP(Table14[[#This Row],[S/No]],Table8[#All],7,FALSE)</f>
        <v>92</v>
      </c>
      <c r="E30" s="28">
        <f>VLOOKUP(Table14[[#This Row],[S/No]],Table8[#All],11,FALSE)</f>
        <v>86</v>
      </c>
      <c r="F30" s="28">
        <f>VLOOKUP(Table14[[#This Row],[S/No]],Table8[#All],15,FALSE)</f>
        <v>92</v>
      </c>
      <c r="G30" s="28">
        <f>VLOOKUP(Table14[[#This Row],[S/No]],Table8[#All],19,FALSE)</f>
        <v>92</v>
      </c>
      <c r="H30" s="28">
        <f>VLOOKUP(Table14[[#This Row],[S/No]],Table8[#All],23,FALSE)</f>
        <v>92</v>
      </c>
      <c r="I30" s="28">
        <f>VLOOKUP(Table14[[#This Row],[S/No]],Table8[#All],27,FALSE)</f>
        <v>92</v>
      </c>
      <c r="J30" s="28">
        <f>VLOOKUP(Table14[[#This Row],[S/No]],Table8[#All],31,FALSE)</f>
        <v>84</v>
      </c>
      <c r="K30" s="28">
        <f>VLOOKUP(Table14[[#This Row],[S/No]],Table8[#All],35,FALSE)</f>
        <v>92</v>
      </c>
      <c r="L30" s="28">
        <f>VLOOKUP(Table14[[#This Row],[S/No]],Table8[#All],39,FALSE)</f>
        <v>92</v>
      </c>
      <c r="M30" s="28">
        <f>VLOOKUP(Table14[[#This Row],[S/No]],Table8[#All],43,FALSE)</f>
        <v>92</v>
      </c>
      <c r="N30" s="28">
        <v>10</v>
      </c>
      <c r="O30" s="28">
        <f t="shared" si="0"/>
        <v>906</v>
      </c>
      <c r="P30" s="36">
        <f>SUM(Table14[[#This Row],[Ctz]:[Spell]])/(Table14[[#This Row],[No. of Sub.]]*100)</f>
        <v>0.90600000000000003</v>
      </c>
      <c r="Q30" s="28">
        <f t="shared" si="1"/>
        <v>1</v>
      </c>
    </row>
    <row r="31" spans="1:20" x14ac:dyDescent="0.75">
      <c r="A31" s="28">
        <v>23</v>
      </c>
      <c r="B31" s="28" t="str">
        <f>VLOOKUP(Table14[[#This Row],[S/No]],DATABASE!A28:AQ77,2,FALSE)</f>
        <v>MOHAMMED TARIQ</v>
      </c>
      <c r="C31" s="28" t="str">
        <f>VLOOKUP(Table14[[#This Row],[S/No]],DATABASE!A28:AQ77,3,FALSE)</f>
        <v>TCS/2023/1042</v>
      </c>
      <c r="D31" s="28">
        <f>VLOOKUP(Table14[[#This Row],[S/No]],Table8[#All],7,FALSE)</f>
        <v>79</v>
      </c>
      <c r="E31" s="28">
        <f>VLOOKUP(Table14[[#This Row],[S/No]],Table8[#All],11,FALSE)</f>
        <v>79</v>
      </c>
      <c r="F31" s="28">
        <f>VLOOKUP(Table14[[#This Row],[S/No]],Table8[#All],15,FALSE)</f>
        <v>79</v>
      </c>
      <c r="G31" s="28">
        <f>VLOOKUP(Table14[[#This Row],[S/No]],Table8[#All],19,FALSE)</f>
        <v>79</v>
      </c>
      <c r="H31" s="28">
        <f>VLOOKUP(Table14[[#This Row],[S/No]],Table8[#All],23,FALSE)</f>
        <v>79</v>
      </c>
      <c r="I31" s="28">
        <f>VLOOKUP(Table14[[#This Row],[S/No]],Table8[#All],27,FALSE)</f>
        <v>79</v>
      </c>
      <c r="J31" s="28">
        <f>VLOOKUP(Table14[[#This Row],[S/No]],Table8[#All],31,FALSE)</f>
        <v>79</v>
      </c>
      <c r="K31" s="28">
        <f>VLOOKUP(Table14[[#This Row],[S/No]],Table8[#All],35,FALSE)</f>
        <v>79</v>
      </c>
      <c r="L31" s="28">
        <f>VLOOKUP(Table14[[#This Row],[S/No]],Table8[#All],39,FALSE)</f>
        <v>79</v>
      </c>
      <c r="M31" s="28">
        <f>VLOOKUP(Table14[[#This Row],[S/No]],Table8[#All],43,FALSE)</f>
        <v>79</v>
      </c>
      <c r="N31" s="28">
        <v>10</v>
      </c>
      <c r="O31" s="28">
        <f t="shared" si="0"/>
        <v>790</v>
      </c>
      <c r="P31" s="36">
        <f>SUM(Table14[[#This Row],[Ctz]:[Spell]])/(Table14[[#This Row],[No. of Sub.]]*100)</f>
        <v>0.79</v>
      </c>
      <c r="Q31" s="28">
        <f t="shared" si="1"/>
        <v>12</v>
      </c>
    </row>
    <row r="32" spans="1:20" x14ac:dyDescent="0.75">
      <c r="A32" s="28">
        <v>24</v>
      </c>
      <c r="B32" s="28">
        <f>VLOOKUP(Table14[[#This Row],[S/No]],DATABASE!A29:AQ78,2,FALSE)</f>
        <v>0</v>
      </c>
      <c r="C32" s="28">
        <f>VLOOKUP(Table14[[#This Row],[S/No]],DATABASE!A29:AQ78,3,FALSE)</f>
        <v>0</v>
      </c>
      <c r="D32" s="28">
        <f>VLOOKUP(Table14[[#This Row],[S/No]],Table8[#All],7,FALSE)</f>
        <v>0</v>
      </c>
      <c r="E32" s="28">
        <f>VLOOKUP(Table14[[#This Row],[S/No]],Table8[#All],11,FALSE)</f>
        <v>0</v>
      </c>
      <c r="F32" s="28">
        <f>VLOOKUP(Table14[[#This Row],[S/No]],Table8[#All],15,FALSE)</f>
        <v>0</v>
      </c>
      <c r="G32" s="28">
        <f>VLOOKUP(Table14[[#This Row],[S/No]],Table8[#All],19,FALSE)</f>
        <v>0</v>
      </c>
      <c r="H32" s="28">
        <f>VLOOKUP(Table14[[#This Row],[S/No]],Table8[#All],23,FALSE)</f>
        <v>0</v>
      </c>
      <c r="I32" s="28">
        <f>VLOOKUP(Table14[[#This Row],[S/No]],Table8[#All],27,FALSE)</f>
        <v>0</v>
      </c>
      <c r="J32" s="28">
        <f>VLOOKUP(Table14[[#This Row],[S/No]],Table8[#All],31,FALSE)</f>
        <v>0</v>
      </c>
      <c r="K32" s="28">
        <f>VLOOKUP(Table14[[#This Row],[S/No]],Table8[#All],35,FALSE)</f>
        <v>0</v>
      </c>
      <c r="L32" s="28">
        <f>VLOOKUP(Table14[[#This Row],[S/No]],Table8[#All],39,FALSE)</f>
        <v>0</v>
      </c>
      <c r="M32" s="28">
        <f>VLOOKUP(Table14[[#This Row],[S/No]],Table8[#All],43,FALSE)</f>
        <v>0</v>
      </c>
      <c r="N32" s="28">
        <v>10</v>
      </c>
      <c r="O32" s="28">
        <f t="shared" si="0"/>
        <v>0</v>
      </c>
      <c r="P32" s="36">
        <f>SUM(Table14[[#This Row],[Ctz]:[Spell]])/(Table14[[#This Row],[No. of Sub.]]*100)</f>
        <v>0</v>
      </c>
      <c r="Q32" s="28" t="b">
        <f t="shared" si="1"/>
        <v>0</v>
      </c>
    </row>
    <row r="33" spans="1:17" x14ac:dyDescent="0.75">
      <c r="A33" s="28">
        <v>25</v>
      </c>
      <c r="B33" s="28">
        <f>VLOOKUP(Table14[[#This Row],[S/No]],DATABASE!A30:AQ79,2,FALSE)</f>
        <v>0</v>
      </c>
      <c r="C33" s="28">
        <f>VLOOKUP(Table14[[#This Row],[S/No]],DATABASE!A30:AQ79,3,FALSE)</f>
        <v>0</v>
      </c>
      <c r="D33" s="28">
        <f>VLOOKUP(Table14[[#This Row],[S/No]],Table8[#All],7,FALSE)</f>
        <v>0</v>
      </c>
      <c r="E33" s="28">
        <f>VLOOKUP(Table14[[#This Row],[S/No]],Table8[#All],11,FALSE)</f>
        <v>0</v>
      </c>
      <c r="F33" s="28">
        <f>VLOOKUP(Table14[[#This Row],[S/No]],Table8[#All],15,FALSE)</f>
        <v>0</v>
      </c>
      <c r="G33" s="28">
        <f>VLOOKUP(Table14[[#This Row],[S/No]],Table8[#All],19,FALSE)</f>
        <v>0</v>
      </c>
      <c r="H33" s="28">
        <f>VLOOKUP(Table14[[#This Row],[S/No]],Table8[#All],23,FALSE)</f>
        <v>0</v>
      </c>
      <c r="I33" s="28">
        <f>VLOOKUP(Table14[[#This Row],[S/No]],Table8[#All],27,FALSE)</f>
        <v>0</v>
      </c>
      <c r="J33" s="28">
        <f>VLOOKUP(Table14[[#This Row],[S/No]],Table8[#All],31,FALSE)</f>
        <v>0</v>
      </c>
      <c r="K33" s="28">
        <f>VLOOKUP(Table14[[#This Row],[S/No]],Table8[#All],35,FALSE)</f>
        <v>0</v>
      </c>
      <c r="L33" s="28">
        <f>VLOOKUP(Table14[[#This Row],[S/No]],Table8[#All],39,FALSE)</f>
        <v>0</v>
      </c>
      <c r="M33" s="28">
        <f>VLOOKUP(Table14[[#This Row],[S/No]],Table8[#All],43,FALSE)</f>
        <v>0</v>
      </c>
      <c r="N33" s="28">
        <v>10</v>
      </c>
      <c r="O33" s="28">
        <f t="shared" si="0"/>
        <v>0</v>
      </c>
      <c r="P33" s="36">
        <f>SUM(Table14[[#This Row],[Ctz]:[Spell]])/(Table14[[#This Row],[No. of Sub.]]*100)</f>
        <v>0</v>
      </c>
      <c r="Q33" s="28" t="b">
        <f t="shared" si="1"/>
        <v>0</v>
      </c>
    </row>
    <row r="34" spans="1:17" x14ac:dyDescent="0.75">
      <c r="A34" s="28">
        <v>26</v>
      </c>
      <c r="B34" s="28">
        <f>VLOOKUP(Table14[[#This Row],[S/No]],DATABASE!A31:AQ80,2,FALSE)</f>
        <v>0</v>
      </c>
      <c r="C34" s="28">
        <f>VLOOKUP(Table14[[#This Row],[S/No]],DATABASE!A31:AQ80,3,FALSE)</f>
        <v>0</v>
      </c>
      <c r="D34" s="28">
        <f>VLOOKUP(Table14[[#This Row],[S/No]],Table8[#All],7,FALSE)</f>
        <v>0</v>
      </c>
      <c r="E34" s="28">
        <f>VLOOKUP(Table14[[#This Row],[S/No]],Table8[#All],11,FALSE)</f>
        <v>0</v>
      </c>
      <c r="F34" s="28">
        <f>VLOOKUP(Table14[[#This Row],[S/No]],Table8[#All],15,FALSE)</f>
        <v>0</v>
      </c>
      <c r="G34" s="28">
        <f>VLOOKUP(Table14[[#This Row],[S/No]],Table8[#All],19,FALSE)</f>
        <v>0</v>
      </c>
      <c r="H34" s="28">
        <f>VLOOKUP(Table14[[#This Row],[S/No]],Table8[#All],23,FALSE)</f>
        <v>0</v>
      </c>
      <c r="I34" s="28">
        <f>VLOOKUP(Table14[[#This Row],[S/No]],Table8[#All],27,FALSE)</f>
        <v>0</v>
      </c>
      <c r="J34" s="28">
        <f>VLOOKUP(Table14[[#This Row],[S/No]],Table8[#All],31,FALSE)</f>
        <v>0</v>
      </c>
      <c r="K34" s="28">
        <f>VLOOKUP(Table14[[#This Row],[S/No]],Table8[#All],35,FALSE)</f>
        <v>0</v>
      </c>
      <c r="L34" s="28">
        <f>VLOOKUP(Table14[[#This Row],[S/No]],Table8[#All],39,FALSE)</f>
        <v>0</v>
      </c>
      <c r="M34" s="28">
        <f>VLOOKUP(Table14[[#This Row],[S/No]],Table8[#All],43,FALSE)</f>
        <v>0</v>
      </c>
      <c r="N34" s="28">
        <v>10</v>
      </c>
      <c r="O34" s="28">
        <f t="shared" si="0"/>
        <v>0</v>
      </c>
      <c r="P34" s="36">
        <f>SUM(Table14[[#This Row],[Ctz]:[Spell]])/(Table14[[#This Row],[No. of Sub.]]*100)</f>
        <v>0</v>
      </c>
      <c r="Q34" s="28" t="b">
        <f t="shared" si="1"/>
        <v>0</v>
      </c>
    </row>
    <row r="35" spans="1:17" x14ac:dyDescent="0.75">
      <c r="A35" s="28">
        <v>27</v>
      </c>
      <c r="B35" s="28">
        <f>VLOOKUP(Table14[[#This Row],[S/No]],DATABASE!A32:AQ81,2,FALSE)</f>
        <v>0</v>
      </c>
      <c r="C35" s="28">
        <f>VLOOKUP(Table14[[#This Row],[S/No]],DATABASE!A32:AQ81,3,FALSE)</f>
        <v>0</v>
      </c>
      <c r="D35" s="28">
        <f>VLOOKUP(Table14[[#This Row],[S/No]],Table8[#All],7,FALSE)</f>
        <v>0</v>
      </c>
      <c r="E35" s="28">
        <f>VLOOKUP(Table14[[#This Row],[S/No]],Table8[#All],11,FALSE)</f>
        <v>0</v>
      </c>
      <c r="F35" s="28">
        <f>VLOOKUP(Table14[[#This Row],[S/No]],Table8[#All],15,FALSE)</f>
        <v>0</v>
      </c>
      <c r="G35" s="28">
        <f>VLOOKUP(Table14[[#This Row],[S/No]],Table8[#All],19,FALSE)</f>
        <v>0</v>
      </c>
      <c r="H35" s="28">
        <f>VLOOKUP(Table14[[#This Row],[S/No]],Table8[#All],23,FALSE)</f>
        <v>0</v>
      </c>
      <c r="I35" s="28">
        <f>VLOOKUP(Table14[[#This Row],[S/No]],Table8[#All],27,FALSE)</f>
        <v>0</v>
      </c>
      <c r="J35" s="28">
        <f>VLOOKUP(Table14[[#This Row],[S/No]],Table8[#All],31,FALSE)</f>
        <v>0</v>
      </c>
      <c r="K35" s="28">
        <f>VLOOKUP(Table14[[#This Row],[S/No]],Table8[#All],35,FALSE)</f>
        <v>0</v>
      </c>
      <c r="L35" s="28">
        <f>VLOOKUP(Table14[[#This Row],[S/No]],Table8[#All],39,FALSE)</f>
        <v>0</v>
      </c>
      <c r="M35" s="28">
        <f>VLOOKUP(Table14[[#This Row],[S/No]],Table8[#All],43,FALSE)</f>
        <v>0</v>
      </c>
      <c r="N35" s="28">
        <v>10</v>
      </c>
      <c r="O35" s="28">
        <f t="shared" si="0"/>
        <v>0</v>
      </c>
      <c r="P35" s="36">
        <f>SUM(Table14[[#This Row],[Ctz]:[Spell]])/(Table14[[#This Row],[No. of Sub.]]*100)</f>
        <v>0</v>
      </c>
      <c r="Q35" s="28" t="b">
        <f t="shared" si="1"/>
        <v>0</v>
      </c>
    </row>
    <row r="36" spans="1:17" x14ac:dyDescent="0.75">
      <c r="A36" s="28">
        <v>28</v>
      </c>
      <c r="B36" s="28">
        <f>VLOOKUP(Table14[[#This Row],[S/No]],DATABASE!A33:AQ82,2,FALSE)</f>
        <v>0</v>
      </c>
      <c r="C36" s="28">
        <f>VLOOKUP(Table14[[#This Row],[S/No]],DATABASE!A33:AQ82,3,FALSE)</f>
        <v>0</v>
      </c>
      <c r="D36" s="28">
        <f>VLOOKUP(Table14[[#This Row],[S/No]],Table8[#All],7,FALSE)</f>
        <v>0</v>
      </c>
      <c r="E36" s="28">
        <f>VLOOKUP(Table14[[#This Row],[S/No]],Table8[#All],11,FALSE)</f>
        <v>0</v>
      </c>
      <c r="F36" s="28">
        <f>VLOOKUP(Table14[[#This Row],[S/No]],Table8[#All],15,FALSE)</f>
        <v>0</v>
      </c>
      <c r="G36" s="28">
        <f>VLOOKUP(Table14[[#This Row],[S/No]],Table8[#All],19,FALSE)</f>
        <v>0</v>
      </c>
      <c r="H36" s="28">
        <f>VLOOKUP(Table14[[#This Row],[S/No]],Table8[#All],23,FALSE)</f>
        <v>0</v>
      </c>
      <c r="I36" s="28">
        <f>VLOOKUP(Table14[[#This Row],[S/No]],Table8[#All],27,FALSE)</f>
        <v>0</v>
      </c>
      <c r="J36" s="28">
        <f>VLOOKUP(Table14[[#This Row],[S/No]],Table8[#All],31,FALSE)</f>
        <v>0</v>
      </c>
      <c r="K36" s="28">
        <f>VLOOKUP(Table14[[#This Row],[S/No]],Table8[#All],35,FALSE)</f>
        <v>0</v>
      </c>
      <c r="L36" s="28">
        <f>VLOOKUP(Table14[[#This Row],[S/No]],Table8[#All],39,FALSE)</f>
        <v>0</v>
      </c>
      <c r="M36" s="28">
        <f>VLOOKUP(Table14[[#This Row],[S/No]],Table8[#All],43,FALSE)</f>
        <v>0</v>
      </c>
      <c r="N36" s="28">
        <v>10</v>
      </c>
      <c r="O36" s="28">
        <f t="shared" si="0"/>
        <v>0</v>
      </c>
      <c r="P36" s="36">
        <f>SUM(Table14[[#This Row],[Ctz]:[Spell]])/(Table14[[#This Row],[No. of Sub.]]*100)</f>
        <v>0</v>
      </c>
      <c r="Q36" s="28" t="b">
        <f t="shared" si="1"/>
        <v>0</v>
      </c>
    </row>
    <row r="37" spans="1:17" x14ac:dyDescent="0.75">
      <c r="A37" s="28">
        <v>29</v>
      </c>
      <c r="B37" s="28">
        <f>VLOOKUP(Table14[[#This Row],[S/No]],DATABASE!A34:AQ83,2,FALSE)</f>
        <v>0</v>
      </c>
      <c r="C37" s="28">
        <f>VLOOKUP(Table14[[#This Row],[S/No]],DATABASE!A34:AQ83,3,FALSE)</f>
        <v>0</v>
      </c>
      <c r="D37" s="28">
        <f>VLOOKUP(Table14[[#This Row],[S/No]],Table8[#All],7,FALSE)</f>
        <v>0</v>
      </c>
      <c r="E37" s="28">
        <f>VLOOKUP(Table14[[#This Row],[S/No]],Table8[#All],11,FALSE)</f>
        <v>0</v>
      </c>
      <c r="F37" s="28">
        <f>VLOOKUP(Table14[[#This Row],[S/No]],Table8[#All],15,FALSE)</f>
        <v>0</v>
      </c>
      <c r="G37" s="28">
        <f>VLOOKUP(Table14[[#This Row],[S/No]],Table8[#All],19,FALSE)</f>
        <v>0</v>
      </c>
      <c r="H37" s="28">
        <f>VLOOKUP(Table14[[#This Row],[S/No]],Table8[#All],23,FALSE)</f>
        <v>0</v>
      </c>
      <c r="I37" s="28">
        <f>VLOOKUP(Table14[[#This Row],[S/No]],Table8[#All],27,FALSE)</f>
        <v>0</v>
      </c>
      <c r="J37" s="28">
        <f>VLOOKUP(Table14[[#This Row],[S/No]],Table8[#All],31,FALSE)</f>
        <v>0</v>
      </c>
      <c r="K37" s="28">
        <f>VLOOKUP(Table14[[#This Row],[S/No]],Table8[#All],35,FALSE)</f>
        <v>0</v>
      </c>
      <c r="L37" s="28">
        <f>VLOOKUP(Table14[[#This Row],[S/No]],Table8[#All],39,FALSE)</f>
        <v>0</v>
      </c>
      <c r="M37" s="28">
        <f>VLOOKUP(Table14[[#This Row],[S/No]],Table8[#All],43,FALSE)</f>
        <v>0</v>
      </c>
      <c r="N37" s="28">
        <v>10</v>
      </c>
      <c r="O37" s="28">
        <f t="shared" si="0"/>
        <v>0</v>
      </c>
      <c r="P37" s="36">
        <f>SUM(Table14[[#This Row],[Ctz]:[Spell]])/(Table14[[#This Row],[No. of Sub.]]*100)</f>
        <v>0</v>
      </c>
      <c r="Q37" s="28" t="b">
        <f t="shared" si="1"/>
        <v>0</v>
      </c>
    </row>
    <row r="38" spans="1:17" x14ac:dyDescent="0.75">
      <c r="A38" s="28">
        <v>30</v>
      </c>
      <c r="B38" s="28">
        <f>VLOOKUP(Table14[[#This Row],[S/No]],DATABASE!A35:AQ84,2,FALSE)</f>
        <v>0</v>
      </c>
      <c r="C38" s="28">
        <f>VLOOKUP(Table14[[#This Row],[S/No]],DATABASE!A35:AQ84,3,FALSE)</f>
        <v>0</v>
      </c>
      <c r="D38" s="28">
        <f>VLOOKUP(Table14[[#This Row],[S/No]],Table8[#All],7,FALSE)</f>
        <v>0</v>
      </c>
      <c r="E38" s="28">
        <f>VLOOKUP(Table14[[#This Row],[S/No]],Table8[#All],11,FALSE)</f>
        <v>0</v>
      </c>
      <c r="F38" s="28">
        <f>VLOOKUP(Table14[[#This Row],[S/No]],Table8[#All],15,FALSE)</f>
        <v>0</v>
      </c>
      <c r="G38" s="28">
        <f>VLOOKUP(Table14[[#This Row],[S/No]],Table8[#All],19,FALSE)</f>
        <v>0</v>
      </c>
      <c r="H38" s="28">
        <f>VLOOKUP(Table14[[#This Row],[S/No]],Table8[#All],23,FALSE)</f>
        <v>0</v>
      </c>
      <c r="I38" s="28">
        <f>VLOOKUP(Table14[[#This Row],[S/No]],Table8[#All],27,FALSE)</f>
        <v>0</v>
      </c>
      <c r="J38" s="28">
        <f>VLOOKUP(Table14[[#This Row],[S/No]],Table8[#All],31,FALSE)</f>
        <v>0</v>
      </c>
      <c r="K38" s="28">
        <f>VLOOKUP(Table14[[#This Row],[S/No]],Table8[#All],35,FALSE)</f>
        <v>0</v>
      </c>
      <c r="L38" s="28">
        <f>VLOOKUP(Table14[[#This Row],[S/No]],Table8[#All],39,FALSE)</f>
        <v>0</v>
      </c>
      <c r="M38" s="28">
        <f>VLOOKUP(Table14[[#This Row],[S/No]],Table8[#All],43,FALSE)</f>
        <v>0</v>
      </c>
      <c r="N38" s="28">
        <v>10</v>
      </c>
      <c r="O38" s="28">
        <f t="shared" si="0"/>
        <v>0</v>
      </c>
      <c r="P38" s="36">
        <f>SUM(Table14[[#This Row],[Ctz]:[Spell]])/(Table14[[#This Row],[No. of Sub.]]*100)</f>
        <v>0</v>
      </c>
      <c r="Q38" s="28" t="b">
        <f t="shared" si="1"/>
        <v>0</v>
      </c>
    </row>
    <row r="39" spans="1:17" x14ac:dyDescent="0.75">
      <c r="A39" s="28">
        <v>31</v>
      </c>
      <c r="B39" s="28">
        <f>VLOOKUP(Table14[[#This Row],[S/No]],DATABASE!A36:AQ85,2,FALSE)</f>
        <v>0</v>
      </c>
      <c r="C39" s="28">
        <f>VLOOKUP(Table14[[#This Row],[S/No]],DATABASE!A36:AQ85,3,FALSE)</f>
        <v>0</v>
      </c>
      <c r="D39" s="28">
        <f>VLOOKUP(Table14[[#This Row],[S/No]],Table8[#All],7,FALSE)</f>
        <v>0</v>
      </c>
      <c r="E39" s="28">
        <f>VLOOKUP(Table14[[#This Row],[S/No]],Table8[#All],11,FALSE)</f>
        <v>0</v>
      </c>
      <c r="F39" s="28">
        <f>VLOOKUP(Table14[[#This Row],[S/No]],Table8[#All],15,FALSE)</f>
        <v>0</v>
      </c>
      <c r="G39" s="28">
        <f>VLOOKUP(Table14[[#This Row],[S/No]],Table8[#All],19,FALSE)</f>
        <v>0</v>
      </c>
      <c r="H39" s="28">
        <f>VLOOKUP(Table14[[#This Row],[S/No]],Table8[#All],23,FALSE)</f>
        <v>0</v>
      </c>
      <c r="I39" s="28">
        <f>VLOOKUP(Table14[[#This Row],[S/No]],Table8[#All],27,FALSE)</f>
        <v>0</v>
      </c>
      <c r="J39" s="28">
        <f>VLOOKUP(Table14[[#This Row],[S/No]],Table8[#All],31,FALSE)</f>
        <v>0</v>
      </c>
      <c r="K39" s="28">
        <f>VLOOKUP(Table14[[#This Row],[S/No]],Table8[#All],35,FALSE)</f>
        <v>0</v>
      </c>
      <c r="L39" s="28">
        <f>VLOOKUP(Table14[[#This Row],[S/No]],Table8[#All],39,FALSE)</f>
        <v>0</v>
      </c>
      <c r="M39" s="28">
        <f>VLOOKUP(Table14[[#This Row],[S/No]],Table8[#All],43,FALSE)</f>
        <v>0</v>
      </c>
      <c r="N39" s="28">
        <v>10</v>
      </c>
      <c r="O39" s="28">
        <f t="shared" si="0"/>
        <v>0</v>
      </c>
      <c r="P39" s="36">
        <f>SUM(Table14[[#This Row],[Ctz]:[Spell]])/(Table14[[#This Row],[No. of Sub.]]*100)</f>
        <v>0</v>
      </c>
      <c r="Q39" s="28" t="b">
        <f t="shared" si="1"/>
        <v>0</v>
      </c>
    </row>
    <row r="40" spans="1:17" x14ac:dyDescent="0.75">
      <c r="A40" s="28">
        <v>32</v>
      </c>
      <c r="B40" s="28">
        <f>VLOOKUP(Table14[[#This Row],[S/No]],DATABASE!A37:AQ86,2,FALSE)</f>
        <v>0</v>
      </c>
      <c r="C40" s="28">
        <f>VLOOKUP(Table14[[#This Row],[S/No]],DATABASE!A37:AQ86,3,FALSE)</f>
        <v>0</v>
      </c>
      <c r="D40" s="28">
        <f>VLOOKUP(Table14[[#This Row],[S/No]],Table8[#All],7,FALSE)</f>
        <v>0</v>
      </c>
      <c r="E40" s="28">
        <f>VLOOKUP(Table14[[#This Row],[S/No]],Table8[#All],11,FALSE)</f>
        <v>0</v>
      </c>
      <c r="F40" s="28">
        <f>VLOOKUP(Table14[[#This Row],[S/No]],Table8[#All],15,FALSE)</f>
        <v>0</v>
      </c>
      <c r="G40" s="28">
        <f>VLOOKUP(Table14[[#This Row],[S/No]],Table8[#All],19,FALSE)</f>
        <v>0</v>
      </c>
      <c r="H40" s="28">
        <f>VLOOKUP(Table14[[#This Row],[S/No]],Table8[#All],23,FALSE)</f>
        <v>0</v>
      </c>
      <c r="I40" s="28">
        <f>VLOOKUP(Table14[[#This Row],[S/No]],Table8[#All],27,FALSE)</f>
        <v>0</v>
      </c>
      <c r="J40" s="28">
        <f>VLOOKUP(Table14[[#This Row],[S/No]],Table8[#All],31,FALSE)</f>
        <v>0</v>
      </c>
      <c r="K40" s="28">
        <f>VLOOKUP(Table14[[#This Row],[S/No]],Table8[#All],35,FALSE)</f>
        <v>0</v>
      </c>
      <c r="L40" s="28">
        <f>VLOOKUP(Table14[[#This Row],[S/No]],Table8[#All],39,FALSE)</f>
        <v>0</v>
      </c>
      <c r="M40" s="28">
        <f>VLOOKUP(Table14[[#This Row],[S/No]],Table8[#All],43,FALSE)</f>
        <v>0</v>
      </c>
      <c r="N40" s="28">
        <v>10</v>
      </c>
      <c r="O40" s="28">
        <f t="shared" si="0"/>
        <v>0</v>
      </c>
      <c r="P40" s="36">
        <f>SUM(Table14[[#This Row],[Ctz]:[Spell]])/(Table14[[#This Row],[No. of Sub.]]*100)</f>
        <v>0</v>
      </c>
      <c r="Q40" s="28" t="b">
        <f t="shared" si="1"/>
        <v>0</v>
      </c>
    </row>
    <row r="41" spans="1:17" x14ac:dyDescent="0.75">
      <c r="A41" s="28">
        <v>33</v>
      </c>
      <c r="B41" s="28">
        <f>VLOOKUP(Table14[[#This Row],[S/No]],DATABASE!A38:AQ87,2,FALSE)</f>
        <v>0</v>
      </c>
      <c r="C41" s="28">
        <f>VLOOKUP(Table14[[#This Row],[S/No]],DATABASE!A38:AQ87,3,FALSE)</f>
        <v>0</v>
      </c>
      <c r="D41" s="28">
        <f>VLOOKUP(Table14[[#This Row],[S/No]],Table8[#All],7,FALSE)</f>
        <v>0</v>
      </c>
      <c r="E41" s="28">
        <f>VLOOKUP(Table14[[#This Row],[S/No]],Table8[#All],11,FALSE)</f>
        <v>0</v>
      </c>
      <c r="F41" s="28">
        <f>VLOOKUP(Table14[[#This Row],[S/No]],Table8[#All],15,FALSE)</f>
        <v>0</v>
      </c>
      <c r="G41" s="28">
        <f>VLOOKUP(Table14[[#This Row],[S/No]],Table8[#All],19,FALSE)</f>
        <v>0</v>
      </c>
      <c r="H41" s="28">
        <f>VLOOKUP(Table14[[#This Row],[S/No]],Table8[#All],23,FALSE)</f>
        <v>0</v>
      </c>
      <c r="I41" s="28">
        <f>VLOOKUP(Table14[[#This Row],[S/No]],Table8[#All],27,FALSE)</f>
        <v>0</v>
      </c>
      <c r="J41" s="28">
        <f>VLOOKUP(Table14[[#This Row],[S/No]],Table8[#All],31,FALSE)</f>
        <v>0</v>
      </c>
      <c r="K41" s="28">
        <f>VLOOKUP(Table14[[#This Row],[S/No]],Table8[#All],35,FALSE)</f>
        <v>0</v>
      </c>
      <c r="L41" s="28">
        <f>VLOOKUP(Table14[[#This Row],[S/No]],Table8[#All],39,FALSE)</f>
        <v>0</v>
      </c>
      <c r="M41" s="28">
        <f>VLOOKUP(Table14[[#This Row],[S/No]],Table8[#All],43,FALSE)</f>
        <v>0</v>
      </c>
      <c r="N41" s="28">
        <v>10</v>
      </c>
      <c r="O41" s="28">
        <f t="shared" si="0"/>
        <v>0</v>
      </c>
      <c r="P41" s="36">
        <f>SUM(Table14[[#This Row],[Ctz]:[Spell]])/(Table14[[#This Row],[No. of Sub.]]*100)</f>
        <v>0</v>
      </c>
      <c r="Q41" s="28" t="b">
        <f t="shared" ref="Q41:Q58" si="2">IF(P41&gt;0, RANK(P41, $P$9:$P$58))</f>
        <v>0</v>
      </c>
    </row>
    <row r="42" spans="1:17" x14ac:dyDescent="0.75">
      <c r="A42" s="28">
        <v>34</v>
      </c>
      <c r="B42" s="28">
        <f>VLOOKUP(Table14[[#This Row],[S/No]],DATABASE!A39:AQ88,2,FALSE)</f>
        <v>0</v>
      </c>
      <c r="C42" s="28">
        <f>VLOOKUP(Table14[[#This Row],[S/No]],DATABASE!A39:AQ88,3,FALSE)</f>
        <v>0</v>
      </c>
      <c r="D42" s="28">
        <f>VLOOKUP(Table14[[#This Row],[S/No]],Table8[#All],7,FALSE)</f>
        <v>0</v>
      </c>
      <c r="E42" s="28">
        <f>VLOOKUP(Table14[[#This Row],[S/No]],Table8[#All],11,FALSE)</f>
        <v>0</v>
      </c>
      <c r="F42" s="28">
        <f>VLOOKUP(Table14[[#This Row],[S/No]],Table8[#All],15,FALSE)</f>
        <v>0</v>
      </c>
      <c r="G42" s="28">
        <f>VLOOKUP(Table14[[#This Row],[S/No]],Table8[#All],19,FALSE)</f>
        <v>0</v>
      </c>
      <c r="H42" s="28">
        <f>VLOOKUP(Table14[[#This Row],[S/No]],Table8[#All],23,FALSE)</f>
        <v>0</v>
      </c>
      <c r="I42" s="28">
        <f>VLOOKUP(Table14[[#This Row],[S/No]],Table8[#All],27,FALSE)</f>
        <v>0</v>
      </c>
      <c r="J42" s="28">
        <f>VLOOKUP(Table14[[#This Row],[S/No]],Table8[#All],31,FALSE)</f>
        <v>0</v>
      </c>
      <c r="K42" s="28">
        <f>VLOOKUP(Table14[[#This Row],[S/No]],Table8[#All],35,FALSE)</f>
        <v>0</v>
      </c>
      <c r="L42" s="28">
        <f>VLOOKUP(Table14[[#This Row],[S/No]],Table8[#All],39,FALSE)</f>
        <v>0</v>
      </c>
      <c r="M42" s="28">
        <f>VLOOKUP(Table14[[#This Row],[S/No]],Table8[#All],43,FALSE)</f>
        <v>0</v>
      </c>
      <c r="N42" s="28">
        <v>10</v>
      </c>
      <c r="O42" s="28">
        <f t="shared" si="0"/>
        <v>0</v>
      </c>
      <c r="P42" s="36">
        <f>SUM(Table14[[#This Row],[Ctz]:[Spell]])/(Table14[[#This Row],[No. of Sub.]]*100)</f>
        <v>0</v>
      </c>
      <c r="Q42" s="28" t="b">
        <f t="shared" si="2"/>
        <v>0</v>
      </c>
    </row>
    <row r="43" spans="1:17" x14ac:dyDescent="0.75">
      <c r="A43" s="28">
        <v>35</v>
      </c>
      <c r="B43" s="28">
        <f>VLOOKUP(Table14[[#This Row],[S/No]],DATABASE!A40:AQ89,2,FALSE)</f>
        <v>0</v>
      </c>
      <c r="C43" s="28">
        <f>VLOOKUP(Table14[[#This Row],[S/No]],DATABASE!A40:AQ89,3,FALSE)</f>
        <v>0</v>
      </c>
      <c r="D43" s="28">
        <f>VLOOKUP(Table14[[#This Row],[S/No]],Table8[#All],7,FALSE)</f>
        <v>0</v>
      </c>
      <c r="E43" s="28">
        <f>VLOOKUP(Table14[[#This Row],[S/No]],Table8[#All],11,FALSE)</f>
        <v>0</v>
      </c>
      <c r="F43" s="28">
        <f>VLOOKUP(Table14[[#This Row],[S/No]],Table8[#All],15,FALSE)</f>
        <v>0</v>
      </c>
      <c r="G43" s="28">
        <f>VLOOKUP(Table14[[#This Row],[S/No]],Table8[#All],19,FALSE)</f>
        <v>0</v>
      </c>
      <c r="H43" s="28">
        <f>VLOOKUP(Table14[[#This Row],[S/No]],Table8[#All],23,FALSE)</f>
        <v>0</v>
      </c>
      <c r="I43" s="28">
        <f>VLOOKUP(Table14[[#This Row],[S/No]],Table8[#All],27,FALSE)</f>
        <v>0</v>
      </c>
      <c r="J43" s="28">
        <f>VLOOKUP(Table14[[#This Row],[S/No]],Table8[#All],31,FALSE)</f>
        <v>0</v>
      </c>
      <c r="K43" s="28">
        <f>VLOOKUP(Table14[[#This Row],[S/No]],Table8[#All],35,FALSE)</f>
        <v>0</v>
      </c>
      <c r="L43" s="28">
        <f>VLOOKUP(Table14[[#This Row],[S/No]],Table8[#All],39,FALSE)</f>
        <v>0</v>
      </c>
      <c r="M43" s="28">
        <f>VLOOKUP(Table14[[#This Row],[S/No]],Table8[#All],43,FALSE)</f>
        <v>0</v>
      </c>
      <c r="N43" s="28">
        <v>10</v>
      </c>
      <c r="O43" s="28">
        <f t="shared" si="0"/>
        <v>0</v>
      </c>
      <c r="P43" s="36">
        <f>SUM(Table14[[#This Row],[Ctz]:[Spell]])/(Table14[[#This Row],[No. of Sub.]]*100)</f>
        <v>0</v>
      </c>
      <c r="Q43" s="28" t="b">
        <f t="shared" si="2"/>
        <v>0</v>
      </c>
    </row>
    <row r="44" spans="1:17" x14ac:dyDescent="0.75">
      <c r="A44" s="28">
        <v>36</v>
      </c>
      <c r="B44" s="28">
        <f>VLOOKUP(Table14[[#This Row],[S/No]],DATABASE!A41:AQ90,2,FALSE)</f>
        <v>0</v>
      </c>
      <c r="C44" s="28">
        <f>VLOOKUP(Table14[[#This Row],[S/No]],DATABASE!A41:AQ90,3,FALSE)</f>
        <v>0</v>
      </c>
      <c r="D44" s="28">
        <f>VLOOKUP(Table14[[#This Row],[S/No]],Table8[#All],7,FALSE)</f>
        <v>0</v>
      </c>
      <c r="E44" s="28">
        <f>VLOOKUP(Table14[[#This Row],[S/No]],Table8[#All],11,FALSE)</f>
        <v>0</v>
      </c>
      <c r="F44" s="28">
        <f>VLOOKUP(Table14[[#This Row],[S/No]],Table8[#All],15,FALSE)</f>
        <v>0</v>
      </c>
      <c r="G44" s="28">
        <f>VLOOKUP(Table14[[#This Row],[S/No]],Table8[#All],19,FALSE)</f>
        <v>0</v>
      </c>
      <c r="H44" s="28">
        <f>VLOOKUP(Table14[[#This Row],[S/No]],Table8[#All],23,FALSE)</f>
        <v>0</v>
      </c>
      <c r="I44" s="28">
        <f>VLOOKUP(Table14[[#This Row],[S/No]],Table8[#All],27,FALSE)</f>
        <v>0</v>
      </c>
      <c r="J44" s="28">
        <f>VLOOKUP(Table14[[#This Row],[S/No]],Table8[#All],31,FALSE)</f>
        <v>0</v>
      </c>
      <c r="K44" s="28">
        <f>VLOOKUP(Table14[[#This Row],[S/No]],Table8[#All],35,FALSE)</f>
        <v>0</v>
      </c>
      <c r="L44" s="28">
        <f>VLOOKUP(Table14[[#This Row],[S/No]],Table8[#All],39,FALSE)</f>
        <v>0</v>
      </c>
      <c r="M44" s="28">
        <f>VLOOKUP(Table14[[#This Row],[S/No]],Table8[#All],43,FALSE)</f>
        <v>0</v>
      </c>
      <c r="N44" s="28">
        <v>10</v>
      </c>
      <c r="O44" s="28">
        <f t="shared" si="0"/>
        <v>0</v>
      </c>
      <c r="P44" s="36">
        <f>SUM(Table14[[#This Row],[Ctz]:[Spell]])/(Table14[[#This Row],[No. of Sub.]]*100)</f>
        <v>0</v>
      </c>
      <c r="Q44" s="28" t="b">
        <f t="shared" si="2"/>
        <v>0</v>
      </c>
    </row>
    <row r="45" spans="1:17" x14ac:dyDescent="0.75">
      <c r="A45" s="28">
        <v>37</v>
      </c>
      <c r="B45" s="28">
        <f>VLOOKUP(Table14[[#This Row],[S/No]],DATABASE!A42:AQ91,2,FALSE)</f>
        <v>0</v>
      </c>
      <c r="C45" s="28">
        <f>VLOOKUP(Table14[[#This Row],[S/No]],DATABASE!A42:AQ91,3,FALSE)</f>
        <v>0</v>
      </c>
      <c r="D45" s="28">
        <f>VLOOKUP(Table14[[#This Row],[S/No]],Table8[#All],7,FALSE)</f>
        <v>0</v>
      </c>
      <c r="E45" s="28">
        <f>VLOOKUP(Table14[[#This Row],[S/No]],Table8[#All],11,FALSE)</f>
        <v>0</v>
      </c>
      <c r="F45" s="28">
        <f>VLOOKUP(Table14[[#This Row],[S/No]],Table8[#All],15,FALSE)</f>
        <v>0</v>
      </c>
      <c r="G45" s="28">
        <f>VLOOKUP(Table14[[#This Row],[S/No]],Table8[#All],19,FALSE)</f>
        <v>0</v>
      </c>
      <c r="H45" s="28">
        <f>VLOOKUP(Table14[[#This Row],[S/No]],Table8[#All],23,FALSE)</f>
        <v>0</v>
      </c>
      <c r="I45" s="28">
        <f>VLOOKUP(Table14[[#This Row],[S/No]],Table8[#All],27,FALSE)</f>
        <v>0</v>
      </c>
      <c r="J45" s="28">
        <f>VLOOKUP(Table14[[#This Row],[S/No]],Table8[#All],31,FALSE)</f>
        <v>0</v>
      </c>
      <c r="K45" s="28">
        <f>VLOOKUP(Table14[[#This Row],[S/No]],Table8[#All],35,FALSE)</f>
        <v>0</v>
      </c>
      <c r="L45" s="28">
        <f>VLOOKUP(Table14[[#This Row],[S/No]],Table8[#All],39,FALSE)</f>
        <v>0</v>
      </c>
      <c r="M45" s="28">
        <f>VLOOKUP(Table14[[#This Row],[S/No]],Table8[#All],43,FALSE)</f>
        <v>0</v>
      </c>
      <c r="N45" s="28">
        <v>10</v>
      </c>
      <c r="O45" s="28">
        <f t="shared" si="0"/>
        <v>0</v>
      </c>
      <c r="P45" s="36">
        <f>SUM(Table14[[#This Row],[Ctz]:[Spell]])/(Table14[[#This Row],[No. of Sub.]]*100)</f>
        <v>0</v>
      </c>
      <c r="Q45" s="28" t="b">
        <f t="shared" si="2"/>
        <v>0</v>
      </c>
    </row>
    <row r="46" spans="1:17" x14ac:dyDescent="0.75">
      <c r="A46" s="28">
        <v>38</v>
      </c>
      <c r="B46" s="28">
        <f>VLOOKUP(Table14[[#This Row],[S/No]],DATABASE!A43:AQ92,2,FALSE)</f>
        <v>0</v>
      </c>
      <c r="C46" s="28">
        <f>VLOOKUP(Table14[[#This Row],[S/No]],DATABASE!A43:AQ92,3,FALSE)</f>
        <v>0</v>
      </c>
      <c r="D46" s="28">
        <f>VLOOKUP(Table14[[#This Row],[S/No]],Table8[#All],7,FALSE)</f>
        <v>0</v>
      </c>
      <c r="E46" s="28">
        <f>VLOOKUP(Table14[[#This Row],[S/No]],Table8[#All],11,FALSE)</f>
        <v>0</v>
      </c>
      <c r="F46" s="28">
        <f>VLOOKUP(Table14[[#This Row],[S/No]],Table8[#All],15,FALSE)</f>
        <v>0</v>
      </c>
      <c r="G46" s="28">
        <f>VLOOKUP(Table14[[#This Row],[S/No]],Table8[#All],19,FALSE)</f>
        <v>0</v>
      </c>
      <c r="H46" s="28">
        <f>VLOOKUP(Table14[[#This Row],[S/No]],Table8[#All],23,FALSE)</f>
        <v>0</v>
      </c>
      <c r="I46" s="28">
        <f>VLOOKUP(Table14[[#This Row],[S/No]],Table8[#All],27,FALSE)</f>
        <v>0</v>
      </c>
      <c r="J46" s="28">
        <f>VLOOKUP(Table14[[#This Row],[S/No]],Table8[#All],31,FALSE)</f>
        <v>0</v>
      </c>
      <c r="K46" s="28">
        <f>VLOOKUP(Table14[[#This Row],[S/No]],Table8[#All],35,FALSE)</f>
        <v>0</v>
      </c>
      <c r="L46" s="28">
        <f>VLOOKUP(Table14[[#This Row],[S/No]],Table8[#All],39,FALSE)</f>
        <v>0</v>
      </c>
      <c r="M46" s="28">
        <f>VLOOKUP(Table14[[#This Row],[S/No]],Table8[#All],43,FALSE)</f>
        <v>0</v>
      </c>
      <c r="N46" s="28">
        <v>10</v>
      </c>
      <c r="O46" s="28">
        <f t="shared" si="0"/>
        <v>0</v>
      </c>
      <c r="P46" s="36">
        <f>SUM(Table14[[#This Row],[Ctz]:[Spell]])/(Table14[[#This Row],[No. of Sub.]]*100)</f>
        <v>0</v>
      </c>
      <c r="Q46" s="28" t="b">
        <f t="shared" si="2"/>
        <v>0</v>
      </c>
    </row>
    <row r="47" spans="1:17" x14ac:dyDescent="0.75">
      <c r="A47" s="28">
        <v>39</v>
      </c>
      <c r="B47" s="28">
        <f>VLOOKUP(Table14[[#This Row],[S/No]],DATABASE!A44:AQ93,2,FALSE)</f>
        <v>0</v>
      </c>
      <c r="C47" s="28">
        <f>VLOOKUP(Table14[[#This Row],[S/No]],DATABASE!A44:AQ93,3,FALSE)</f>
        <v>0</v>
      </c>
      <c r="D47" s="28">
        <f>VLOOKUP(Table14[[#This Row],[S/No]],Table8[#All],7,FALSE)</f>
        <v>0</v>
      </c>
      <c r="E47" s="28">
        <f>VLOOKUP(Table14[[#This Row],[S/No]],Table8[#All],11,FALSE)</f>
        <v>0</v>
      </c>
      <c r="F47" s="28">
        <f>VLOOKUP(Table14[[#This Row],[S/No]],Table8[#All],15,FALSE)</f>
        <v>0</v>
      </c>
      <c r="G47" s="28">
        <f>VLOOKUP(Table14[[#This Row],[S/No]],Table8[#All],19,FALSE)</f>
        <v>0</v>
      </c>
      <c r="H47" s="28">
        <f>VLOOKUP(Table14[[#This Row],[S/No]],Table8[#All],23,FALSE)</f>
        <v>0</v>
      </c>
      <c r="I47" s="28">
        <f>VLOOKUP(Table14[[#This Row],[S/No]],Table8[#All],27,FALSE)</f>
        <v>0</v>
      </c>
      <c r="J47" s="28">
        <f>VLOOKUP(Table14[[#This Row],[S/No]],Table8[#All],31,FALSE)</f>
        <v>0</v>
      </c>
      <c r="K47" s="28">
        <f>VLOOKUP(Table14[[#This Row],[S/No]],Table8[#All],35,FALSE)</f>
        <v>0</v>
      </c>
      <c r="L47" s="28">
        <f>VLOOKUP(Table14[[#This Row],[S/No]],Table8[#All],39,FALSE)</f>
        <v>0</v>
      </c>
      <c r="M47" s="28">
        <f>VLOOKUP(Table14[[#This Row],[S/No]],Table8[#All],43,FALSE)</f>
        <v>0</v>
      </c>
      <c r="N47" s="28">
        <v>10</v>
      </c>
      <c r="O47" s="28">
        <f t="shared" si="0"/>
        <v>0</v>
      </c>
      <c r="P47" s="36">
        <f>SUM(Table14[[#This Row],[Ctz]:[Spell]])/(Table14[[#This Row],[No. of Sub.]]*100)</f>
        <v>0</v>
      </c>
      <c r="Q47" s="28" t="b">
        <f t="shared" si="2"/>
        <v>0</v>
      </c>
    </row>
    <row r="48" spans="1:17" x14ac:dyDescent="0.75">
      <c r="A48" s="28">
        <v>40</v>
      </c>
      <c r="B48" s="28">
        <f>VLOOKUP(Table14[[#This Row],[S/No]],DATABASE!A45:AQ94,2,FALSE)</f>
        <v>0</v>
      </c>
      <c r="C48" s="28">
        <f>VLOOKUP(Table14[[#This Row],[S/No]],DATABASE!A45:AQ94,3,FALSE)</f>
        <v>0</v>
      </c>
      <c r="D48" s="28">
        <f>VLOOKUP(Table14[[#This Row],[S/No]],Table8[#All],7,FALSE)</f>
        <v>0</v>
      </c>
      <c r="E48" s="28">
        <f>VLOOKUP(Table14[[#This Row],[S/No]],Table8[#All],11,FALSE)</f>
        <v>0</v>
      </c>
      <c r="F48" s="28">
        <f>VLOOKUP(Table14[[#This Row],[S/No]],Table8[#All],15,FALSE)</f>
        <v>0</v>
      </c>
      <c r="G48" s="28">
        <f>VLOOKUP(Table14[[#This Row],[S/No]],Table8[#All],19,FALSE)</f>
        <v>0</v>
      </c>
      <c r="H48" s="28">
        <f>VLOOKUP(Table14[[#This Row],[S/No]],Table8[#All],23,FALSE)</f>
        <v>0</v>
      </c>
      <c r="I48" s="28">
        <f>VLOOKUP(Table14[[#This Row],[S/No]],Table8[#All],27,FALSE)</f>
        <v>0</v>
      </c>
      <c r="J48" s="28">
        <f>VLOOKUP(Table14[[#This Row],[S/No]],Table8[#All],31,FALSE)</f>
        <v>0</v>
      </c>
      <c r="K48" s="28">
        <f>VLOOKUP(Table14[[#This Row],[S/No]],Table8[#All],35,FALSE)</f>
        <v>0</v>
      </c>
      <c r="L48" s="28">
        <f>VLOOKUP(Table14[[#This Row],[S/No]],Table8[#All],39,FALSE)</f>
        <v>0</v>
      </c>
      <c r="M48" s="28">
        <f>VLOOKUP(Table14[[#This Row],[S/No]],Table8[#All],43,FALSE)</f>
        <v>0</v>
      </c>
      <c r="N48" s="28">
        <v>10</v>
      </c>
      <c r="O48" s="28">
        <f t="shared" si="0"/>
        <v>0</v>
      </c>
      <c r="P48" s="36">
        <f>SUM(Table14[[#This Row],[Ctz]:[Spell]])/(Table14[[#This Row],[No. of Sub.]]*100)</f>
        <v>0</v>
      </c>
      <c r="Q48" s="28" t="b">
        <f t="shared" si="2"/>
        <v>0</v>
      </c>
    </row>
    <row r="49" spans="1:17" x14ac:dyDescent="0.75">
      <c r="A49" s="28">
        <v>41</v>
      </c>
      <c r="B49" s="28">
        <f>VLOOKUP(Table14[[#This Row],[S/No]],DATABASE!A46:AQ95,2,FALSE)</f>
        <v>0</v>
      </c>
      <c r="C49" s="28">
        <f>VLOOKUP(Table14[[#This Row],[S/No]],DATABASE!A46:AQ95,3,FALSE)</f>
        <v>0</v>
      </c>
      <c r="D49" s="28">
        <f>VLOOKUP(Table14[[#This Row],[S/No]],Table8[#All],7,FALSE)</f>
        <v>0</v>
      </c>
      <c r="E49" s="28">
        <f>VLOOKUP(Table14[[#This Row],[S/No]],Table8[#All],11,FALSE)</f>
        <v>0</v>
      </c>
      <c r="F49" s="28">
        <f>VLOOKUP(Table14[[#This Row],[S/No]],Table8[#All],15,FALSE)</f>
        <v>0</v>
      </c>
      <c r="G49" s="28">
        <f>VLOOKUP(Table14[[#This Row],[S/No]],Table8[#All],19,FALSE)</f>
        <v>0</v>
      </c>
      <c r="H49" s="28">
        <f>VLOOKUP(Table14[[#This Row],[S/No]],Table8[#All],23,FALSE)</f>
        <v>0</v>
      </c>
      <c r="I49" s="28">
        <f>VLOOKUP(Table14[[#This Row],[S/No]],Table8[#All],27,FALSE)</f>
        <v>0</v>
      </c>
      <c r="J49" s="28">
        <f>VLOOKUP(Table14[[#This Row],[S/No]],Table8[#All],31,FALSE)</f>
        <v>0</v>
      </c>
      <c r="K49" s="28">
        <f>VLOOKUP(Table14[[#This Row],[S/No]],Table8[#All],35,FALSE)</f>
        <v>0</v>
      </c>
      <c r="L49" s="28">
        <f>VLOOKUP(Table14[[#This Row],[S/No]],Table8[#All],39,FALSE)</f>
        <v>0</v>
      </c>
      <c r="M49" s="28">
        <f>VLOOKUP(Table14[[#This Row],[S/No]],Table8[#All],43,FALSE)</f>
        <v>0</v>
      </c>
      <c r="N49" s="28">
        <v>10</v>
      </c>
      <c r="O49" s="28">
        <f t="shared" si="0"/>
        <v>0</v>
      </c>
      <c r="P49" s="36">
        <f>SUM(Table14[[#This Row],[Ctz]:[Spell]])/(Table14[[#This Row],[No. of Sub.]]*100)</f>
        <v>0</v>
      </c>
      <c r="Q49" s="28" t="b">
        <f t="shared" si="2"/>
        <v>0</v>
      </c>
    </row>
    <row r="50" spans="1:17" x14ac:dyDescent="0.75">
      <c r="A50" s="28">
        <v>42</v>
      </c>
      <c r="B50" s="28">
        <f>VLOOKUP(Table14[[#This Row],[S/No]],DATABASE!A47:AQ96,2,FALSE)</f>
        <v>0</v>
      </c>
      <c r="C50" s="28">
        <f>VLOOKUP(Table14[[#This Row],[S/No]],DATABASE!A47:AQ96,3,FALSE)</f>
        <v>0</v>
      </c>
      <c r="D50" s="28">
        <f>VLOOKUP(Table14[[#This Row],[S/No]],Table8[#All],7,FALSE)</f>
        <v>0</v>
      </c>
      <c r="E50" s="28">
        <f>VLOOKUP(Table14[[#This Row],[S/No]],Table8[#All],11,FALSE)</f>
        <v>0</v>
      </c>
      <c r="F50" s="28">
        <f>VLOOKUP(Table14[[#This Row],[S/No]],Table8[#All],15,FALSE)</f>
        <v>0</v>
      </c>
      <c r="G50" s="28">
        <f>VLOOKUP(Table14[[#This Row],[S/No]],Table8[#All],19,FALSE)</f>
        <v>0</v>
      </c>
      <c r="H50" s="28">
        <f>VLOOKUP(Table14[[#This Row],[S/No]],Table8[#All],23,FALSE)</f>
        <v>0</v>
      </c>
      <c r="I50" s="28">
        <f>VLOOKUP(Table14[[#This Row],[S/No]],Table8[#All],27,FALSE)</f>
        <v>0</v>
      </c>
      <c r="J50" s="28">
        <f>VLOOKUP(Table14[[#This Row],[S/No]],Table8[#All],31,FALSE)</f>
        <v>0</v>
      </c>
      <c r="K50" s="28">
        <f>VLOOKUP(Table14[[#This Row],[S/No]],Table8[#All],35,FALSE)</f>
        <v>0</v>
      </c>
      <c r="L50" s="28">
        <f>VLOOKUP(Table14[[#This Row],[S/No]],Table8[#All],39,FALSE)</f>
        <v>0</v>
      </c>
      <c r="M50" s="28">
        <f>VLOOKUP(Table14[[#This Row],[S/No]],Table8[#All],43,FALSE)</f>
        <v>0</v>
      </c>
      <c r="N50" s="28">
        <v>10</v>
      </c>
      <c r="O50" s="28">
        <f t="shared" si="0"/>
        <v>0</v>
      </c>
      <c r="P50" s="36">
        <f>SUM(Table14[[#This Row],[Ctz]:[Spell]])/(Table14[[#This Row],[No. of Sub.]]*100)</f>
        <v>0</v>
      </c>
      <c r="Q50" s="28" t="b">
        <f t="shared" si="2"/>
        <v>0</v>
      </c>
    </row>
    <row r="51" spans="1:17" x14ac:dyDescent="0.75">
      <c r="A51" s="28">
        <v>43</v>
      </c>
      <c r="B51" s="28">
        <f>VLOOKUP(Table14[[#This Row],[S/No]],DATABASE!A48:AQ97,2,FALSE)</f>
        <v>0</v>
      </c>
      <c r="C51" s="28">
        <f>VLOOKUP(Table14[[#This Row],[S/No]],DATABASE!A48:AQ97,3,FALSE)</f>
        <v>0</v>
      </c>
      <c r="D51" s="28">
        <f>VLOOKUP(Table14[[#This Row],[S/No]],Table8[#All],7,FALSE)</f>
        <v>0</v>
      </c>
      <c r="E51" s="28">
        <f>VLOOKUP(Table14[[#This Row],[S/No]],Table8[#All],11,FALSE)</f>
        <v>0</v>
      </c>
      <c r="F51" s="28">
        <f>VLOOKUP(Table14[[#This Row],[S/No]],Table8[#All],15,FALSE)</f>
        <v>0</v>
      </c>
      <c r="G51" s="28">
        <f>VLOOKUP(Table14[[#This Row],[S/No]],Table8[#All],19,FALSE)</f>
        <v>0</v>
      </c>
      <c r="H51" s="28">
        <f>VLOOKUP(Table14[[#This Row],[S/No]],Table8[#All],23,FALSE)</f>
        <v>0</v>
      </c>
      <c r="I51" s="28">
        <f>VLOOKUP(Table14[[#This Row],[S/No]],Table8[#All],27,FALSE)</f>
        <v>0</v>
      </c>
      <c r="J51" s="28">
        <f>VLOOKUP(Table14[[#This Row],[S/No]],Table8[#All],31,FALSE)</f>
        <v>0</v>
      </c>
      <c r="K51" s="28">
        <f>VLOOKUP(Table14[[#This Row],[S/No]],Table8[#All],35,FALSE)</f>
        <v>0</v>
      </c>
      <c r="L51" s="28">
        <f>VLOOKUP(Table14[[#This Row],[S/No]],Table8[#All],39,FALSE)</f>
        <v>0</v>
      </c>
      <c r="M51" s="28">
        <f>VLOOKUP(Table14[[#This Row],[S/No]],Table8[#All],43,FALSE)</f>
        <v>0</v>
      </c>
      <c r="N51" s="28">
        <v>10</v>
      </c>
      <c r="O51" s="28">
        <f t="shared" si="0"/>
        <v>0</v>
      </c>
      <c r="P51" s="36">
        <f>SUM(Table14[[#This Row],[Ctz]:[Spell]])/(Table14[[#This Row],[No. of Sub.]]*100)</f>
        <v>0</v>
      </c>
      <c r="Q51" s="28" t="b">
        <f t="shared" si="2"/>
        <v>0</v>
      </c>
    </row>
    <row r="52" spans="1:17" x14ac:dyDescent="0.75">
      <c r="A52" s="28">
        <v>44</v>
      </c>
      <c r="B52" s="28">
        <f>VLOOKUP(Table14[[#This Row],[S/No]],DATABASE!A49:AQ98,2,FALSE)</f>
        <v>0</v>
      </c>
      <c r="C52" s="28">
        <f>VLOOKUP(Table14[[#This Row],[S/No]],DATABASE!A49:AQ98,3,FALSE)</f>
        <v>0</v>
      </c>
      <c r="D52" s="28">
        <f>VLOOKUP(Table14[[#This Row],[S/No]],Table8[#All],7,FALSE)</f>
        <v>0</v>
      </c>
      <c r="E52" s="28">
        <f>VLOOKUP(Table14[[#This Row],[S/No]],Table8[#All],11,FALSE)</f>
        <v>0</v>
      </c>
      <c r="F52" s="28">
        <f>VLOOKUP(Table14[[#This Row],[S/No]],Table8[#All],15,FALSE)</f>
        <v>0</v>
      </c>
      <c r="G52" s="28">
        <f>VLOOKUP(Table14[[#This Row],[S/No]],Table8[#All],19,FALSE)</f>
        <v>0</v>
      </c>
      <c r="H52" s="28">
        <f>VLOOKUP(Table14[[#This Row],[S/No]],Table8[#All],23,FALSE)</f>
        <v>0</v>
      </c>
      <c r="I52" s="28">
        <f>VLOOKUP(Table14[[#This Row],[S/No]],Table8[#All],27,FALSE)</f>
        <v>0</v>
      </c>
      <c r="J52" s="28">
        <f>VLOOKUP(Table14[[#This Row],[S/No]],Table8[#All],31,FALSE)</f>
        <v>0</v>
      </c>
      <c r="K52" s="28">
        <f>VLOOKUP(Table14[[#This Row],[S/No]],Table8[#All],35,FALSE)</f>
        <v>0</v>
      </c>
      <c r="L52" s="28">
        <f>VLOOKUP(Table14[[#This Row],[S/No]],Table8[#All],39,FALSE)</f>
        <v>0</v>
      </c>
      <c r="M52" s="28">
        <f>VLOOKUP(Table14[[#This Row],[S/No]],Table8[#All],43,FALSE)</f>
        <v>0</v>
      </c>
      <c r="N52" s="28">
        <v>10</v>
      </c>
      <c r="O52" s="28">
        <f t="shared" si="0"/>
        <v>0</v>
      </c>
      <c r="P52" s="36">
        <f>SUM(Table14[[#This Row],[Ctz]:[Spell]])/(Table14[[#This Row],[No. of Sub.]]*100)</f>
        <v>0</v>
      </c>
      <c r="Q52" s="28" t="b">
        <f t="shared" si="2"/>
        <v>0</v>
      </c>
    </row>
    <row r="53" spans="1:17" x14ac:dyDescent="0.75">
      <c r="A53" s="28">
        <v>45</v>
      </c>
      <c r="B53" s="28">
        <f>VLOOKUP(Table14[[#This Row],[S/No]],DATABASE!A50:AQ99,2,FALSE)</f>
        <v>0</v>
      </c>
      <c r="C53" s="28">
        <f>VLOOKUP(Table14[[#This Row],[S/No]],DATABASE!A50:AQ99,3,FALSE)</f>
        <v>0</v>
      </c>
      <c r="D53" s="28">
        <f>VLOOKUP(Table14[[#This Row],[S/No]],Table8[#All],7,FALSE)</f>
        <v>0</v>
      </c>
      <c r="E53" s="28">
        <f>VLOOKUP(Table14[[#This Row],[S/No]],Table8[#All],11,FALSE)</f>
        <v>0</v>
      </c>
      <c r="F53" s="28">
        <f>VLOOKUP(Table14[[#This Row],[S/No]],Table8[#All],15,FALSE)</f>
        <v>0</v>
      </c>
      <c r="G53" s="28">
        <f>VLOOKUP(Table14[[#This Row],[S/No]],Table8[#All],19,FALSE)</f>
        <v>0</v>
      </c>
      <c r="H53" s="28">
        <f>VLOOKUP(Table14[[#This Row],[S/No]],Table8[#All],23,FALSE)</f>
        <v>0</v>
      </c>
      <c r="I53" s="28">
        <f>VLOOKUP(Table14[[#This Row],[S/No]],Table8[#All],27,FALSE)</f>
        <v>0</v>
      </c>
      <c r="J53" s="28">
        <f>VLOOKUP(Table14[[#This Row],[S/No]],Table8[#All],31,FALSE)</f>
        <v>0</v>
      </c>
      <c r="K53" s="28">
        <f>VLOOKUP(Table14[[#This Row],[S/No]],Table8[#All],35,FALSE)</f>
        <v>0</v>
      </c>
      <c r="L53" s="28">
        <f>VLOOKUP(Table14[[#This Row],[S/No]],Table8[#All],39,FALSE)</f>
        <v>0</v>
      </c>
      <c r="M53" s="28">
        <f>VLOOKUP(Table14[[#This Row],[S/No]],Table8[#All],43,FALSE)</f>
        <v>0</v>
      </c>
      <c r="N53" s="28">
        <v>10</v>
      </c>
      <c r="O53" s="28">
        <f t="shared" si="0"/>
        <v>0</v>
      </c>
      <c r="P53" s="36">
        <f>SUM(Table14[[#This Row],[Ctz]:[Spell]])/(Table14[[#This Row],[No. of Sub.]]*100)</f>
        <v>0</v>
      </c>
      <c r="Q53" s="28" t="b">
        <f t="shared" si="2"/>
        <v>0</v>
      </c>
    </row>
    <row r="54" spans="1:17" x14ac:dyDescent="0.75">
      <c r="A54" s="28">
        <v>46</v>
      </c>
      <c r="B54" s="28">
        <f>VLOOKUP(Table14[[#This Row],[S/No]],DATABASE!A51:AQ100,2,FALSE)</f>
        <v>0</v>
      </c>
      <c r="C54" s="28">
        <f>VLOOKUP(Table14[[#This Row],[S/No]],DATABASE!A51:AQ100,3,FALSE)</f>
        <v>0</v>
      </c>
      <c r="D54" s="28">
        <f>VLOOKUP(Table14[[#This Row],[S/No]],Table8[#All],7,FALSE)</f>
        <v>0</v>
      </c>
      <c r="E54" s="28">
        <f>VLOOKUP(Table14[[#This Row],[S/No]],Table8[#All],11,FALSE)</f>
        <v>0</v>
      </c>
      <c r="F54" s="28">
        <f>VLOOKUP(Table14[[#This Row],[S/No]],Table8[#All],15,FALSE)</f>
        <v>0</v>
      </c>
      <c r="G54" s="28">
        <f>VLOOKUP(Table14[[#This Row],[S/No]],Table8[#All],19,FALSE)</f>
        <v>0</v>
      </c>
      <c r="H54" s="28">
        <f>VLOOKUP(Table14[[#This Row],[S/No]],Table8[#All],23,FALSE)</f>
        <v>0</v>
      </c>
      <c r="I54" s="28">
        <f>VLOOKUP(Table14[[#This Row],[S/No]],Table8[#All],27,FALSE)</f>
        <v>0</v>
      </c>
      <c r="J54" s="28">
        <f>VLOOKUP(Table14[[#This Row],[S/No]],Table8[#All],31,FALSE)</f>
        <v>0</v>
      </c>
      <c r="K54" s="28">
        <f>VLOOKUP(Table14[[#This Row],[S/No]],Table8[#All],35,FALSE)</f>
        <v>0</v>
      </c>
      <c r="L54" s="28">
        <f>VLOOKUP(Table14[[#This Row],[S/No]],Table8[#All],39,FALSE)</f>
        <v>0</v>
      </c>
      <c r="M54" s="28">
        <f>VLOOKUP(Table14[[#This Row],[S/No]],Table8[#All],43,FALSE)</f>
        <v>0</v>
      </c>
      <c r="N54" s="28">
        <v>10</v>
      </c>
      <c r="O54" s="28">
        <f t="shared" si="0"/>
        <v>0</v>
      </c>
      <c r="P54" s="36">
        <f>SUM(Table14[[#This Row],[Ctz]:[Spell]])/(Table14[[#This Row],[No. of Sub.]]*100)</f>
        <v>0</v>
      </c>
      <c r="Q54" s="28" t="b">
        <f t="shared" si="2"/>
        <v>0</v>
      </c>
    </row>
    <row r="55" spans="1:17" x14ac:dyDescent="0.75">
      <c r="A55" s="28">
        <v>47</v>
      </c>
      <c r="B55" s="28">
        <f>VLOOKUP(Table14[[#This Row],[S/No]],DATABASE!A52:AQ101,2,FALSE)</f>
        <v>0</v>
      </c>
      <c r="C55" s="28">
        <f>VLOOKUP(Table14[[#This Row],[S/No]],DATABASE!A52:AQ101,3,FALSE)</f>
        <v>0</v>
      </c>
      <c r="D55" s="28">
        <f>VLOOKUP(Table14[[#This Row],[S/No]],Table8[#All],7,FALSE)</f>
        <v>0</v>
      </c>
      <c r="E55" s="28">
        <f>VLOOKUP(Table14[[#This Row],[S/No]],Table8[#All],11,FALSE)</f>
        <v>0</v>
      </c>
      <c r="F55" s="28">
        <f>VLOOKUP(Table14[[#This Row],[S/No]],Table8[#All],15,FALSE)</f>
        <v>0</v>
      </c>
      <c r="G55" s="28">
        <f>VLOOKUP(Table14[[#This Row],[S/No]],Table8[#All],19,FALSE)</f>
        <v>0</v>
      </c>
      <c r="H55" s="28">
        <f>VLOOKUP(Table14[[#This Row],[S/No]],Table8[#All],23,FALSE)</f>
        <v>0</v>
      </c>
      <c r="I55" s="28">
        <f>VLOOKUP(Table14[[#This Row],[S/No]],Table8[#All],27,FALSE)</f>
        <v>0</v>
      </c>
      <c r="J55" s="28">
        <f>VLOOKUP(Table14[[#This Row],[S/No]],Table8[#All],31,FALSE)</f>
        <v>0</v>
      </c>
      <c r="K55" s="28">
        <f>VLOOKUP(Table14[[#This Row],[S/No]],Table8[#All],35,FALSE)</f>
        <v>0</v>
      </c>
      <c r="L55" s="28">
        <f>VLOOKUP(Table14[[#This Row],[S/No]],Table8[#All],39,FALSE)</f>
        <v>0</v>
      </c>
      <c r="M55" s="28">
        <f>VLOOKUP(Table14[[#This Row],[S/No]],Table8[#All],43,FALSE)</f>
        <v>0</v>
      </c>
      <c r="N55" s="28">
        <v>10</v>
      </c>
      <c r="O55" s="28">
        <f t="shared" si="0"/>
        <v>0</v>
      </c>
      <c r="P55" s="36">
        <f>SUM(Table14[[#This Row],[Ctz]:[Spell]])/(Table14[[#This Row],[No. of Sub.]]*100)</f>
        <v>0</v>
      </c>
      <c r="Q55" s="28" t="b">
        <f t="shared" si="2"/>
        <v>0</v>
      </c>
    </row>
    <row r="56" spans="1:17" x14ac:dyDescent="0.75">
      <c r="A56" s="28">
        <v>48</v>
      </c>
      <c r="B56" s="28">
        <f>VLOOKUP(Table14[[#This Row],[S/No]],DATABASE!A53:AQ102,2,FALSE)</f>
        <v>0</v>
      </c>
      <c r="C56" s="28">
        <f>VLOOKUP(Table14[[#This Row],[S/No]],DATABASE!A53:AQ102,3,FALSE)</f>
        <v>0</v>
      </c>
      <c r="D56" s="28">
        <f>VLOOKUP(Table14[[#This Row],[S/No]],Table8[#All],7,FALSE)</f>
        <v>0</v>
      </c>
      <c r="E56" s="28">
        <f>VLOOKUP(Table14[[#This Row],[S/No]],Table8[#All],11,FALSE)</f>
        <v>0</v>
      </c>
      <c r="F56" s="28">
        <f>VLOOKUP(Table14[[#This Row],[S/No]],Table8[#All],15,FALSE)</f>
        <v>0</v>
      </c>
      <c r="G56" s="28">
        <f>VLOOKUP(Table14[[#This Row],[S/No]],Table8[#All],19,FALSE)</f>
        <v>0</v>
      </c>
      <c r="H56" s="28">
        <f>VLOOKUP(Table14[[#This Row],[S/No]],Table8[#All],23,FALSE)</f>
        <v>0</v>
      </c>
      <c r="I56" s="28">
        <f>VLOOKUP(Table14[[#This Row],[S/No]],Table8[#All],27,FALSE)</f>
        <v>0</v>
      </c>
      <c r="J56" s="28">
        <f>VLOOKUP(Table14[[#This Row],[S/No]],Table8[#All],31,FALSE)</f>
        <v>0</v>
      </c>
      <c r="K56" s="28">
        <f>VLOOKUP(Table14[[#This Row],[S/No]],Table8[#All],35,FALSE)</f>
        <v>0</v>
      </c>
      <c r="L56" s="28">
        <f>VLOOKUP(Table14[[#This Row],[S/No]],Table8[#All],39,FALSE)</f>
        <v>0</v>
      </c>
      <c r="M56" s="28">
        <f>VLOOKUP(Table14[[#This Row],[S/No]],Table8[#All],43,FALSE)</f>
        <v>0</v>
      </c>
      <c r="N56" s="28">
        <v>10</v>
      </c>
      <c r="O56" s="28">
        <f t="shared" si="0"/>
        <v>0</v>
      </c>
      <c r="P56" s="36">
        <f>SUM(Table14[[#This Row],[Ctz]:[Spell]])/(Table14[[#This Row],[No. of Sub.]]*100)</f>
        <v>0</v>
      </c>
      <c r="Q56" s="28" t="b">
        <f t="shared" si="2"/>
        <v>0</v>
      </c>
    </row>
    <row r="57" spans="1:17" x14ac:dyDescent="0.75">
      <c r="A57" s="28">
        <v>49</v>
      </c>
      <c r="B57" s="28">
        <f>VLOOKUP(Table14[[#This Row],[S/No]],DATABASE!A54:AQ103,2,FALSE)</f>
        <v>0</v>
      </c>
      <c r="C57" s="28">
        <f>VLOOKUP(Table14[[#This Row],[S/No]],DATABASE!A54:AQ103,3,FALSE)</f>
        <v>0</v>
      </c>
      <c r="D57" s="28">
        <f>VLOOKUP(Table14[[#This Row],[S/No]],Table8[#All],7,FALSE)</f>
        <v>0</v>
      </c>
      <c r="E57" s="28">
        <f>VLOOKUP(Table14[[#This Row],[S/No]],Table8[#All],11,FALSE)</f>
        <v>0</v>
      </c>
      <c r="F57" s="28">
        <f>VLOOKUP(Table14[[#This Row],[S/No]],Table8[#All],15,FALSE)</f>
        <v>0</v>
      </c>
      <c r="G57" s="28">
        <f>VLOOKUP(Table14[[#This Row],[S/No]],Table8[#All],19,FALSE)</f>
        <v>0</v>
      </c>
      <c r="H57" s="28">
        <f>VLOOKUP(Table14[[#This Row],[S/No]],Table8[#All],23,FALSE)</f>
        <v>0</v>
      </c>
      <c r="I57" s="28">
        <f>VLOOKUP(Table14[[#This Row],[S/No]],Table8[#All],27,FALSE)</f>
        <v>0</v>
      </c>
      <c r="J57" s="28">
        <f>VLOOKUP(Table14[[#This Row],[S/No]],Table8[#All],31,FALSE)</f>
        <v>0</v>
      </c>
      <c r="K57" s="28">
        <f>VLOOKUP(Table14[[#This Row],[S/No]],Table8[#All],35,FALSE)</f>
        <v>0</v>
      </c>
      <c r="L57" s="28">
        <f>VLOOKUP(Table14[[#This Row],[S/No]],Table8[#All],39,FALSE)</f>
        <v>0</v>
      </c>
      <c r="M57" s="28">
        <f>VLOOKUP(Table14[[#This Row],[S/No]],Table8[#All],43,FALSE)</f>
        <v>0</v>
      </c>
      <c r="N57" s="28">
        <v>10</v>
      </c>
      <c r="O57" s="28">
        <f t="shared" si="0"/>
        <v>0</v>
      </c>
      <c r="P57" s="36">
        <f>SUM(Table14[[#This Row],[Ctz]:[Spell]])/(Table14[[#This Row],[No. of Sub.]]*100)</f>
        <v>0</v>
      </c>
      <c r="Q57" s="28" t="b">
        <f t="shared" si="2"/>
        <v>0</v>
      </c>
    </row>
    <row r="58" spans="1:17" x14ac:dyDescent="0.75">
      <c r="A58" s="28">
        <v>50</v>
      </c>
      <c r="B58" s="28">
        <f>VLOOKUP(Table14[[#This Row],[S/No]],DATABASE!A55:AQ104,2,FALSE)</f>
        <v>0</v>
      </c>
      <c r="C58" s="28">
        <f>VLOOKUP(Table14[[#This Row],[S/No]],DATABASE!A55:AQ104,3,FALSE)</f>
        <v>0</v>
      </c>
      <c r="D58" s="28">
        <f>VLOOKUP(Table14[[#This Row],[S/No]],Table8[#All],7,FALSE)</f>
        <v>0</v>
      </c>
      <c r="E58" s="28">
        <f>VLOOKUP(Table14[[#This Row],[S/No]],Table8[#All],11,FALSE)</f>
        <v>0</v>
      </c>
      <c r="F58" s="28">
        <f>VLOOKUP(Table14[[#This Row],[S/No]],Table8[#All],15,FALSE)</f>
        <v>0</v>
      </c>
      <c r="G58" s="28">
        <f>VLOOKUP(Table14[[#This Row],[S/No]],Table8[#All],19,FALSE)</f>
        <v>0</v>
      </c>
      <c r="H58" s="28">
        <f>VLOOKUP(Table14[[#This Row],[S/No]],Table8[#All],23,FALSE)</f>
        <v>0</v>
      </c>
      <c r="I58" s="28">
        <f>VLOOKUP(Table14[[#This Row],[S/No]],Table8[#All],27,FALSE)</f>
        <v>0</v>
      </c>
      <c r="J58" s="28">
        <f>VLOOKUP(Table14[[#This Row],[S/No]],Table8[#All],31,FALSE)</f>
        <v>0</v>
      </c>
      <c r="K58" s="28">
        <f>VLOOKUP(Table14[[#This Row],[S/No]],Table8[#All],35,FALSE)</f>
        <v>0</v>
      </c>
      <c r="L58" s="28">
        <f>VLOOKUP(Table14[[#This Row],[S/No]],Table8[#All],39,FALSE)</f>
        <v>0</v>
      </c>
      <c r="M58" s="28">
        <f>VLOOKUP(Table14[[#This Row],[S/No]],Table8[#All],43,FALSE)</f>
        <v>0</v>
      </c>
      <c r="N58" s="28">
        <v>10</v>
      </c>
      <c r="O58" s="28">
        <f t="shared" si="0"/>
        <v>0</v>
      </c>
      <c r="P58" s="36">
        <f>SUM(Table14[[#This Row],[Ctz]:[Spell]])/(Table14[[#This Row],[No. of Sub.]]*100)</f>
        <v>0</v>
      </c>
      <c r="Q58" s="28" t="b">
        <f t="shared" si="2"/>
        <v>0</v>
      </c>
    </row>
  </sheetData>
  <sheetProtection formatCells="0" formatColumns="0" formatRows="0" insertHyperlinks="0"/>
  <mergeCells count="4">
    <mergeCell ref="S18:T18"/>
    <mergeCell ref="S19:T19"/>
    <mergeCell ref="S15:T17"/>
    <mergeCell ref="S2:T2"/>
  </mergeCells>
  <pageMargins left="0.7" right="0.7" top="0.75" bottom="0.75" header="0.3" footer="0.3"/>
  <pageSetup paperSize="9" scale="81" orientation="landscape" r:id="rId1"/>
  <rowBreaks count="1" manualBreakCount="1">
    <brk id="31" max="16383" man="1"/>
  </rowBreaks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22C04-6FA7-431D-B8F3-7364D5468D8B}">
  <sheetPr codeName="Sheet1">
    <pageSetUpPr fitToPage="1"/>
  </sheetPr>
  <dimension ref="A1:Y74"/>
  <sheetViews>
    <sheetView showRuler="0" topLeftCell="A55" zoomScale="57" zoomScaleNormal="100" workbookViewId="0">
      <selection activeCell="H17" sqref="H17"/>
    </sheetView>
  </sheetViews>
  <sheetFormatPr defaultRowHeight="14.75" x14ac:dyDescent="0.75"/>
  <cols>
    <col min="1" max="1" width="2.08984375" customWidth="1"/>
    <col min="2" max="2" width="2.7265625" customWidth="1"/>
    <col min="3" max="3" width="21" customWidth="1"/>
    <col min="4" max="5" width="9.54296875" customWidth="1"/>
    <col min="6" max="6" width="13.26953125" bestFit="1" customWidth="1"/>
    <col min="7" max="7" width="9.6328125" customWidth="1"/>
    <col min="8" max="8" width="11.453125" customWidth="1"/>
    <col min="10" max="10" width="13.453125" customWidth="1"/>
    <col min="11" max="11" width="13.36328125" customWidth="1"/>
    <col min="12" max="12" width="8.81640625" customWidth="1"/>
    <col min="13" max="13" width="4.453125" customWidth="1"/>
    <col min="16" max="16" width="6.453125" customWidth="1"/>
  </cols>
  <sheetData>
    <row r="1" spans="1:16" x14ac:dyDescent="0.7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6" x14ac:dyDescent="0.7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ht="14.75" customHeight="1" x14ac:dyDescent="0.75">
      <c r="A3" s="1"/>
      <c r="B3" s="1"/>
      <c r="C3" s="318"/>
      <c r="D3" s="318"/>
      <c r="E3" s="1"/>
      <c r="F3" s="256" t="s">
        <v>237</v>
      </c>
      <c r="G3" s="256"/>
      <c r="H3" s="256"/>
      <c r="I3" s="256"/>
      <c r="J3" s="256"/>
      <c r="K3" s="1"/>
      <c r="L3" s="1"/>
      <c r="M3" s="1"/>
      <c r="N3" s="1"/>
      <c r="O3" s="1"/>
      <c r="P3" s="1"/>
    </row>
    <row r="4" spans="1:16" ht="14.75" customHeight="1" x14ac:dyDescent="0.75">
      <c r="A4" s="1"/>
      <c r="B4" s="1"/>
      <c r="C4" s="318"/>
      <c r="D4" s="318"/>
      <c r="E4" s="1"/>
      <c r="F4" s="256"/>
      <c r="G4" s="256"/>
      <c r="H4" s="256"/>
      <c r="I4" s="256"/>
      <c r="J4" s="256"/>
      <c r="K4" s="1"/>
      <c r="L4" s="1"/>
      <c r="M4" s="1"/>
      <c r="N4" s="1"/>
      <c r="O4" s="1"/>
      <c r="P4" s="1"/>
    </row>
    <row r="5" spans="1:16" ht="14.75" customHeight="1" x14ac:dyDescent="0.75">
      <c r="A5" s="1"/>
      <c r="B5" s="1"/>
      <c r="C5" s="318"/>
      <c r="D5" s="318"/>
      <c r="E5" s="1"/>
      <c r="F5" s="256"/>
      <c r="G5" s="256"/>
      <c r="H5" s="256"/>
      <c r="I5" s="256"/>
      <c r="J5" s="256"/>
      <c r="K5" s="1"/>
      <c r="L5" s="1"/>
      <c r="M5" s="1"/>
      <c r="N5" s="1"/>
      <c r="O5" s="1"/>
      <c r="P5" s="1"/>
    </row>
    <row r="6" spans="1:16" ht="14.75" customHeight="1" x14ac:dyDescent="0.75">
      <c r="A6" s="1"/>
      <c r="B6" s="1"/>
      <c r="C6" s="318"/>
      <c r="D6" s="318"/>
      <c r="E6" s="1"/>
      <c r="F6" s="256"/>
      <c r="G6" s="256"/>
      <c r="H6" s="256"/>
      <c r="I6" s="256"/>
      <c r="J6" s="256"/>
      <c r="K6" s="1"/>
      <c r="L6" s="1"/>
      <c r="M6" s="1"/>
      <c r="N6" s="1"/>
      <c r="O6" s="1"/>
      <c r="P6" s="1"/>
    </row>
    <row r="7" spans="1:16" x14ac:dyDescent="0.75">
      <c r="A7" s="1"/>
      <c r="B7" s="1"/>
      <c r="C7" s="318"/>
      <c r="D7" s="318"/>
      <c r="E7" s="1"/>
      <c r="F7" s="256"/>
      <c r="G7" s="256"/>
      <c r="H7" s="256"/>
      <c r="I7" s="256"/>
      <c r="J7" s="256"/>
      <c r="K7" s="1"/>
      <c r="L7" s="1"/>
      <c r="M7" s="1"/>
      <c r="N7" s="1"/>
      <c r="O7" s="1"/>
      <c r="P7" s="1"/>
    </row>
    <row r="8" spans="1:16" x14ac:dyDescent="0.75">
      <c r="A8" s="1"/>
      <c r="B8" s="1"/>
      <c r="C8" s="318"/>
      <c r="D8" s="318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75">
      <c r="A9" s="1"/>
      <c r="B9" s="1"/>
      <c r="C9" s="318"/>
      <c r="D9" s="318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ht="15.75" customHeight="1" x14ac:dyDescent="0.75">
      <c r="A10" s="1"/>
      <c r="B10" s="1"/>
      <c r="C10" s="318"/>
      <c r="D10" s="318"/>
      <c r="E10" s="13"/>
      <c r="F10" s="13"/>
      <c r="G10" s="13"/>
      <c r="H10" s="1"/>
      <c r="I10" s="12"/>
      <c r="J10" s="1"/>
      <c r="K10" s="1"/>
      <c r="L10" s="1"/>
      <c r="M10" s="1"/>
      <c r="N10" s="1"/>
      <c r="O10" s="1"/>
      <c r="P10" s="1"/>
    </row>
    <row r="11" spans="1:16" x14ac:dyDescent="0.75">
      <c r="A11" s="1"/>
      <c r="B11" s="1"/>
      <c r="C11" s="318"/>
      <c r="D11" s="318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ht="15.4" customHeight="1" x14ac:dyDescent="0.75">
      <c r="A12" s="1"/>
      <c r="B12" s="1"/>
      <c r="C12" s="318"/>
      <c r="D12" s="318"/>
      <c r="E12" s="14"/>
      <c r="F12" s="14"/>
      <c r="G12" s="14"/>
      <c r="H12" s="1"/>
      <c r="I12" s="1"/>
      <c r="J12" s="1"/>
      <c r="K12" s="1"/>
      <c r="L12" s="1"/>
      <c r="M12" s="1"/>
      <c r="N12" s="1"/>
      <c r="O12" s="1"/>
      <c r="P12" s="1"/>
    </row>
    <row r="13" spans="1:16" ht="16" x14ac:dyDescent="0.8">
      <c r="A13" s="1"/>
      <c r="B13" s="1"/>
      <c r="C13" s="15" t="s">
        <v>149</v>
      </c>
      <c r="D13" s="223" t="s">
        <v>13</v>
      </c>
      <c r="E13" s="223"/>
      <c r="F13" s="223"/>
      <c r="G13" s="223"/>
      <c r="H13" s="1"/>
      <c r="I13" s="12" t="s">
        <v>157</v>
      </c>
      <c r="J13" s="223" t="s">
        <v>240</v>
      </c>
      <c r="K13" s="223"/>
      <c r="L13" s="1"/>
      <c r="M13" s="1"/>
      <c r="N13" s="1"/>
      <c r="O13" s="1"/>
      <c r="P13" s="1"/>
    </row>
    <row r="14" spans="1:16" ht="15.4" customHeight="1" x14ac:dyDescent="0.75">
      <c r="A14" s="1"/>
      <c r="B14" s="1"/>
      <c r="C14" s="10"/>
      <c r="D14" s="1"/>
      <c r="E14" s="1"/>
      <c r="F14" s="1"/>
      <c r="G14" s="1"/>
      <c r="H14" s="1"/>
      <c r="I14" s="12"/>
      <c r="J14" s="1"/>
      <c r="K14" s="1"/>
      <c r="L14" s="1"/>
      <c r="M14" s="1"/>
      <c r="N14" s="1"/>
      <c r="O14" s="1"/>
      <c r="P14" s="1"/>
    </row>
    <row r="15" spans="1:16" ht="16" x14ac:dyDescent="0.8">
      <c r="A15" s="1"/>
      <c r="B15" s="1"/>
      <c r="C15" s="16" t="s">
        <v>150</v>
      </c>
      <c r="D15" s="224" t="str">
        <f>VLOOKUP(D13,DATABASE!B5:BB54,2,FALSE)</f>
        <v>TCS/2015/372</v>
      </c>
      <c r="E15" s="224"/>
      <c r="F15" s="224"/>
      <c r="G15" s="224"/>
      <c r="H15" s="1"/>
      <c r="I15" s="16" t="s">
        <v>152</v>
      </c>
      <c r="J15" s="224" t="str">
        <f ca="1">DATEDIF(VLOOKUP(D13,DATABASE!B5:BB54,47,FALSE),TODAY(),"Y") &amp; " Years, " &amp; DATEDIF(VLOOKUP(D13,DATABASE!B5:BB54,47,FALSE),TODAY(),"YM") &amp; " Months"</f>
        <v>9 Years, 9 Months</v>
      </c>
      <c r="K15" s="224"/>
      <c r="L15" s="1"/>
      <c r="M15" s="1"/>
      <c r="N15" s="1"/>
      <c r="O15" s="1"/>
      <c r="P15" s="1"/>
    </row>
    <row r="16" spans="1:16" ht="15.75" x14ac:dyDescent="0.75">
      <c r="A16" s="1"/>
      <c r="B16" s="1"/>
      <c r="C16" s="2"/>
      <c r="D16" s="1"/>
      <c r="E16" s="4"/>
      <c r="F16" s="2"/>
      <c r="G16" s="1"/>
      <c r="H16" s="4"/>
      <c r="I16" s="1"/>
      <c r="J16" s="1"/>
      <c r="K16" s="1"/>
      <c r="L16" s="1"/>
      <c r="M16" s="1"/>
      <c r="N16" s="1"/>
      <c r="O16" s="1"/>
      <c r="P16" s="1"/>
    </row>
    <row r="17" spans="1:25" ht="16" x14ac:dyDescent="0.8">
      <c r="A17" s="1"/>
      <c r="B17" s="1"/>
      <c r="C17" s="16" t="s">
        <v>151</v>
      </c>
      <c r="D17" s="225" t="str">
        <f>VLOOKUP(D13,DATABASE!B5:BB54,45,FALSE)</f>
        <v>4.5'</v>
      </c>
      <c r="E17" s="225"/>
      <c r="F17" s="225"/>
      <c r="G17" s="225"/>
      <c r="H17" s="1"/>
      <c r="I17" s="16" t="s">
        <v>153</v>
      </c>
      <c r="J17" s="18" t="str">
        <f>VLOOKUP(D13,DATABASE!B5:BB54,46,FALSE)</f>
        <v>45kg</v>
      </c>
      <c r="K17" s="1"/>
      <c r="L17" s="1"/>
      <c r="M17" s="1"/>
      <c r="N17" s="1"/>
      <c r="O17" s="1"/>
      <c r="P17" s="1"/>
    </row>
    <row r="18" spans="1:25" x14ac:dyDescent="0.75">
      <c r="A18" s="1"/>
      <c r="B18" s="1"/>
      <c r="C18" s="1"/>
      <c r="D18" s="1"/>
      <c r="E18" s="1"/>
      <c r="F18" s="3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25" ht="15.5" thickBot="1" x14ac:dyDescent="0.9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25" ht="31" thickTop="1" thickBot="1" x14ac:dyDescent="0.9">
      <c r="A20" s="1"/>
      <c r="B20" s="1"/>
      <c r="C20" s="66" t="s">
        <v>96</v>
      </c>
      <c r="D20" s="68" t="s">
        <v>97</v>
      </c>
      <c r="E20" s="95" t="s">
        <v>98</v>
      </c>
      <c r="F20" s="67" t="s">
        <v>99</v>
      </c>
      <c r="G20" s="68" t="s">
        <v>100</v>
      </c>
      <c r="H20" s="226" t="s">
        <v>101</v>
      </c>
      <c r="I20" s="227"/>
      <c r="J20" s="227"/>
      <c r="K20" s="227"/>
      <c r="L20" s="228"/>
      <c r="M20" s="1"/>
      <c r="N20" s="212" t="s">
        <v>114</v>
      </c>
      <c r="O20" s="213"/>
      <c r="P20" s="1"/>
    </row>
    <row r="21" spans="1:25" ht="21.4" customHeight="1" x14ac:dyDescent="0.75">
      <c r="A21" s="1"/>
      <c r="B21" s="1"/>
      <c r="C21" s="22" t="s">
        <v>103</v>
      </c>
      <c r="D21" s="23">
        <f>VLOOKUP(D13,DATABASE!B5:BB54,3,FALSE) + VLOOKUP(D13,DATABASE!B5:BB54,4,FALSE)</f>
        <v>21</v>
      </c>
      <c r="E21" s="23">
        <f>VLOOKUP(D13,DATABASE!B5:BB54,5,FALSE)</f>
        <v>35</v>
      </c>
      <c r="F21" s="24">
        <f>SUM(D21:E21)</f>
        <v>56</v>
      </c>
      <c r="G21" s="23" t="str">
        <f>IF(F21&gt;=90,"A",IF(F21&gt;=70,"B",IF(F21&gt;=50,"C",IF(F21&gt;=40,"D",IF(F21&gt;=0,"E")))))</f>
        <v>C</v>
      </c>
      <c r="H21" s="315" t="str">
        <f>IF(G21="A","An excellent understanding of the overall objectives of the subject.",IF(G21="B", "A good understanding of the overall objectives of the subject.",IF(G21="C","An average understanding of the overall objectives of the subject.",IF(G21="D","A fair understanding of the overall objectives of the subject.",IF(G21="E","Has not met the minimum requirements of the subject.")))))</f>
        <v>An average understanding of the overall objectives of the subject.</v>
      </c>
      <c r="I21" s="316"/>
      <c r="J21" s="316"/>
      <c r="K21" s="316"/>
      <c r="L21" s="317"/>
      <c r="M21" s="1"/>
      <c r="N21" s="217" t="s">
        <v>115</v>
      </c>
      <c r="O21" s="218"/>
      <c r="P21" s="1"/>
    </row>
    <row r="22" spans="1:25" ht="21.65" customHeight="1" x14ac:dyDescent="0.75">
      <c r="A22" s="1"/>
      <c r="B22" s="1"/>
      <c r="C22" s="69" t="s">
        <v>104</v>
      </c>
      <c r="D22" s="70">
        <f>VLOOKUP(D13,DATABASE!B5:BB54,7,FALSE) + VLOOKUP(D13,DATABASE!B5:BB54,8,FALSE)</f>
        <v>25</v>
      </c>
      <c r="E22" s="70">
        <f>VLOOKUP(D13,DATABASE!B5:BB54,9,FALSE)</f>
        <v>45</v>
      </c>
      <c r="F22" s="70">
        <f t="shared" ref="F22:F30" si="0">SUM(D22:E22)</f>
        <v>70</v>
      </c>
      <c r="G22" s="70" t="str">
        <f t="shared" ref="G22:G30" si="1">IF(F22&gt;=90,"A",IF(F22&gt;=70,"B",IF(F22&gt;=50,"C",IF(F22&gt;=40,"D",IF(F22&gt;=0,"E")))))</f>
        <v>B</v>
      </c>
      <c r="H22" s="306" t="str">
        <f t="shared" ref="H22:H30" si="2">IF(G22="A","An excellent understanding of the overall objectives of the subject.",IF(G22="B", "A good understanding of the overall objectives of the subject.",IF(G22="C","An average understanding of the overall objectives of the subject.",IF(G22="D","A fair understanding of the overall objectives of the subject.",IF(G22="E","Has not met the minimum requirements of the subject.")))))</f>
        <v>A good understanding of the overall objectives of the subject.</v>
      </c>
      <c r="I22" s="307"/>
      <c r="J22" s="307"/>
      <c r="K22" s="307"/>
      <c r="L22" s="308"/>
      <c r="M22" s="1"/>
      <c r="N22" s="221" t="s">
        <v>116</v>
      </c>
      <c r="O22" s="222"/>
      <c r="P22" s="1"/>
    </row>
    <row r="23" spans="1:25" ht="20.75" customHeight="1" x14ac:dyDescent="0.75">
      <c r="A23" s="1"/>
      <c r="B23" s="1"/>
      <c r="C23" s="9" t="s">
        <v>105</v>
      </c>
      <c r="D23" s="19">
        <f>VLOOKUP(D13,DATABASE!B5:BB54,11,FALSE) + VLOOKUP(D13,DATABASE!B5:BB54,12,FALSE)</f>
        <v>25</v>
      </c>
      <c r="E23" s="19">
        <f>VLOOKUP(D13,DATABASE!B5:BB54,13,FALSE)</f>
        <v>45</v>
      </c>
      <c r="F23" s="19">
        <f t="shared" si="0"/>
        <v>70</v>
      </c>
      <c r="G23" s="19" t="str">
        <f t="shared" si="1"/>
        <v>B</v>
      </c>
      <c r="H23" s="309" t="str">
        <f t="shared" si="2"/>
        <v>A good understanding of the overall objectives of the subject.</v>
      </c>
      <c r="I23" s="310"/>
      <c r="J23" s="310"/>
      <c r="K23" s="310"/>
      <c r="L23" s="311"/>
      <c r="M23" s="1"/>
      <c r="N23" s="217" t="s">
        <v>117</v>
      </c>
      <c r="O23" s="218"/>
      <c r="P23" s="1"/>
    </row>
    <row r="24" spans="1:25" ht="20.149999999999999" customHeight="1" x14ac:dyDescent="0.75">
      <c r="A24" s="1"/>
      <c r="B24" s="1"/>
      <c r="C24" s="69" t="s">
        <v>106</v>
      </c>
      <c r="D24" s="70">
        <f>VLOOKUP(D13,DATABASE!B5:BB54,15,FALSE) + VLOOKUP(D13,DATABASE!B5:BB54,16,FALSE)</f>
        <v>25</v>
      </c>
      <c r="E24" s="70">
        <f>VLOOKUP(D13,DATABASE!B5:BB54,17,FALSE)</f>
        <v>45</v>
      </c>
      <c r="F24" s="70">
        <f t="shared" si="0"/>
        <v>70</v>
      </c>
      <c r="G24" s="70" t="str">
        <f t="shared" si="1"/>
        <v>B</v>
      </c>
      <c r="H24" s="306" t="str">
        <f t="shared" si="2"/>
        <v>A good understanding of the overall objectives of the subject.</v>
      </c>
      <c r="I24" s="307"/>
      <c r="J24" s="307"/>
      <c r="K24" s="307"/>
      <c r="L24" s="308"/>
      <c r="M24" s="1"/>
      <c r="N24" s="221" t="s">
        <v>118</v>
      </c>
      <c r="O24" s="222"/>
      <c r="P24" s="1"/>
    </row>
    <row r="25" spans="1:25" ht="17.75" customHeight="1" thickBot="1" x14ac:dyDescent="0.9">
      <c r="A25" s="1"/>
      <c r="B25" s="1"/>
      <c r="C25" s="9" t="s">
        <v>107</v>
      </c>
      <c r="D25" s="19">
        <f>VLOOKUP(D13,DATABASE!B5:BB54,19,FALSE) + VLOOKUP(D13,DATABASE!B5:BB54,20,FALSE)</f>
        <v>25</v>
      </c>
      <c r="E25" s="19">
        <f>VLOOKUP(D13,DATABASE!B5:BB54,21,FALSE)</f>
        <v>45</v>
      </c>
      <c r="F25" s="19">
        <f t="shared" si="0"/>
        <v>70</v>
      </c>
      <c r="G25" s="19" t="str">
        <f t="shared" si="1"/>
        <v>B</v>
      </c>
      <c r="H25" s="309" t="str">
        <f t="shared" si="2"/>
        <v>A good understanding of the overall objectives of the subject.</v>
      </c>
      <c r="I25" s="310"/>
      <c r="J25" s="310"/>
      <c r="K25" s="310"/>
      <c r="L25" s="311"/>
      <c r="M25" s="1"/>
      <c r="N25" s="296" t="s">
        <v>119</v>
      </c>
      <c r="O25" s="297"/>
      <c r="P25" s="1"/>
      <c r="Y25" t="str">
        <f>VLOOKUP(D13,DATABASE!B6:AX55,49,FALSE)</f>
        <v>cell1</v>
      </c>
    </row>
    <row r="26" spans="1:25" ht="16.25" customHeight="1" x14ac:dyDescent="0.75">
      <c r="A26" s="1"/>
      <c r="B26" s="1"/>
      <c r="C26" s="69" t="s">
        <v>108</v>
      </c>
      <c r="D26" s="70">
        <f>VLOOKUP(D13,DATABASE!B5:BB54,23,FALSE) + VLOOKUP(D13,DATABASE!B5:BB54,24,FALSE)</f>
        <v>25</v>
      </c>
      <c r="E26" s="70">
        <f>VLOOKUP(D13,DATABASE!B5:BB54,25,FALSE)</f>
        <v>45</v>
      </c>
      <c r="F26" s="70">
        <f t="shared" si="0"/>
        <v>70</v>
      </c>
      <c r="G26" s="70" t="str">
        <f t="shared" si="1"/>
        <v>B</v>
      </c>
      <c r="H26" s="306" t="str">
        <f t="shared" si="2"/>
        <v>A good understanding of the overall objectives of the subject.</v>
      </c>
      <c r="I26" s="307"/>
      <c r="J26" s="307"/>
      <c r="K26" s="307"/>
      <c r="L26" s="308"/>
      <c r="M26" s="1"/>
      <c r="N26" s="1"/>
      <c r="O26" s="1"/>
      <c r="P26" s="1"/>
    </row>
    <row r="27" spans="1:25" ht="16.5" customHeight="1" x14ac:dyDescent="0.75">
      <c r="A27" s="1"/>
      <c r="B27" s="1"/>
      <c r="C27" s="9" t="s">
        <v>54</v>
      </c>
      <c r="D27" s="19">
        <f>VLOOKUP(D13,DATABASE!B5:BB54,27,FALSE) + VLOOKUP(D13,DATABASE!B5:BB54,28,FALSE)</f>
        <v>25</v>
      </c>
      <c r="E27" s="19">
        <f>VLOOKUP(D13,DATABASE!B5:BB54,29,FALSE)</f>
        <v>45</v>
      </c>
      <c r="F27" s="19">
        <f t="shared" si="0"/>
        <v>70</v>
      </c>
      <c r="G27" s="19" t="str">
        <f t="shared" si="1"/>
        <v>B</v>
      </c>
      <c r="H27" s="309" t="str">
        <f t="shared" si="2"/>
        <v>A good understanding of the overall objectives of the subject.</v>
      </c>
      <c r="I27" s="310"/>
      <c r="J27" s="310"/>
      <c r="K27" s="310"/>
      <c r="L27" s="311"/>
      <c r="M27" s="1"/>
      <c r="N27" s="1"/>
      <c r="O27" s="1"/>
      <c r="P27" s="1"/>
    </row>
    <row r="28" spans="1:25" ht="16.25" customHeight="1" x14ac:dyDescent="0.75">
      <c r="A28" s="1"/>
      <c r="B28" s="1"/>
      <c r="C28" s="69" t="s">
        <v>109</v>
      </c>
      <c r="D28" s="70">
        <f>VLOOKUP(D13,DATABASE!B5:BB54,31,FALSE) + VLOOKUP(D13,DATABASE!B5:BB54,32,FALSE)</f>
        <v>25</v>
      </c>
      <c r="E28" s="70">
        <f>VLOOKUP(D13,DATABASE!B5:BB54,33,FALSE)</f>
        <v>45</v>
      </c>
      <c r="F28" s="70">
        <f t="shared" si="0"/>
        <v>70</v>
      </c>
      <c r="G28" s="70" t="str">
        <f t="shared" si="1"/>
        <v>B</v>
      </c>
      <c r="H28" s="306" t="str">
        <f t="shared" si="2"/>
        <v>A good understanding of the overall objectives of the subject.</v>
      </c>
      <c r="I28" s="307"/>
      <c r="J28" s="307"/>
      <c r="K28" s="307"/>
      <c r="L28" s="308"/>
      <c r="M28" s="1"/>
      <c r="N28" s="1"/>
      <c r="O28" s="1"/>
      <c r="P28" s="1"/>
    </row>
    <row r="29" spans="1:25" ht="17.149999999999999" customHeight="1" x14ac:dyDescent="0.75">
      <c r="A29" s="1"/>
      <c r="B29" s="1"/>
      <c r="C29" s="9" t="s">
        <v>110</v>
      </c>
      <c r="D29" s="19">
        <f>VLOOKUP(D13,DATABASE!B5:BB54,35,FALSE) + VLOOKUP(D13,DATABASE!B5:BB54,36,FALSE)</f>
        <v>25</v>
      </c>
      <c r="E29" s="19">
        <f>VLOOKUP(D13,DATABASE!B5:BB54,37,FALSE)</f>
        <v>45</v>
      </c>
      <c r="F29" s="19">
        <f t="shared" si="0"/>
        <v>70</v>
      </c>
      <c r="G29" s="19" t="str">
        <f t="shared" si="1"/>
        <v>B</v>
      </c>
      <c r="H29" s="309" t="str">
        <f t="shared" si="2"/>
        <v>A good understanding of the overall objectives of the subject.</v>
      </c>
      <c r="I29" s="310"/>
      <c r="J29" s="310"/>
      <c r="K29" s="310"/>
      <c r="L29" s="311"/>
      <c r="M29" s="3"/>
      <c r="N29" s="1"/>
      <c r="O29" s="1"/>
      <c r="P29" s="1"/>
    </row>
    <row r="30" spans="1:25" ht="17.399999999999999" customHeight="1" thickBot="1" x14ac:dyDescent="0.9">
      <c r="A30" s="1"/>
      <c r="B30" s="1"/>
      <c r="C30" s="71" t="s">
        <v>111</v>
      </c>
      <c r="D30" s="72">
        <f>VLOOKUP(D13,DATABASE!B5:BB54,39,FALSE) + VLOOKUP(D13,DATABASE!B5:BB54,40,FALSE)</f>
        <v>25</v>
      </c>
      <c r="E30" s="72">
        <f>VLOOKUP(D13,DATABASE!B5:BB54,41,FALSE)</f>
        <v>45</v>
      </c>
      <c r="F30" s="72">
        <f t="shared" si="0"/>
        <v>70</v>
      </c>
      <c r="G30" s="72" t="str">
        <f t="shared" si="1"/>
        <v>B</v>
      </c>
      <c r="H30" s="312" t="str">
        <f t="shared" si="2"/>
        <v>A good understanding of the overall objectives of the subject.</v>
      </c>
      <c r="I30" s="313"/>
      <c r="J30" s="313"/>
      <c r="K30" s="313"/>
      <c r="L30" s="314"/>
      <c r="M30" s="1"/>
      <c r="N30" s="1"/>
      <c r="O30" s="1"/>
      <c r="P30" s="1"/>
    </row>
    <row r="31" spans="1:25" ht="15.5" thickTop="1" x14ac:dyDescent="0.7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25" ht="15.5" thickBot="1" x14ac:dyDescent="0.9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16" x14ac:dyDescent="0.75">
      <c r="A33" s="1"/>
      <c r="B33" s="1"/>
      <c r="C33" s="73" t="s">
        <v>102</v>
      </c>
      <c r="D33" s="74">
        <f>SUM(F21:F30)</f>
        <v>686</v>
      </c>
      <c r="E33" s="1"/>
      <c r="F33" s="75" t="s">
        <v>144</v>
      </c>
      <c r="G33" s="110"/>
      <c r="H33" s="1"/>
      <c r="I33" s="1"/>
      <c r="J33" s="322" t="s">
        <v>147</v>
      </c>
      <c r="K33" s="323"/>
      <c r="L33" s="300"/>
      <c r="M33" s="301"/>
      <c r="N33" s="301"/>
      <c r="O33" s="302"/>
      <c r="P33" s="1"/>
    </row>
    <row r="34" spans="1:16" ht="15.5" thickBot="1" x14ac:dyDescent="0.9">
      <c r="A34" s="1"/>
      <c r="B34" s="1"/>
      <c r="C34" s="26" t="s">
        <v>112</v>
      </c>
      <c r="D34" s="37">
        <f>D33/(COUNT(F21:F30)*100)</f>
        <v>0.68600000000000005</v>
      </c>
      <c r="E34" s="1"/>
      <c r="F34" s="25" t="s">
        <v>145</v>
      </c>
      <c r="G34" s="27">
        <f>VLOOKUP(D13,DATABASE!B5:BB54,43,FALSE)</f>
        <v>117</v>
      </c>
      <c r="H34" s="1"/>
      <c r="I34" s="1"/>
      <c r="J34" s="320" t="s">
        <v>148</v>
      </c>
      <c r="K34" s="321"/>
      <c r="L34" s="303"/>
      <c r="M34" s="304"/>
      <c r="N34" s="304"/>
      <c r="O34" s="305"/>
      <c r="P34" s="1"/>
    </row>
    <row r="35" spans="1:16" ht="15.5" thickBot="1" x14ac:dyDescent="0.9">
      <c r="A35" s="1"/>
      <c r="B35" s="1"/>
      <c r="C35" s="77" t="s">
        <v>113</v>
      </c>
      <c r="D35" s="96">
        <f>'FINAL BROADSHEET'!T10</f>
        <v>0.77882608695652178</v>
      </c>
      <c r="E35" s="1"/>
      <c r="F35" s="79" t="s">
        <v>146</v>
      </c>
      <c r="G35" s="80">
        <f>VLOOKUP(D13,DATABASE!B5:BB54,44,FALSE)</f>
        <v>1</v>
      </c>
      <c r="H35" s="1"/>
      <c r="I35" s="1"/>
      <c r="J35" s="1"/>
      <c r="K35" s="1"/>
      <c r="L35" s="1"/>
      <c r="M35" s="1"/>
      <c r="N35" s="1"/>
      <c r="O35" s="1"/>
      <c r="P35" s="1"/>
    </row>
    <row r="36" spans="1:16" ht="18.5" x14ac:dyDescent="0.75">
      <c r="A36" s="1"/>
      <c r="B36" s="1"/>
      <c r="C36" s="1"/>
      <c r="D36" s="1"/>
      <c r="E36" s="1"/>
      <c r="F36" s="1"/>
      <c r="G36" s="1"/>
      <c r="H36" s="1"/>
      <c r="I36" s="20"/>
      <c r="J36" s="20"/>
      <c r="K36" s="1"/>
      <c r="L36" s="21"/>
      <c r="M36" s="1"/>
      <c r="N36" s="1"/>
      <c r="O36" s="1"/>
      <c r="P36" s="1"/>
    </row>
    <row r="37" spans="1:16" ht="18.5" x14ac:dyDescent="0.75">
      <c r="A37" s="1"/>
      <c r="B37" s="1"/>
      <c r="C37" s="1"/>
      <c r="D37" s="1"/>
      <c r="E37" s="1"/>
      <c r="F37" s="1"/>
      <c r="G37" s="1"/>
      <c r="H37" s="1"/>
      <c r="I37" s="21"/>
      <c r="J37" s="20"/>
      <c r="K37" s="20"/>
      <c r="L37" s="21"/>
      <c r="M37" s="1"/>
      <c r="N37" s="1"/>
      <c r="O37" s="1"/>
      <c r="P37" s="1"/>
    </row>
    <row r="38" spans="1:16" ht="15.5" thickBot="1" x14ac:dyDescent="0.9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1:16" ht="28.9" customHeight="1" thickTop="1" thickBot="1" x14ac:dyDescent="0.9">
      <c r="A39" s="1"/>
      <c r="B39" s="1"/>
      <c r="C39" s="229" t="s">
        <v>120</v>
      </c>
      <c r="D39" s="231" t="s">
        <v>121</v>
      </c>
      <c r="E39" s="231"/>
      <c r="F39" s="231"/>
      <c r="G39" s="231"/>
      <c r="H39" s="232"/>
      <c r="I39" s="1"/>
      <c r="J39" s="272" t="s">
        <v>142</v>
      </c>
      <c r="K39" s="273"/>
      <c r="L39" s="273"/>
      <c r="M39" s="273"/>
      <c r="N39" s="273"/>
      <c r="O39" s="274"/>
      <c r="P39" s="1"/>
    </row>
    <row r="40" spans="1:16" ht="16.25" thickTop="1" thickBot="1" x14ac:dyDescent="0.9">
      <c r="A40" s="1"/>
      <c r="B40" s="1"/>
      <c r="C40" s="319"/>
      <c r="D40" s="97">
        <v>5</v>
      </c>
      <c r="E40" s="97">
        <v>4</v>
      </c>
      <c r="F40" s="97">
        <v>3</v>
      </c>
      <c r="G40" s="97">
        <v>2</v>
      </c>
      <c r="H40" s="98">
        <v>1</v>
      </c>
      <c r="I40" s="1"/>
      <c r="J40" s="275" t="str">
        <f>VLOOKUP(D13,DATABASE!B5:BB54,52,FALSE)</f>
        <v>He is a wonderful learner</v>
      </c>
      <c r="K40" s="276"/>
      <c r="L40" s="276"/>
      <c r="M40" s="276"/>
      <c r="N40" s="276"/>
      <c r="O40" s="277"/>
      <c r="P40" s="1"/>
    </row>
    <row r="41" spans="1:16" ht="20" thickTop="1" thickBot="1" x14ac:dyDescent="1.05">
      <c r="A41" s="1"/>
      <c r="B41" s="1"/>
      <c r="C41" s="99" t="s">
        <v>122</v>
      </c>
      <c r="D41" s="100"/>
      <c r="E41" s="100"/>
      <c r="F41" s="100"/>
      <c r="G41" s="100"/>
      <c r="H41" s="101"/>
      <c r="I41" s="1"/>
      <c r="J41" s="278"/>
      <c r="K41" s="279"/>
      <c r="L41" s="279"/>
      <c r="M41" s="279"/>
      <c r="N41" s="279"/>
      <c r="O41" s="280"/>
      <c r="P41" s="1"/>
    </row>
    <row r="42" spans="1:16" ht="19.25" thickBot="1" x14ac:dyDescent="1.05">
      <c r="A42" s="1"/>
      <c r="B42" s="1"/>
      <c r="C42" s="102" t="s">
        <v>123</v>
      </c>
      <c r="D42" s="81"/>
      <c r="E42" s="81"/>
      <c r="F42" s="81"/>
      <c r="G42" s="81"/>
      <c r="H42" s="103"/>
      <c r="I42" s="1"/>
      <c r="J42" s="278"/>
      <c r="K42" s="279"/>
      <c r="L42" s="279"/>
      <c r="M42" s="279"/>
      <c r="N42" s="279"/>
      <c r="O42" s="280"/>
      <c r="P42" s="1"/>
    </row>
    <row r="43" spans="1:16" ht="19.25" thickBot="1" x14ac:dyDescent="1.05">
      <c r="A43" s="1"/>
      <c r="B43" s="1"/>
      <c r="C43" s="104" t="s">
        <v>124</v>
      </c>
      <c r="D43" s="34"/>
      <c r="E43" s="34"/>
      <c r="F43" s="34"/>
      <c r="G43" s="34"/>
      <c r="H43" s="105"/>
      <c r="I43" s="1"/>
      <c r="J43" s="278"/>
      <c r="K43" s="279"/>
      <c r="L43" s="279"/>
      <c r="M43" s="279"/>
      <c r="N43" s="279"/>
      <c r="O43" s="280"/>
      <c r="P43" s="1"/>
    </row>
    <row r="44" spans="1:16" ht="19.25" thickBot="1" x14ac:dyDescent="1.05">
      <c r="A44" s="1"/>
      <c r="B44" s="1"/>
      <c r="C44" s="102" t="s">
        <v>125</v>
      </c>
      <c r="D44" s="81"/>
      <c r="E44" s="81" t="s">
        <v>182</v>
      </c>
      <c r="F44" s="81"/>
      <c r="G44" s="81"/>
      <c r="H44" s="103"/>
      <c r="I44" s="1"/>
      <c r="J44" s="281"/>
      <c r="K44" s="282"/>
      <c r="L44" s="282"/>
      <c r="M44" s="282"/>
      <c r="N44" s="282"/>
      <c r="O44" s="283"/>
      <c r="P44" s="1"/>
    </row>
    <row r="45" spans="1:16" ht="19.25" thickBot="1" x14ac:dyDescent="1.05">
      <c r="A45" s="1"/>
      <c r="B45" s="1"/>
      <c r="C45" s="104" t="s">
        <v>126</v>
      </c>
      <c r="D45" s="34"/>
      <c r="E45" s="34"/>
      <c r="F45" s="34"/>
      <c r="G45" s="34"/>
      <c r="H45" s="105"/>
      <c r="I45" s="1"/>
      <c r="J45" s="284" t="s">
        <v>238</v>
      </c>
      <c r="K45" s="285"/>
      <c r="L45" s="285"/>
      <c r="M45" s="285"/>
      <c r="N45" s="285"/>
      <c r="O45" s="286"/>
      <c r="P45" s="1"/>
    </row>
    <row r="46" spans="1:16" ht="19.25" thickBot="1" x14ac:dyDescent="1.05">
      <c r="A46" s="1"/>
      <c r="B46" s="1"/>
      <c r="C46" s="102" t="s">
        <v>127</v>
      </c>
      <c r="D46" s="81"/>
      <c r="E46" s="81"/>
      <c r="F46" s="81"/>
      <c r="G46" s="81"/>
      <c r="H46" s="103"/>
      <c r="I46" s="1"/>
      <c r="J46" s="287"/>
      <c r="K46" s="288"/>
      <c r="L46" s="288"/>
      <c r="M46" s="288"/>
      <c r="N46" s="288"/>
      <c r="O46" s="289"/>
      <c r="P46" s="1"/>
    </row>
    <row r="47" spans="1:16" ht="19.25" thickBot="1" x14ac:dyDescent="1.05">
      <c r="A47" s="1"/>
      <c r="B47" s="1"/>
      <c r="C47" s="104" t="s">
        <v>128</v>
      </c>
      <c r="D47" s="34"/>
      <c r="E47" s="34"/>
      <c r="F47" s="34"/>
      <c r="G47" s="34"/>
      <c r="H47" s="105"/>
      <c r="I47" s="1"/>
      <c r="J47" s="290"/>
      <c r="K47" s="291"/>
      <c r="L47" s="291"/>
      <c r="M47" s="291"/>
      <c r="N47" s="291"/>
      <c r="O47" s="292"/>
      <c r="P47" s="1"/>
    </row>
    <row r="48" spans="1:16" ht="19.25" thickTop="1" x14ac:dyDescent="0.9">
      <c r="A48" s="1"/>
      <c r="B48" s="1"/>
      <c r="C48" s="102" t="s">
        <v>129</v>
      </c>
      <c r="D48" s="81" t="s">
        <v>182</v>
      </c>
      <c r="E48" s="81"/>
      <c r="F48" s="81"/>
      <c r="G48" s="81"/>
      <c r="H48" s="103"/>
      <c r="I48" s="1"/>
      <c r="J48" s="1"/>
      <c r="K48" s="1"/>
      <c r="L48" s="1"/>
      <c r="M48" s="1"/>
      <c r="N48" s="1"/>
      <c r="O48" s="1"/>
      <c r="P48" s="1"/>
    </row>
    <row r="49" spans="1:16" ht="19.25" thickBot="1" x14ac:dyDescent="1.05">
      <c r="A49" s="1"/>
      <c r="B49" s="1"/>
      <c r="C49" s="104" t="s">
        <v>130</v>
      </c>
      <c r="D49" s="34"/>
      <c r="E49" s="34"/>
      <c r="F49" s="34"/>
      <c r="G49" s="34"/>
      <c r="H49" s="105"/>
      <c r="I49" s="1"/>
      <c r="J49" s="1"/>
      <c r="K49" s="1"/>
      <c r="L49" s="1"/>
      <c r="M49" s="1"/>
      <c r="N49" s="1"/>
      <c r="O49" s="1"/>
      <c r="P49" s="1"/>
    </row>
    <row r="50" spans="1:16" ht="38.5" thickTop="1" thickBot="1" x14ac:dyDescent="1.05">
      <c r="A50" s="1"/>
      <c r="B50" s="1"/>
      <c r="C50" s="106" t="s">
        <v>131</v>
      </c>
      <c r="D50" s="81"/>
      <c r="E50" s="81" t="s">
        <v>182</v>
      </c>
      <c r="F50" s="81"/>
      <c r="G50" s="81"/>
      <c r="H50" s="103"/>
      <c r="I50" s="1"/>
      <c r="J50" s="293" t="s">
        <v>143</v>
      </c>
      <c r="K50" s="294"/>
      <c r="L50" s="294"/>
      <c r="M50" s="294"/>
      <c r="N50" s="294"/>
      <c r="O50" s="295"/>
      <c r="P50" s="1"/>
    </row>
    <row r="51" spans="1:16" ht="20" thickTop="1" thickBot="1" x14ac:dyDescent="1.05">
      <c r="A51" s="1"/>
      <c r="B51" s="1"/>
      <c r="C51" s="104" t="s">
        <v>132</v>
      </c>
      <c r="D51" s="34"/>
      <c r="E51" s="34"/>
      <c r="F51" s="34"/>
      <c r="G51" s="34"/>
      <c r="H51" s="105"/>
      <c r="I51" s="1"/>
      <c r="J51" s="275" t="str">
        <f>VLOOKUP(D13,DATABASE!B5:BB54,53,FALSE)</f>
        <v>He is very good at learning.</v>
      </c>
      <c r="K51" s="276"/>
      <c r="L51" s="276"/>
      <c r="M51" s="276"/>
      <c r="N51" s="276"/>
      <c r="O51" s="277"/>
      <c r="P51" s="1"/>
    </row>
    <row r="52" spans="1:16" ht="19.25" thickBot="1" x14ac:dyDescent="1.05">
      <c r="A52" s="1"/>
      <c r="B52" s="1"/>
      <c r="C52" s="102" t="s">
        <v>133</v>
      </c>
      <c r="D52" s="81"/>
      <c r="E52" s="81"/>
      <c r="F52" s="81"/>
      <c r="G52" s="81"/>
      <c r="H52" s="103"/>
      <c r="I52" s="1"/>
      <c r="J52" s="278"/>
      <c r="K52" s="279"/>
      <c r="L52" s="279"/>
      <c r="M52" s="279"/>
      <c r="N52" s="279"/>
      <c r="O52" s="280"/>
      <c r="P52" s="1"/>
    </row>
    <row r="53" spans="1:16" ht="19.25" thickBot="1" x14ac:dyDescent="1.05">
      <c r="A53" s="1"/>
      <c r="B53" s="1"/>
      <c r="C53" s="104" t="s">
        <v>134</v>
      </c>
      <c r="D53" s="34"/>
      <c r="E53" s="34"/>
      <c r="F53" s="34"/>
      <c r="G53" s="34"/>
      <c r="H53" s="105"/>
      <c r="I53" s="1"/>
      <c r="J53" s="278"/>
      <c r="K53" s="279"/>
      <c r="L53" s="279"/>
      <c r="M53" s="279"/>
      <c r="N53" s="279"/>
      <c r="O53" s="280"/>
      <c r="P53" s="1"/>
    </row>
    <row r="54" spans="1:16" ht="19.25" thickBot="1" x14ac:dyDescent="1.05">
      <c r="A54" s="1"/>
      <c r="B54" s="1"/>
      <c r="C54" s="102" t="s">
        <v>135</v>
      </c>
      <c r="D54" s="81"/>
      <c r="E54" s="81"/>
      <c r="F54" s="81"/>
      <c r="G54" s="81"/>
      <c r="H54" s="103"/>
      <c r="I54" s="1"/>
      <c r="J54" s="281"/>
      <c r="K54" s="282"/>
      <c r="L54" s="282"/>
      <c r="M54" s="282"/>
      <c r="N54" s="282"/>
      <c r="O54" s="283"/>
      <c r="P54" s="1"/>
    </row>
    <row r="55" spans="1:16" ht="18.5" x14ac:dyDescent="0.9">
      <c r="A55" s="1"/>
      <c r="B55" s="1"/>
      <c r="C55" s="104" t="s">
        <v>136</v>
      </c>
      <c r="D55" s="34"/>
      <c r="E55" s="34"/>
      <c r="F55" s="34"/>
      <c r="G55" s="34"/>
      <c r="H55" s="105"/>
      <c r="I55" s="1"/>
      <c r="J55" s="266" t="s">
        <v>239</v>
      </c>
      <c r="K55" s="267"/>
      <c r="L55" s="267"/>
      <c r="M55" s="267"/>
      <c r="N55" s="267"/>
      <c r="O55" s="268"/>
      <c r="P55" s="1"/>
    </row>
    <row r="56" spans="1:16" ht="18.5" x14ac:dyDescent="0.9">
      <c r="A56" s="1"/>
      <c r="B56" s="1"/>
      <c r="C56" s="102" t="s">
        <v>137</v>
      </c>
      <c r="D56" s="81"/>
      <c r="E56" s="81"/>
      <c r="F56" s="81"/>
      <c r="G56" s="81"/>
      <c r="H56" s="103"/>
      <c r="I56" s="1"/>
      <c r="J56" s="266"/>
      <c r="K56" s="267"/>
      <c r="L56" s="267"/>
      <c r="M56" s="267"/>
      <c r="N56" s="267"/>
      <c r="O56" s="268"/>
      <c r="P56" s="1"/>
    </row>
    <row r="57" spans="1:16" ht="19.25" thickBot="1" x14ac:dyDescent="1.05">
      <c r="A57" s="1"/>
      <c r="B57" s="1"/>
      <c r="C57" s="107" t="s">
        <v>138</v>
      </c>
      <c r="D57" s="108"/>
      <c r="E57" s="108"/>
      <c r="F57" s="108"/>
      <c r="G57" s="108"/>
      <c r="H57" s="109"/>
      <c r="I57" s="1"/>
      <c r="J57" s="269"/>
      <c r="K57" s="270"/>
      <c r="L57" s="270"/>
      <c r="M57" s="270"/>
      <c r="N57" s="270"/>
      <c r="O57" s="271"/>
      <c r="P57" s="1"/>
    </row>
    <row r="58" spans="1:16" ht="15.5" thickTop="1" x14ac:dyDescent="0.7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x14ac:dyDescent="0.7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x14ac:dyDescent="0.7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x14ac:dyDescent="0.75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x14ac:dyDescent="0.75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x14ac:dyDescent="0.75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x14ac:dyDescent="0.75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x14ac:dyDescent="0.7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x14ac:dyDescent="0.7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x14ac:dyDescent="0.7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2:16" x14ac:dyDescent="0.7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2:16" x14ac:dyDescent="0.7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2:16" x14ac:dyDescent="0.7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2:16" x14ac:dyDescent="0.7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2:16" x14ac:dyDescent="0.7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2:16" x14ac:dyDescent="0.7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2:16" x14ac:dyDescent="0.7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</sheetData>
  <sheetProtection formatCells="0" insertHyperlinks="0"/>
  <mergeCells count="36">
    <mergeCell ref="F3:J7"/>
    <mergeCell ref="C3:D12"/>
    <mergeCell ref="D39:H39"/>
    <mergeCell ref="C39:C40"/>
    <mergeCell ref="N20:O20"/>
    <mergeCell ref="N21:O21"/>
    <mergeCell ref="N22:O22"/>
    <mergeCell ref="N23:O23"/>
    <mergeCell ref="N24:O24"/>
    <mergeCell ref="H25:L25"/>
    <mergeCell ref="D13:G13"/>
    <mergeCell ref="D15:G15"/>
    <mergeCell ref="D17:G17"/>
    <mergeCell ref="J34:K34"/>
    <mergeCell ref="J33:K33"/>
    <mergeCell ref="H20:L20"/>
    <mergeCell ref="J55:O57"/>
    <mergeCell ref="J50:O50"/>
    <mergeCell ref="J45:O47"/>
    <mergeCell ref="H22:L22"/>
    <mergeCell ref="H23:L23"/>
    <mergeCell ref="H24:L24"/>
    <mergeCell ref="J51:O54"/>
    <mergeCell ref="J15:K15"/>
    <mergeCell ref="J13:K13"/>
    <mergeCell ref="L33:O33"/>
    <mergeCell ref="L34:O34"/>
    <mergeCell ref="J40:O44"/>
    <mergeCell ref="J39:O39"/>
    <mergeCell ref="H26:L26"/>
    <mergeCell ref="H27:L27"/>
    <mergeCell ref="H28:L28"/>
    <mergeCell ref="H29:L29"/>
    <mergeCell ref="H30:L30"/>
    <mergeCell ref="N25:O25"/>
    <mergeCell ref="H21:L21"/>
  </mergeCells>
  <printOptions horizontalCentered="1" verticalCentered="1"/>
  <pageMargins left="0.1" right="0.1" top="0.1" bottom="0.1" header="0.1" footer="0.1"/>
  <pageSetup paperSize="9" scale="64" orientation="portrait" horizontalDpi="4294967295" verticalDpi="4294967295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A166817-F3B1-4EEA-8F9E-41D4321E2419}">
          <x14:formula1>
            <xm:f>DATABASE!$B$6:$B$55</xm:f>
          </x14:formula1>
          <xm:sqref>D13:G13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71C7E0-DE48-404D-9FF5-0EBCC62CE2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54</vt:i4>
      </vt:variant>
    </vt:vector>
  </HeadingPairs>
  <TitlesOfParts>
    <vt:vector size="60" baseType="lpstr">
      <vt:lpstr>SHEET</vt:lpstr>
      <vt:lpstr>DATABASE</vt:lpstr>
      <vt:lpstr>1ST CA BROADSHEET</vt:lpstr>
      <vt:lpstr>HALF TERM REPORT</vt:lpstr>
      <vt:lpstr>FINAL BROADSHEET</vt:lpstr>
      <vt:lpstr>EXAM REPORT</vt:lpstr>
      <vt:lpstr>cell1</vt:lpstr>
      <vt:lpstr>cell10</vt:lpstr>
      <vt:lpstr>cell11</vt:lpstr>
      <vt:lpstr>cell12</vt:lpstr>
      <vt:lpstr>cell13</vt:lpstr>
      <vt:lpstr>cell14</vt:lpstr>
      <vt:lpstr>cell15</vt:lpstr>
      <vt:lpstr>cell16</vt:lpstr>
      <vt:lpstr>cell17</vt:lpstr>
      <vt:lpstr>cell18</vt:lpstr>
      <vt:lpstr>cell19</vt:lpstr>
      <vt:lpstr>cell2</vt:lpstr>
      <vt:lpstr>cell20</vt:lpstr>
      <vt:lpstr>cell21</vt:lpstr>
      <vt:lpstr>cell22</vt:lpstr>
      <vt:lpstr>cell23</vt:lpstr>
      <vt:lpstr>cell24</vt:lpstr>
      <vt:lpstr>cell25</vt:lpstr>
      <vt:lpstr>cell26</vt:lpstr>
      <vt:lpstr>cell27</vt:lpstr>
      <vt:lpstr>cell28</vt:lpstr>
      <vt:lpstr>cell29</vt:lpstr>
      <vt:lpstr>cell3</vt:lpstr>
      <vt:lpstr>cell30</vt:lpstr>
      <vt:lpstr>cell31</vt:lpstr>
      <vt:lpstr>cell32</vt:lpstr>
      <vt:lpstr>cell33</vt:lpstr>
      <vt:lpstr>cell34</vt:lpstr>
      <vt:lpstr>cell35</vt:lpstr>
      <vt:lpstr>cell36</vt:lpstr>
      <vt:lpstr>cell37</vt:lpstr>
      <vt:lpstr>cell38</vt:lpstr>
      <vt:lpstr>cell39</vt:lpstr>
      <vt:lpstr>cell4</vt:lpstr>
      <vt:lpstr>cell40</vt:lpstr>
      <vt:lpstr>cell41</vt:lpstr>
      <vt:lpstr>cell42</vt:lpstr>
      <vt:lpstr>cell43</vt:lpstr>
      <vt:lpstr>cell44</vt:lpstr>
      <vt:lpstr>cell45</vt:lpstr>
      <vt:lpstr>cell46</vt:lpstr>
      <vt:lpstr>cell47</vt:lpstr>
      <vt:lpstr>cell48</vt:lpstr>
      <vt:lpstr>cell49</vt:lpstr>
      <vt:lpstr>cell5</vt:lpstr>
      <vt:lpstr>cell50</vt:lpstr>
      <vt:lpstr>cell6</vt:lpstr>
      <vt:lpstr>cell7</vt:lpstr>
      <vt:lpstr>cell8</vt:lpstr>
      <vt:lpstr>cell9</vt:lpstr>
      <vt:lpstr>'1ST CA BROADSHEET'!Print_Area</vt:lpstr>
      <vt:lpstr>'EXAM REPORT'!Print_Area</vt:lpstr>
      <vt:lpstr>'FINAL BROADSHEET'!Print_Area</vt:lpstr>
      <vt:lpstr>'HALF TERM REPORT'!Print_Area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Nwokenekwu</dc:creator>
  <cp:lastModifiedBy>victor Nwokenekwu</cp:lastModifiedBy>
  <cp:lastPrinted>2024-03-02T21:32:12Z</cp:lastPrinted>
  <dcterms:created xsi:type="dcterms:W3CDTF">2024-01-11T11:44:34Z</dcterms:created>
  <dcterms:modified xsi:type="dcterms:W3CDTF">2024-03-10T00:47:22Z</dcterms:modified>
</cp:coreProperties>
</file>