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r.saccomanno\Box\GitHub\federal-fish-disasters\"/>
    </mc:Choice>
  </mc:AlternateContent>
  <xr:revisionPtr revIDLastSave="0" documentId="13_ncr:1_{BA3C9E36-6EFE-4BB1-A12E-D429A1289543}" xr6:coauthVersionLast="41" xr6:coauthVersionMax="41" xr10:uidLastSave="{00000000-0000-0000-0000-000000000000}"/>
  <bookViews>
    <workbookView xWindow="-28920" yWindow="-120" windowWidth="29040" windowHeight="15840" activeTab="2" xr2:uid="{00000000-000D-0000-FFFF-FFFF00000000}"/>
  </bookViews>
  <sheets>
    <sheet name="economic_estimate_11.19.19" sheetId="1" r:id="rId1"/>
    <sheet name="Tribal" sheetId="5" r:id="rId2"/>
    <sheet name="Missing_est" sheetId="3" r:id="rId3"/>
    <sheet name="ESRI_MAPINFO_SHEET" sheetId="6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4" i="1" l="1"/>
  <c r="M144" i="1"/>
  <c r="L144" i="1"/>
  <c r="K144" i="1"/>
  <c r="I144" i="1"/>
  <c r="G149" i="1"/>
  <c r="G148" i="1"/>
  <c r="G147" i="1"/>
  <c r="G146" i="1"/>
  <c r="G145" i="1"/>
  <c r="G144" i="1"/>
  <c r="H81" i="1"/>
  <c r="G90" i="1"/>
  <c r="I89" i="1" s="1"/>
  <c r="M89" i="1" s="1"/>
  <c r="N89" i="1" s="1"/>
  <c r="G89" i="1"/>
  <c r="M87" i="1"/>
  <c r="N87" i="1" s="1"/>
  <c r="H87" i="1"/>
  <c r="G67" i="1"/>
  <c r="I66" i="1" s="1"/>
  <c r="G66" i="1"/>
  <c r="G63" i="1"/>
  <c r="G65" i="1"/>
  <c r="I63" i="1" s="1"/>
  <c r="G64" i="1"/>
  <c r="K89" i="1" l="1"/>
  <c r="L89" i="1" s="1"/>
  <c r="M64" i="1"/>
  <c r="N64" i="1" s="1"/>
  <c r="K64" i="1"/>
  <c r="K63" i="1"/>
  <c r="K66" i="1"/>
  <c r="L66" i="1" s="1"/>
  <c r="M66" i="1"/>
  <c r="N66" i="1" s="1"/>
  <c r="L63" i="1"/>
  <c r="M63" i="1"/>
  <c r="N63" i="1" s="1"/>
  <c r="L64" i="1"/>
  <c r="I205" i="1"/>
  <c r="K206" i="1" s="1"/>
  <c r="L206" i="1" s="1"/>
  <c r="I91" i="1"/>
  <c r="K92" i="1" s="1"/>
  <c r="L92" i="1" s="1"/>
  <c r="H91" i="1"/>
  <c r="J92" i="1" s="1"/>
  <c r="I68" i="1"/>
  <c r="K69" i="1" s="1"/>
  <c r="L69" i="1" s="1"/>
  <c r="H68" i="1"/>
  <c r="J68" i="1" s="1"/>
  <c r="K13" i="1"/>
  <c r="L13" i="1" s="1"/>
  <c r="I12" i="1"/>
  <c r="M13" i="1" s="1"/>
  <c r="N13" i="1" s="1"/>
  <c r="H12" i="1"/>
  <c r="J13" i="1" s="1"/>
  <c r="R19" i="1"/>
  <c r="I175" i="1"/>
  <c r="K175" i="1" s="1"/>
  <c r="L175" i="1" s="1"/>
  <c r="H175" i="1"/>
  <c r="J175" i="1" s="1"/>
  <c r="M110" i="1"/>
  <c r="N110" i="1" s="1"/>
  <c r="K110" i="1"/>
  <c r="L110" i="1" s="1"/>
  <c r="H111" i="1"/>
  <c r="J111" i="1" s="1"/>
  <c r="I111" i="1"/>
  <c r="M111" i="1" s="1"/>
  <c r="N111" i="1" s="1"/>
  <c r="H117" i="1"/>
  <c r="J117" i="1" s="1"/>
  <c r="I117" i="1"/>
  <c r="M117" i="1" s="1"/>
  <c r="N117" i="1" s="1"/>
  <c r="K117" i="1"/>
  <c r="L117" i="1" s="1"/>
  <c r="H123" i="1"/>
  <c r="J123" i="1" s="1"/>
  <c r="I123" i="1"/>
  <c r="M123" i="1" s="1"/>
  <c r="N123" i="1" s="1"/>
  <c r="N62" i="1"/>
  <c r="N150" i="1"/>
  <c r="M175" i="1"/>
  <c r="N175" i="1" s="1"/>
  <c r="R22" i="1"/>
  <c r="I297" i="1"/>
  <c r="K297" i="1" s="1"/>
  <c r="L297" i="1" s="1"/>
  <c r="H297" i="1"/>
  <c r="J297" i="1" s="1"/>
  <c r="I6" i="1"/>
  <c r="M6" i="1" s="1"/>
  <c r="N6" i="1" s="1"/>
  <c r="H6" i="1"/>
  <c r="J6" i="1" s="1"/>
  <c r="I157" i="1"/>
  <c r="M157" i="1" s="1"/>
  <c r="N157" i="1" s="1"/>
  <c r="H157" i="1"/>
  <c r="J157" i="1" s="1"/>
  <c r="H169" i="1"/>
  <c r="J169" i="1" s="1"/>
  <c r="I169" i="1"/>
  <c r="K169" i="1" s="1"/>
  <c r="L169" i="1" s="1"/>
  <c r="G216" i="1"/>
  <c r="G212" i="1"/>
  <c r="G213" i="1"/>
  <c r="G214" i="1"/>
  <c r="G215" i="1"/>
  <c r="G217" i="1"/>
  <c r="I231" i="1"/>
  <c r="M231" i="1" s="1"/>
  <c r="N231" i="1" s="1"/>
  <c r="H231" i="1"/>
  <c r="J231" i="1" s="1"/>
  <c r="I219" i="1"/>
  <c r="M219" i="1" s="1"/>
  <c r="N219" i="1" s="1"/>
  <c r="H219" i="1"/>
  <c r="J219" i="1" s="1"/>
  <c r="I225" i="1"/>
  <c r="M225" i="1" s="1"/>
  <c r="N225" i="1" s="1"/>
  <c r="H225" i="1"/>
  <c r="J225" i="1" s="1"/>
  <c r="I246" i="1"/>
  <c r="M246" i="1" s="1"/>
  <c r="N246" i="1" s="1"/>
  <c r="H246" i="1"/>
  <c r="J246" i="1" s="1"/>
  <c r="N279" i="1"/>
  <c r="M169" i="1"/>
  <c r="N169" i="1" s="1"/>
  <c r="K246" i="1"/>
  <c r="L246" i="1" s="1"/>
  <c r="K231" i="1"/>
  <c r="L231" i="1" s="1"/>
  <c r="N56" i="1"/>
  <c r="I359" i="1"/>
  <c r="K359" i="1" s="1"/>
  <c r="L359" i="1" s="1"/>
  <c r="H359" i="1"/>
  <c r="J359" i="1" s="1"/>
  <c r="I351" i="1"/>
  <c r="M352" i="1" s="1"/>
  <c r="N352" i="1" s="1"/>
  <c r="H351" i="1"/>
  <c r="J351" i="1" s="1"/>
  <c r="H345" i="1"/>
  <c r="J345" i="1" s="1"/>
  <c r="I345" i="1"/>
  <c r="K345" i="1" s="1"/>
  <c r="L345" i="1" s="1"/>
  <c r="I339" i="1"/>
  <c r="K339" i="1" s="1"/>
  <c r="L339" i="1" s="1"/>
  <c r="M339" i="1"/>
  <c r="N339" i="1" s="1"/>
  <c r="H339" i="1"/>
  <c r="J339" i="1" s="1"/>
  <c r="I333" i="1"/>
  <c r="M333" i="1" s="1"/>
  <c r="N333" i="1" s="1"/>
  <c r="H333" i="1"/>
  <c r="J333" i="1" s="1"/>
  <c r="I327" i="1"/>
  <c r="M327" i="1" s="1"/>
  <c r="N327" i="1" s="1"/>
  <c r="H327" i="1"/>
  <c r="J327" i="1" s="1"/>
  <c r="I321" i="1"/>
  <c r="M321" i="1" s="1"/>
  <c r="N321" i="1" s="1"/>
  <c r="H321" i="1"/>
  <c r="J321" i="1" s="1"/>
  <c r="I315" i="1"/>
  <c r="M315" i="1" s="1"/>
  <c r="N315" i="1" s="1"/>
  <c r="H315" i="1"/>
  <c r="J315" i="1" s="1"/>
  <c r="I309" i="1"/>
  <c r="M309" i="1" s="1"/>
  <c r="N309" i="1" s="1"/>
  <c r="H309" i="1"/>
  <c r="J309" i="1" s="1"/>
  <c r="I303" i="1"/>
  <c r="M303" i="1" s="1"/>
  <c r="N303" i="1" s="1"/>
  <c r="H303" i="1"/>
  <c r="J303" i="1" s="1"/>
  <c r="H291" i="1"/>
  <c r="J291" i="1" s="1"/>
  <c r="I291" i="1"/>
  <c r="K291" i="1" s="1"/>
  <c r="L291" i="1" s="1"/>
  <c r="I285" i="1"/>
  <c r="K285" i="1" s="1"/>
  <c r="L285" i="1" s="1"/>
  <c r="H285" i="1"/>
  <c r="J285" i="1"/>
  <c r="H273" i="1"/>
  <c r="J273" i="1" s="1"/>
  <c r="I273" i="1"/>
  <c r="K273" i="1" s="1"/>
  <c r="L273" i="1" s="1"/>
  <c r="H258" i="1"/>
  <c r="J258" i="1" s="1"/>
  <c r="I258" i="1"/>
  <c r="M258" i="1" s="1"/>
  <c r="N258" i="1" s="1"/>
  <c r="I252" i="1"/>
  <c r="K252" i="1" s="1"/>
  <c r="L252" i="1" s="1"/>
  <c r="H252" i="1"/>
  <c r="J252" i="1" s="1"/>
  <c r="I264" i="1"/>
  <c r="K266" i="1" s="1"/>
  <c r="L266" i="1" s="1"/>
  <c r="H264" i="1"/>
  <c r="J264" i="1" s="1"/>
  <c r="I237" i="1"/>
  <c r="K238" i="1" s="1"/>
  <c r="L238" i="1" s="1"/>
  <c r="H237" i="1"/>
  <c r="J239" i="1" s="1"/>
  <c r="H205" i="1"/>
  <c r="J206" i="1" s="1"/>
  <c r="I199" i="1"/>
  <c r="M199" i="1" s="1"/>
  <c r="N199" i="1" s="1"/>
  <c r="H199" i="1"/>
  <c r="J199" i="1" s="1"/>
  <c r="I193" i="1"/>
  <c r="M193" i="1" s="1"/>
  <c r="N193" i="1" s="1"/>
  <c r="H193" i="1"/>
  <c r="J193" i="1" s="1"/>
  <c r="I187" i="1"/>
  <c r="K187" i="1" s="1"/>
  <c r="L187" i="1" s="1"/>
  <c r="H187" i="1"/>
  <c r="J187" i="1" s="1"/>
  <c r="I181" i="1"/>
  <c r="K181" i="1" s="1"/>
  <c r="L181" i="1" s="1"/>
  <c r="H181" i="1"/>
  <c r="J181" i="1"/>
  <c r="I163" i="1"/>
  <c r="K163" i="1" s="1"/>
  <c r="L163" i="1" s="1"/>
  <c r="H163" i="1"/>
  <c r="J163" i="1" s="1"/>
  <c r="I151" i="1"/>
  <c r="M151" i="1" s="1"/>
  <c r="N151" i="1" s="1"/>
  <c r="H151" i="1"/>
  <c r="J151" i="1" s="1"/>
  <c r="I138" i="1"/>
  <c r="M138" i="1" s="1"/>
  <c r="N138" i="1" s="1"/>
  <c r="H138" i="1"/>
  <c r="J138" i="1" s="1"/>
  <c r="I130" i="1"/>
  <c r="M132" i="1" s="1"/>
  <c r="N132" i="1" s="1"/>
  <c r="H130" i="1"/>
  <c r="J132" i="1" s="1"/>
  <c r="I104" i="1"/>
  <c r="M104" i="1" s="1"/>
  <c r="N104" i="1" s="1"/>
  <c r="H104" i="1"/>
  <c r="J104" i="1" s="1"/>
  <c r="I98" i="1"/>
  <c r="K98" i="1" s="1"/>
  <c r="L98" i="1" s="1"/>
  <c r="H98" i="1"/>
  <c r="J98" i="1" s="1"/>
  <c r="I81" i="1"/>
  <c r="K81" i="1" s="1"/>
  <c r="L81" i="1" s="1"/>
  <c r="J81" i="1"/>
  <c r="I75" i="1"/>
  <c r="M75" i="1" s="1"/>
  <c r="N75" i="1" s="1"/>
  <c r="H75" i="1"/>
  <c r="J75" i="1" s="1"/>
  <c r="I50" i="1"/>
  <c r="K50" i="1" s="1"/>
  <c r="L50" i="1" s="1"/>
  <c r="H50" i="1"/>
  <c r="J50" i="1" s="1"/>
  <c r="I43" i="1"/>
  <c r="M43" i="1" s="1"/>
  <c r="N43" i="1" s="1"/>
  <c r="H43" i="1"/>
  <c r="J43" i="1" s="1"/>
  <c r="I31" i="1"/>
  <c r="K31" i="1" s="1"/>
  <c r="L31" i="1" s="1"/>
  <c r="H31" i="1"/>
  <c r="J31" i="1" s="1"/>
  <c r="I25" i="1"/>
  <c r="K25" i="1" s="1"/>
  <c r="L25" i="1" s="1"/>
  <c r="H25" i="1"/>
  <c r="J25" i="1" s="1"/>
  <c r="I19" i="1"/>
  <c r="M19" i="1" s="1"/>
  <c r="N19" i="1" s="1"/>
  <c r="H19" i="1"/>
  <c r="J19" i="1" s="1"/>
  <c r="K12" i="1"/>
  <c r="L12" i="1" s="1"/>
  <c r="H56" i="1"/>
  <c r="F42" i="1"/>
  <c r="F41" i="1"/>
  <c r="F40" i="1"/>
  <c r="F39" i="1"/>
  <c r="F38" i="1"/>
  <c r="G42" i="1"/>
  <c r="G41" i="1"/>
  <c r="G40" i="1"/>
  <c r="G39" i="1"/>
  <c r="G38" i="1"/>
  <c r="G37" i="1"/>
  <c r="F37" i="1"/>
  <c r="M49" i="1"/>
  <c r="N49" i="1" s="1"/>
  <c r="K333" i="1"/>
  <c r="L333" i="1"/>
  <c r="K151" i="1"/>
  <c r="L151" i="1" s="1"/>
  <c r="K303" i="1"/>
  <c r="L303" i="1" s="1"/>
  <c r="K309" i="1"/>
  <c r="L309" i="1" s="1"/>
  <c r="K193" i="1"/>
  <c r="L193" i="1" s="1"/>
  <c r="K43" i="1"/>
  <c r="L43" i="1" s="1"/>
  <c r="K321" i="1" l="1"/>
  <c r="L321" i="1" s="1"/>
  <c r="K104" i="1"/>
  <c r="L104" i="1" s="1"/>
  <c r="J69" i="1"/>
  <c r="M359" i="1"/>
  <c r="N359" i="1" s="1"/>
  <c r="K123" i="1"/>
  <c r="L123" i="1" s="1"/>
  <c r="M252" i="1"/>
  <c r="N252" i="1" s="1"/>
  <c r="M50" i="1"/>
  <c r="N50" i="1" s="1"/>
  <c r="M205" i="1"/>
  <c r="N205" i="1" s="1"/>
  <c r="K138" i="1"/>
  <c r="L138" i="1" s="1"/>
  <c r="K315" i="1"/>
  <c r="L315" i="1" s="1"/>
  <c r="M81" i="1"/>
  <c r="N81" i="1" s="1"/>
  <c r="M163" i="1"/>
  <c r="N163" i="1" s="1"/>
  <c r="K6" i="1"/>
  <c r="L6" i="1" s="1"/>
  <c r="M297" i="1"/>
  <c r="N297" i="1" s="1"/>
  <c r="I212" i="1"/>
  <c r="M213" i="1" s="1"/>
  <c r="N213" i="1" s="1"/>
  <c r="M285" i="1"/>
  <c r="N285" i="1" s="1"/>
  <c r="M25" i="1"/>
  <c r="N25" i="1" s="1"/>
  <c r="H37" i="1"/>
  <c r="J37" i="1" s="1"/>
  <c r="M31" i="1"/>
  <c r="N31" i="1" s="1"/>
  <c r="M187" i="1"/>
  <c r="N187" i="1" s="1"/>
  <c r="M264" i="1"/>
  <c r="N264" i="1" s="1"/>
  <c r="K19" i="1"/>
  <c r="L19" i="1" s="1"/>
  <c r="K213" i="1"/>
  <c r="K132" i="1"/>
  <c r="L132" i="1" s="1"/>
  <c r="J266" i="1"/>
  <c r="M130" i="1"/>
  <c r="N130" i="1" s="1"/>
  <c r="K264" i="1"/>
  <c r="L264" i="1" s="1"/>
  <c r="I37" i="1"/>
  <c r="K37" i="1" s="1"/>
  <c r="L37" i="1" s="1"/>
  <c r="K258" i="1"/>
  <c r="L258" i="1" s="1"/>
  <c r="K157" i="1"/>
  <c r="L157" i="1" s="1"/>
  <c r="K265" i="1"/>
  <c r="L265" i="1" s="1"/>
  <c r="K237" i="1"/>
  <c r="L237" i="1" s="1"/>
  <c r="M265" i="1"/>
  <c r="N265" i="1" s="1"/>
  <c r="M345" i="1"/>
  <c r="N345" i="1" s="1"/>
  <c r="M181" i="1"/>
  <c r="N181" i="1" s="1"/>
  <c r="K111" i="1"/>
  <c r="L111" i="1" s="1"/>
  <c r="M12" i="1"/>
  <c r="N12" i="1" s="1"/>
  <c r="M91" i="1"/>
  <c r="N91" i="1" s="1"/>
  <c r="M237" i="1"/>
  <c r="N237" i="1" s="1"/>
  <c r="M266" i="1"/>
  <c r="N266" i="1" s="1"/>
  <c r="M273" i="1"/>
  <c r="N273" i="1" s="1"/>
  <c r="J131" i="1"/>
  <c r="M239" i="1"/>
  <c r="N239" i="1" s="1"/>
  <c r="K351" i="1"/>
  <c r="L351" i="1" s="1"/>
  <c r="K219" i="1"/>
  <c r="L219" i="1" s="1"/>
  <c r="K131" i="1"/>
  <c r="L131" i="1" s="1"/>
  <c r="J265" i="1"/>
  <c r="M351" i="1"/>
  <c r="N351" i="1" s="1"/>
  <c r="M92" i="1"/>
  <c r="N92" i="1" s="1"/>
  <c r="M206" i="1"/>
  <c r="N206" i="1" s="1"/>
  <c r="J12" i="1"/>
  <c r="K91" i="1"/>
  <c r="L91" i="1" s="1"/>
  <c r="M131" i="1"/>
  <c r="N131" i="1" s="1"/>
  <c r="K205" i="1"/>
  <c r="L205" i="1" s="1"/>
  <c r="M98" i="1"/>
  <c r="N98" i="1" s="1"/>
  <c r="K75" i="1"/>
  <c r="L75" i="1" s="1"/>
  <c r="K199" i="1"/>
  <c r="L199" i="1" s="1"/>
  <c r="K327" i="1"/>
  <c r="L327" i="1" s="1"/>
  <c r="M68" i="1"/>
  <c r="N68" i="1" s="1"/>
  <c r="K130" i="1"/>
  <c r="L130" i="1" s="1"/>
  <c r="M212" i="1"/>
  <c r="N212" i="1" s="1"/>
  <c r="K239" i="1"/>
  <c r="L239" i="1" s="1"/>
  <c r="J352" i="1"/>
  <c r="M353" i="1"/>
  <c r="N353" i="1" s="1"/>
  <c r="M69" i="1"/>
  <c r="N69" i="1" s="1"/>
  <c r="J237" i="1"/>
  <c r="K352" i="1"/>
  <c r="L352" i="1" s="1"/>
  <c r="K68" i="1"/>
  <c r="L68" i="1" s="1"/>
  <c r="J91" i="1"/>
  <c r="J205" i="1"/>
  <c r="J238" i="1"/>
  <c r="K353" i="1"/>
  <c r="L353" i="1" s="1"/>
  <c r="M291" i="1"/>
  <c r="N291" i="1" s="1"/>
  <c r="K225" i="1"/>
  <c r="L225" i="1" s="1"/>
  <c r="J130" i="1"/>
  <c r="M238" i="1"/>
  <c r="N238" i="1" s="1"/>
  <c r="J353" i="1"/>
  <c r="K212" i="1" l="1"/>
  <c r="L212" i="1" s="1"/>
  <c r="R6" i="1" s="1"/>
  <c r="M37" i="1"/>
  <c r="N37" i="1" s="1"/>
  <c r="R9" i="1" s="1"/>
  <c r="S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tc={4B740E17-2A1F-4772-BB8C-BF1B22DB2D36}</author>
    <author>tc={5618D2EE-836C-4C26-B11D-19CBEC4AA8FF}</author>
    <author>tc={2B54977F-3DC1-45F7-A507-E96A13B10B7E}</author>
    <author>tc={4A64515E-22B5-48E3-BE36-9DEDC6ED997D}</author>
    <author>tc={6331224E-71D0-4C18-A8C5-C880DCB1287A}</author>
    <author>tc={4FCA40A7-F7B2-4820-83D7-B38413349532}</author>
    <author>tc={35AB7E0A-6BAD-479E-BF67-6FA85536DE8B}</author>
    <author>tc={CA2417E6-D14C-4271-AD20-E31922A58869}</author>
    <author>tc={4A721708-92D4-4874-AAAE-E96CE0CC945F}</author>
    <author>tc={7DD6A034-2C69-403F-9B6F-51C67A70590F}</author>
    <author>tc={B5222520-A64C-4AB4-8D17-E029B3CC372C}</author>
    <author>tc={894A471B-FD03-4199-9211-3E271EAFB4BE}</author>
    <author>tc={1D61D79B-747A-4EAB-AE3F-6808F188B3E7}</author>
    <author>tc={933FB0AF-83A3-4CAC-B858-B6C863BE2926}</author>
    <author>tc={CE8DC620-885E-4207-9560-1739914401CD}</author>
    <author>tc={E9D6DE67-47A9-4E44-A93E-E4BAEC5C8A47}</author>
  </authors>
  <commentList>
    <comment ref="A4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Revenue loss data was isolated from the request letter, not hand caclulated. Did not provide previous year estimates</t>
      </text>
    </comment>
    <comment ref="A56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Revenue loss data taken from the request letter, read "direct financial imact" but doesn't clarify if it is only revenue</t>
      </text>
    </comment>
    <comment ref="A62" authorId="2" shapeId="0" xr:uid="{2B54977F-3DC1-45F7-A507-E96A13B10B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NOAA's analysis via a press release; high confidence</t>
      </text>
    </comment>
    <comment ref="A63" authorId="3" shapeId="0" xr:uid="{4A64515E-22B5-48E3-BE36-9DEDC6ED99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Because regionally specific (Klamath River Fall Chinook), request estimates were used for OR and CA (not for tribal). These included ex-vessl value and 5-year average. Medium confidence.</t>
      </text>
    </comment>
    <comment ref="A66" authorId="4" shapeId="0" xr:uid="{6331224E-71D0-4C18-A8C5-C880DCB128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confidence data; there were only numbers for 3 out of 7 impacted tribes; of these 3, estimates and averages
 were inconsistent.</t>
      </text>
    </comment>
    <comment ref="A87" authorId="5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taken from request letter; not 5-year historical data provided, however they state "direct economic estimate based on ex-vessel value". Medium confidence.</t>
      </text>
    </comment>
    <comment ref="A89" authorId="6" shapeId="0" xr:uid="{35AB7E0A-6BAD-479E-BF67-6FA85536DE8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request letter. No econ est from Squaxin or Nisqually; econ est from Port Gamble or S'Klallam. Low confidence</t>
      </text>
    </comment>
    <comment ref="B98" authorId="7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is state wide and doesn’t isolate Willapa and Grays</t>
      </text>
    </comment>
    <comment ref="A110" authorId="8" shapeId="0" xr:uid="{4A721708-92D4-4874-AAAE-E96CE0CC945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PR; high confidence</t>
      </text>
    </comment>
    <comment ref="A150" authorId="9" shapeId="0" xr:uid="{7DD6A034-2C69-403F-9B6F-51C67A70590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the federal registrer; high confidence</t>
      </text>
    </comment>
    <comment ref="A163" authorId="10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not have got all regional "shellfish"</t>
      </text>
    </comment>
    <comment ref="A205" authorId="11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B237" authorId="12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B252" authorId="13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A279" authorId="14" shapeId="0" xr:uid="{CE8DC620-885E-4207-9560-1739914401C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Estimates from request letter for both "Indian and non-Indian" losses; they do not break down data, but the do specify thatthe econ estimate is in "direct benefits". Medium confidence</t>
      </text>
    </comment>
    <comment ref="B285" authorId="1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Hand-selected specific species</t>
      </text>
    </comment>
  </commentList>
</comments>
</file>

<file path=xl/sharedStrings.xml><?xml version="1.0" encoding="utf-8"?>
<sst xmlns="http://schemas.openxmlformats.org/spreadsheetml/2006/main" count="1261" uniqueCount="188">
  <si>
    <t>Net increase in revenue</t>
  </si>
  <si>
    <t>Meet 35% decrease in revenue threshold</t>
  </si>
  <si>
    <t>Low confidence in data/estimate (see associated comment)</t>
  </si>
  <si>
    <t>disaster_num</t>
  </si>
  <si>
    <t>disaster_year</t>
  </si>
  <si>
    <t>year</t>
  </si>
  <si>
    <t>state</t>
  </si>
  <si>
    <t>AFS_name</t>
  </si>
  <si>
    <t>pounds</t>
  </si>
  <si>
    <t>dollars</t>
  </si>
  <si>
    <t>5_yr_avg_pounds</t>
  </si>
  <si>
    <t>5_yr_avg_value</t>
  </si>
  <si>
    <t>prct_dif_pounds</t>
  </si>
  <si>
    <t>prct_dif_value</t>
  </si>
  <si>
    <t>prct_decr_value</t>
  </si>
  <si>
    <t>dollar_diff_nominal</t>
  </si>
  <si>
    <t>dollar_diff_real ($2019)</t>
  </si>
  <si>
    <t>2017-2019</t>
  </si>
  <si>
    <t>CALIFORNIA</t>
  </si>
  <si>
    <t>SARDINE, PACIFIC</t>
  </si>
  <si>
    <t>Number of disasters with a net decrease in revenue</t>
  </si>
  <si>
    <t>2016-2017</t>
  </si>
  <si>
    <t>RED SEA URCHIN</t>
  </si>
  <si>
    <t>NORTH CAROLINA</t>
  </si>
  <si>
    <t>ALL FISH</t>
  </si>
  <si>
    <t>-</t>
  </si>
  <si>
    <t>FLORIDA</t>
  </si>
  <si>
    <t>ALASKA</t>
  </si>
  <si>
    <t>PACIFIC COD</t>
  </si>
  <si>
    <t>TEXAS</t>
  </si>
  <si>
    <t>WASHINGTON (TRIBAL)</t>
  </si>
  <si>
    <t>COHO SALMON</t>
  </si>
  <si>
    <t>2015-2016</t>
  </si>
  <si>
    <t>WASHINGTON</t>
  </si>
  <si>
    <t>SALMON, COHO</t>
  </si>
  <si>
    <t>SALMON, PINK</t>
  </si>
  <si>
    <t>SALMON, TROLL</t>
  </si>
  <si>
    <t>CRAB, DUNGENESS</t>
  </si>
  <si>
    <t>CRAB, DUNGENESS AND ROCK</t>
  </si>
  <si>
    <t>GEORGIA</t>
  </si>
  <si>
    <t>SHRIMP, WHITE</t>
  </si>
  <si>
    <t>NEW YORK AND NEW JERSEY</t>
  </si>
  <si>
    <t>Oyster, Eastern</t>
  </si>
  <si>
    <t>2011-2013</t>
  </si>
  <si>
    <t>MA, ME, NH, CT, RI, and NY</t>
  </si>
  <si>
    <t>GROUNDFISH</t>
  </si>
  <si>
    <t>MISSISSIPPI</t>
  </si>
  <si>
    <t>LA, MS, AL, and FL</t>
  </si>
  <si>
    <t>MAINE</t>
  </si>
  <si>
    <t>SHELLFISH</t>
  </si>
  <si>
    <t>LOUISIANA</t>
  </si>
  <si>
    <t>VIRGINIA, MARYLAND</t>
  </si>
  <si>
    <t>CRAB, BLUE</t>
  </si>
  <si>
    <t>WA, OR, CA</t>
  </si>
  <si>
    <t>West Coast Salmon</t>
  </si>
  <si>
    <t>CRAB, SNOW</t>
  </si>
  <si>
    <t>2005-2006</t>
  </si>
  <si>
    <t>2000-2003</t>
  </si>
  <si>
    <t>1997-2000</t>
  </si>
  <si>
    <t>SALMON</t>
  </si>
  <si>
    <t>Blue crab, white shrimp, oyester,scallop,flounder,snapper,Grouper</t>
  </si>
  <si>
    <t>NEW YORK, CT</t>
  </si>
  <si>
    <t>LOBSTER, AMERICAN</t>
  </si>
  <si>
    <t>STONE CRAB, SPINY LOBSTER</t>
  </si>
  <si>
    <t>LA, MS</t>
  </si>
  <si>
    <t>SHRIMO, BROWN</t>
  </si>
  <si>
    <t>ALASKA, BRISTOL BAY &amp; KUSKOKWIM</t>
  </si>
  <si>
    <t>MA, ME, CT, RI, NH</t>
  </si>
  <si>
    <t>AL, FL, MI, TA, LA</t>
  </si>
  <si>
    <t>1992-1994</t>
  </si>
  <si>
    <t>MA</t>
  </si>
  <si>
    <t>ALASKA (TRIBAL)</t>
  </si>
  <si>
    <t>SALMON, SOCKEYE</t>
  </si>
  <si>
    <t>SALMON, COHO &amp; CHINOOK</t>
  </si>
  <si>
    <t>AVERAGE PERCENT CHANGE (includes all disaster)</t>
  </si>
  <si>
    <t>WASHINGTON + TRIBAL</t>
  </si>
  <si>
    <t>SALMON,SOCKEYE</t>
  </si>
  <si>
    <t xml:space="preserve">CRAB, BLUE </t>
  </si>
  <si>
    <t>AL, MS, FL, LA</t>
  </si>
  <si>
    <t>ALL FISHERIES</t>
  </si>
  <si>
    <t>MASSACHUSETTS</t>
  </si>
  <si>
    <t>OR, CA</t>
  </si>
  <si>
    <t>ALASKA, YUKON</t>
  </si>
  <si>
    <t>SALMON, CHINOOK</t>
  </si>
  <si>
    <t>GROUNDFISH, MULTISPECIES</t>
  </si>
  <si>
    <t>CA, OR, WA</t>
  </si>
  <si>
    <t>Number of disasters with a net increase in revenue</t>
  </si>
  <si>
    <t>MEDIAN PERCENT CHANGE (includes all disaster)</t>
  </si>
  <si>
    <t>Percent of disasters with a net decrease in revenue</t>
  </si>
  <si>
    <t>America Samoa</t>
  </si>
  <si>
    <t>BOTTOMFISH</t>
  </si>
  <si>
    <t>Fishery</t>
  </si>
  <si>
    <t>Oyster, crab, shrimp, finfish</t>
  </si>
  <si>
    <t>State</t>
  </si>
  <si>
    <t>WA</t>
  </si>
  <si>
    <t>LA, MS,AL</t>
  </si>
  <si>
    <t>CA</t>
  </si>
  <si>
    <t>Chinook</t>
  </si>
  <si>
    <t>Sockeye</t>
  </si>
  <si>
    <t>contin</t>
  </si>
  <si>
    <t>Salmon</t>
  </si>
  <si>
    <t>2002-2009</t>
  </si>
  <si>
    <t>FL, PR, USVI</t>
  </si>
  <si>
    <t>ME, MA, NH</t>
  </si>
  <si>
    <t>FL</t>
  </si>
  <si>
    <t>2016-2018</t>
  </si>
  <si>
    <t>TOTAL REVENUE LOSS (loss only)</t>
  </si>
  <si>
    <t>California</t>
  </si>
  <si>
    <t>Chinook Salmon</t>
  </si>
  <si>
    <t>West Coast Region</t>
  </si>
  <si>
    <t>Klamath River Fall</t>
  </si>
  <si>
    <t>Tribal (Yurok)</t>
  </si>
  <si>
    <t>Species</t>
  </si>
  <si>
    <t>Region</t>
  </si>
  <si>
    <t>Area</t>
  </si>
  <si>
    <t>Tribe</t>
  </si>
  <si>
    <t>Oregon and California</t>
  </si>
  <si>
    <t>Tribal (Yurok &amp; Hoopa)</t>
  </si>
  <si>
    <t>Washington</t>
  </si>
  <si>
    <t>Coho and Pink Salmon</t>
  </si>
  <si>
    <t>Tribal (Hoh, Stillaguamish, Nooksak, Muckleshoot, Quileute, Upper Skagit, Suquamish)</t>
  </si>
  <si>
    <t>Klamath River</t>
  </si>
  <si>
    <t>Tribal (Yurok) / Commercial</t>
  </si>
  <si>
    <t xml:space="preserve">Coho, Chinook, Chum </t>
  </si>
  <si>
    <t xml:space="preserve">South Puget Sound </t>
  </si>
  <si>
    <t>Tribal (Nisqually, Squaxin Island, Port Gamble S'Klallam, Jamestown S'Klallam)</t>
  </si>
  <si>
    <t>Sockeye Salmon</t>
  </si>
  <si>
    <t>Fraser River</t>
  </si>
  <si>
    <t>Tribal (Elwha, Makah, Swinomish Tribes)</t>
  </si>
  <si>
    <t>2007 (continuation)</t>
  </si>
  <si>
    <t>Commercial</t>
  </si>
  <si>
    <t>Management</t>
  </si>
  <si>
    <t>Federal</t>
  </si>
  <si>
    <t>Tribal</t>
  </si>
  <si>
    <t>Notes</t>
  </si>
  <si>
    <t>2011-2015</t>
  </si>
  <si>
    <t>2010-2014</t>
  </si>
  <si>
    <t>SALMON, COHO &amp; Pink</t>
  </si>
  <si>
    <t>imputation</t>
  </si>
  <si>
    <t>2005-2014</t>
  </si>
  <si>
    <t>WASHINGTON, TRIBAL</t>
  </si>
  <si>
    <t>SALMON, COHO, CHINOOK, CHUM</t>
  </si>
  <si>
    <t>OREGON</t>
  </si>
  <si>
    <t>Federal, Tribal</t>
  </si>
  <si>
    <t>Confidence in data (H, M or L)</t>
  </si>
  <si>
    <t>High</t>
  </si>
  <si>
    <t>NOAA</t>
  </si>
  <si>
    <t>CDFW, PacFIN</t>
  </si>
  <si>
    <t>Medium</t>
  </si>
  <si>
    <t>Data is from the request letter, but it is thorough</t>
  </si>
  <si>
    <t>2018 data not available through NOAA; data is from NC Division of Marine Fisheries</t>
  </si>
  <si>
    <t xml:space="preserve">Medium </t>
  </si>
  <si>
    <t>Florida Fish and Wildlife Conservation Commission</t>
  </si>
  <si>
    <t>Georgia Department of Natural Resources/Coastal Resources Division and NCDENR</t>
  </si>
  <si>
    <t>PENAEID SHRIMP</t>
  </si>
  <si>
    <t>GEORGIA, S CAROLINA</t>
  </si>
  <si>
    <t>Low</t>
  </si>
  <si>
    <t>Request letter</t>
  </si>
  <si>
    <t>Revenue loss data from determination letter - unclear if "economic loss" is only langings</t>
  </si>
  <si>
    <t>Data source(s)/ notes</t>
  </si>
  <si>
    <t>NOAA -we do not have 2018 or 2019 data</t>
  </si>
  <si>
    <t>ADFG -for only the gulf</t>
  </si>
  <si>
    <t>NOAA Press Release</t>
  </si>
  <si>
    <t>Data from OR and CA request letter because regionally specific; no tribal data</t>
  </si>
  <si>
    <t>Data taken from 3 out of 7 request letters and extrapolated out</t>
  </si>
  <si>
    <t>NOAA; includes the Yukon management area in landings and exvessel</t>
  </si>
  <si>
    <t>PFMC 2018 Review of Ocean Salmon Fisheries</t>
  </si>
  <si>
    <t>Request letter; did not provide numbers for 5-year revenue, but did specify direct loss from ex-vessel revenue</t>
  </si>
  <si>
    <t>Request letter. No economic est from Squaxin or Nisqually; econ est from Port Gamble or S'Klallam.</t>
  </si>
  <si>
    <t>CDFW and value from PacFIN</t>
  </si>
  <si>
    <t>NOAA; data is state wide and doesn’t isolate Willapa and Grays</t>
  </si>
  <si>
    <t>NOAA press release</t>
  </si>
  <si>
    <t xml:space="preserve"> FFWCC - Commercial Fisheries Landings Summaries report creator</t>
  </si>
  <si>
    <t>ADFG -isolated by region but not tribal</t>
  </si>
  <si>
    <t>NOAA- in house species selection</t>
  </si>
  <si>
    <t>ODFW for all ports south of cape Falcon: Bandon, Brookings, Charleston, Depoe Bay, Garbaldi, Gold Beach, Florence, Nehalem, Netarts Bay, Newport, Pacific City, Port Orford, Siletz Bay, Waldport, Winchester Bay, Yachatz</t>
  </si>
  <si>
    <t>Federal Register</t>
  </si>
  <si>
    <t>ADFG - isloated by region</t>
  </si>
  <si>
    <t>NOAA - do not isloate Chesepeake Bay</t>
  </si>
  <si>
    <t>NOAA; includes "rainbow trout" for steelhead. Did not isolate tribal</t>
  </si>
  <si>
    <t>ADFG - does not islote just Bering Sea</t>
  </si>
  <si>
    <t>SWFSC technical report on the Klamath</t>
  </si>
  <si>
    <t>NOAA - in-house species selection</t>
  </si>
  <si>
    <t>ADFG</t>
  </si>
  <si>
    <t>PacFIN Commercial Groundfish Catch Report for All Gear Types and All Areas</t>
  </si>
  <si>
    <t>NOAA - no American Plaice</t>
  </si>
  <si>
    <t>SouthEast</t>
  </si>
  <si>
    <t>All fisheries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</si>
</sst>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%"/>
    <numFmt numFmtId="166" formatCode="&quot;$&quot;#,##0"/>
    <numFmt numFmtId="167" formatCode="0.000%"/>
    <numFmt numFmtId="168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8" fillId="0" borderId="10" xfId="0" applyFont="1" applyBorder="1"/>
    <xf numFmtId="0" fontId="0" fillId="34" borderId="10" xfId="0" applyFill="1" applyBorder="1"/>
    <xf numFmtId="0" fontId="0" fillId="0" borderId="0" xfId="0" applyBorder="1"/>
    <xf numFmtId="3" fontId="0" fillId="0" borderId="0" xfId="0" applyNumberFormat="1" applyBorder="1"/>
    <xf numFmtId="0" fontId="0" fillId="33" borderId="10" xfId="0" applyFill="1" applyBorder="1"/>
    <xf numFmtId="44" fontId="0" fillId="0" borderId="0" xfId="2" applyFont="1"/>
    <xf numFmtId="0" fontId="0" fillId="0" borderId="0" xfId="0" applyFill="1" applyBorder="1"/>
    <xf numFmtId="0" fontId="0" fillId="0" borderId="10" xfId="0" applyFill="1" applyBorder="1"/>
    <xf numFmtId="0" fontId="0" fillId="0" borderId="0" xfId="1" applyNumberFormat="1" applyFont="1"/>
    <xf numFmtId="164" fontId="0" fillId="0" borderId="0" xfId="3" applyNumberFormat="1" applyFont="1" applyBorder="1"/>
    <xf numFmtId="164" fontId="0" fillId="0" borderId="0" xfId="0" applyNumberFormat="1" applyBorder="1"/>
    <xf numFmtId="44" fontId="0" fillId="0" borderId="0" xfId="2" applyFont="1" applyBorder="1"/>
    <xf numFmtId="0" fontId="0" fillId="34" borderId="0" xfId="0" applyFill="1" applyBorder="1"/>
    <xf numFmtId="0" fontId="0" fillId="0" borderId="11" xfId="0" applyFill="1" applyBorder="1"/>
    <xf numFmtId="0" fontId="0" fillId="0" borderId="11" xfId="0" applyBorder="1"/>
    <xf numFmtId="3" fontId="0" fillId="0" borderId="11" xfId="0" applyNumberFormat="1" applyBorder="1"/>
    <xf numFmtId="44" fontId="0" fillId="0" borderId="11" xfId="2" applyFont="1" applyBorder="1"/>
    <xf numFmtId="0" fontId="0" fillId="35" borderId="11" xfId="0" applyFill="1" applyBorder="1"/>
    <xf numFmtId="0" fontId="0" fillId="35" borderId="0" xfId="0" applyFill="1" applyBorder="1"/>
    <xf numFmtId="0" fontId="0" fillId="35" borderId="10" xfId="0" applyFill="1" applyBorder="1"/>
    <xf numFmtId="0" fontId="16" fillId="0" borderId="0" xfId="0" applyFont="1" applyAlignment="1">
      <alignment wrapText="1"/>
    </xf>
    <xf numFmtId="0" fontId="0" fillId="36" borderId="0" xfId="0" applyFill="1"/>
    <xf numFmtId="0" fontId="0" fillId="36" borderId="10" xfId="0" applyFill="1" applyBorder="1"/>
    <xf numFmtId="44" fontId="0" fillId="0" borderId="0" xfId="0" applyNumberFormat="1"/>
    <xf numFmtId="0" fontId="0" fillId="36" borderId="0" xfId="0" applyFill="1" applyBorder="1"/>
    <xf numFmtId="0" fontId="0" fillId="0" borderId="0" xfId="0" applyFill="1"/>
    <xf numFmtId="44" fontId="0" fillId="0" borderId="0" xfId="0" applyNumberFormat="1" applyFill="1" applyBorder="1"/>
    <xf numFmtId="44" fontId="0" fillId="0" borderId="0" xfId="0" applyNumberFormat="1" applyBorder="1"/>
    <xf numFmtId="0" fontId="0" fillId="33" borderId="0" xfId="0" applyFill="1" applyBorder="1"/>
    <xf numFmtId="165" fontId="0" fillId="0" borderId="0" xfId="3" applyNumberFormat="1" applyFont="1" applyBorder="1"/>
    <xf numFmtId="166" fontId="0" fillId="0" borderId="0" xfId="0" applyNumberFormat="1"/>
    <xf numFmtId="44" fontId="14" fillId="0" borderId="0" xfId="0" applyNumberFormat="1" applyFont="1" applyBorder="1"/>
    <xf numFmtId="9" fontId="0" fillId="0" borderId="0" xfId="3" applyFont="1"/>
    <xf numFmtId="3" fontId="0" fillId="0" borderId="10" xfId="0" applyNumberFormat="1" applyFill="1" applyBorder="1"/>
    <xf numFmtId="44" fontId="0" fillId="0" borderId="10" xfId="2" applyFont="1" applyFill="1" applyBorder="1"/>
    <xf numFmtId="44" fontId="0" fillId="0" borderId="10" xfId="0" applyNumberFormat="1" applyFill="1" applyBorder="1"/>
    <xf numFmtId="0" fontId="0" fillId="37" borderId="10" xfId="0" applyFill="1" applyBorder="1"/>
    <xf numFmtId="9" fontId="0" fillId="0" borderId="10" xfId="0" applyNumberFormat="1" applyFill="1" applyBorder="1"/>
    <xf numFmtId="0" fontId="0" fillId="37" borderId="11" xfId="0" applyFill="1" applyBorder="1"/>
    <xf numFmtId="44" fontId="0" fillId="0" borderId="11" xfId="0" applyNumberFormat="1" applyBorder="1"/>
    <xf numFmtId="43" fontId="0" fillId="0" borderId="11" xfId="1" applyFont="1" applyBorder="1"/>
    <xf numFmtId="9" fontId="0" fillId="0" borderId="11" xfId="3" applyFont="1" applyBorder="1"/>
    <xf numFmtId="0" fontId="0" fillId="34" borderId="11" xfId="0" applyFill="1" applyBorder="1"/>
    <xf numFmtId="9" fontId="0" fillId="0" borderId="11" xfId="0" applyNumberFormat="1" applyBorder="1"/>
    <xf numFmtId="44" fontId="14" fillId="0" borderId="0" xfId="2" applyFont="1" applyFill="1" applyBorder="1"/>
    <xf numFmtId="44" fontId="14" fillId="0" borderId="0" xfId="2" applyFont="1" applyFill="1"/>
    <xf numFmtId="43" fontId="0" fillId="0" borderId="10" xfId="1" applyFont="1" applyBorder="1"/>
    <xf numFmtId="10" fontId="0" fillId="0" borderId="0" xfId="3" applyNumberFormat="1" applyFont="1" applyBorder="1"/>
    <xf numFmtId="10" fontId="0" fillId="0" borderId="0" xfId="3" applyNumberFormat="1" applyFont="1"/>
    <xf numFmtId="165" fontId="0" fillId="0" borderId="0" xfId="3" applyNumberFormat="1" applyFont="1"/>
    <xf numFmtId="165" fontId="0" fillId="0" borderId="0" xfId="0" applyNumberFormat="1"/>
    <xf numFmtId="44" fontId="14" fillId="0" borderId="0" xfId="2" applyFont="1" applyBorder="1"/>
    <xf numFmtId="167" fontId="0" fillId="0" borderId="0" xfId="0" applyNumberFormat="1" applyBorder="1"/>
    <xf numFmtId="167" fontId="0" fillId="0" borderId="0" xfId="0" applyNumberFormat="1"/>
    <xf numFmtId="164" fontId="0" fillId="0" borderId="0" xfId="0" applyNumberFormat="1"/>
    <xf numFmtId="0" fontId="18" fillId="0" borderId="0" xfId="0" applyFont="1" applyFill="1" applyBorder="1"/>
    <xf numFmtId="0" fontId="18" fillId="0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8" fillId="0" borderId="1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0" xfId="0"/>
    <xf numFmtId="3" fontId="0" fillId="0" borderId="0" xfId="0" applyNumberFormat="1"/>
    <xf numFmtId="43" fontId="0" fillId="0" borderId="0" xfId="1" applyFont="1" applyBorder="1"/>
    <xf numFmtId="44" fontId="0" fillId="0" borderId="10" xfId="2" applyFont="1" applyBorder="1"/>
    <xf numFmtId="44" fontId="0" fillId="0" borderId="10" xfId="0" applyNumberFormat="1" applyBorder="1"/>
    <xf numFmtId="43" fontId="0" fillId="0" borderId="0" xfId="0" applyNumberFormat="1" applyBorder="1"/>
    <xf numFmtId="3" fontId="0" fillId="0" borderId="0" xfId="0" applyNumberFormat="1" applyFill="1" applyBorder="1"/>
    <xf numFmtId="164" fontId="0" fillId="0" borderId="0" xfId="3" applyNumberFormat="1" applyFont="1" applyFill="1" applyBorder="1"/>
    <xf numFmtId="164" fontId="0" fillId="0" borderId="0" xfId="0" applyNumberFormat="1" applyFill="1" applyBorder="1"/>
    <xf numFmtId="44" fontId="0" fillId="0" borderId="0" xfId="2" applyFont="1" applyFill="1" applyBorder="1"/>
    <xf numFmtId="8" fontId="0" fillId="0" borderId="0" xfId="0" applyNumberFormat="1" applyFill="1"/>
    <xf numFmtId="168" fontId="0" fillId="0" borderId="0" xfId="0" applyNumberFormat="1" applyFill="1" applyBorder="1"/>
    <xf numFmtId="0" fontId="0" fillId="0" borderId="0" xfId="0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19" fillId="0" borderId="1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0" xfId="0" applyFont="1" applyBorder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4A6912B-458B-4603-87E8-0373339EC276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enna Saccomanno" id="{964B3390-0EE2-4753-9E9E-CADBAC19F7AC}" userId="S::v.r.saccomanno@TNC.ORG::ef04f4cf-51ed-4e94-ae2d-4d52df00ea0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9" dT="2019-11-22T17:32:46.70" personId="{964B3390-0EE2-4753-9E9E-CADBAC19F7AC}" id="{4B740E17-2A1F-4772-BB8C-BF1B22DB2D36}">
    <text>Revenue loss data was isolated from the request letter, not hand caclulated. Did not provide previous year estimates</text>
  </threadedComment>
  <threadedComment ref="A56" dT="2019-11-22T18:03:17.02" personId="{964B3390-0EE2-4753-9E9E-CADBAC19F7AC}" id="{5618D2EE-836C-4C26-B11D-19CBEC4AA8FF}">
    <text>Revenue loss data taken from the request letter, read "direct financial imact" but doesn't clarify if it is only revenue</text>
  </threadedComment>
  <threadedComment ref="A62" dT="2019-12-17T18:03:04.00" personId="{964B3390-0EE2-4753-9E9E-CADBAC19F7AC}" id="{2B54977F-3DC1-45F7-A507-E96A13B10B7E}">
    <text>Data from NOAA's analysis via a press release; high confidence</text>
  </threadedComment>
  <threadedComment ref="A63" dT="2019-12-28T00:54:19.89" personId="{964B3390-0EE2-4753-9E9E-CADBAC19F7AC}" id="{4A64515E-22B5-48E3-BE36-9DEDC6ED997D}">
    <text>Because regionally specific (Klamath River Fall Chinook), request estimates were used for OR and CA (not for tribal). These included ex-vessl value and 5-year average. Medium confidence.</text>
  </threadedComment>
  <threadedComment ref="A66" dT="2019-12-28T01:19:19.14" personId="{964B3390-0EE2-4753-9E9E-CADBAC19F7AC}" id="{6331224E-71D0-4C18-A8C5-C880DCB1287A}">
    <text>low confidence data; there were only numbers for 3 out of 7 impacted tribes; of these 3, estimates and averages
 were inconsistent.</text>
  </threadedComment>
  <threadedComment ref="A87" dT="2019-11-23T01:04:05.45" personId="{964B3390-0EE2-4753-9E9E-CADBAC19F7AC}" id="{4FCA40A7-F7B2-4820-83D7-B38413349532}">
    <text>Data taken from request letter; not 5-year historical data provided, however they state "direct economic estimate based on ex-vessel value". Medium confidence.</text>
  </threadedComment>
  <threadedComment ref="A89" dT="2019-12-31T20:01:41.04" personId="{964B3390-0EE2-4753-9E9E-CADBAC19F7AC}" id="{35AB7E0A-6BAD-479E-BF67-6FA85536DE8B}">
    <text>Used request letter. No econ est from Squaxin or Nisqually; econ est from Port Gamble or S'Klallam. Low confidence</text>
  </threadedComment>
  <threadedComment ref="B98" dT="2019-11-23T01:05:15.03" personId="{964B3390-0EE2-4753-9E9E-CADBAC19F7AC}" id="{CA2417E6-D14C-4271-AD20-E31922A58869}">
    <text>Data is state wide and doesn’t isolate Willapa and Grays</text>
  </threadedComment>
  <threadedComment ref="A110" dT="2019-12-28T00:24:40.02" personId="{964B3390-0EE2-4753-9E9E-CADBAC19F7AC}" id="{4A721708-92D4-4874-AAAE-E96CE0CC945F}">
    <text>From PR; high confidence</text>
  </threadedComment>
  <threadedComment ref="A150" dT="2019-12-28T00:25:15.89" personId="{964B3390-0EE2-4753-9E9E-CADBAC19F7AC}" id="{7DD6A034-2C69-403F-9B6F-51C67A70590F}">
    <text>Data from the federal registrer; high confidence</text>
  </threadedComment>
  <threadedComment ref="A163" dT="2019-11-23T01:06:11.23" personId="{964B3390-0EE2-4753-9E9E-CADBAC19F7AC}" id="{B5222520-A64C-4AB4-8D17-E029B3CC372C}">
    <text>May not have got all regional "shellfish"</text>
  </threadedComment>
  <threadedComment ref="A205" dT="2019-11-23T01:07:04.62" personId="{964B3390-0EE2-4753-9E9E-CADBAC19F7AC}" id="{894A471B-FD03-4199-9211-3E271EAFB4BE}">
    <text>Doesn't capture just Bering Sea.</text>
  </threadedComment>
  <threadedComment ref="B237" dT="2019-11-23T01:08:13.57" personId="{964B3390-0EE2-4753-9E9E-CADBAC19F7AC}" id="{1D61D79B-747A-4EAB-AE3F-6808F188B3E7}">
    <text>Doesn't capture just Bering Sea.</text>
  </threadedComment>
  <threadedComment ref="B252" dT="2019-11-23T01:08:40.05" personId="{964B3390-0EE2-4753-9E9E-CADBAC19F7AC}" id="{933FB0AF-83A3-4CAC-B858-B6C863BE2926}">
    <text>Doesn't capture just Bering Sea.</text>
  </threadedComment>
  <threadedComment ref="A279" dT="2019-12-31T21:46:53.87" personId="{964B3390-0EE2-4753-9E9E-CADBAC19F7AC}" id="{CE8DC620-885E-4207-9560-1739914401CD}">
    <text>Estimates from request letter for both "Indian and non-Indian" losses; they do not break down data, but the do specify thatthe econ estimate is in "direct benefits". Medium confidence</text>
  </threadedComment>
  <threadedComment ref="B285" dT="2019-11-23T01:10:29.59" personId="{964B3390-0EE2-4753-9E9E-CADBAC19F7AC}" id="{E9D6DE67-47A9-4E44-A93E-E4BAEC5C8A47}">
    <text>Hand-selected specific species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5"/>
  <sheetViews>
    <sheetView topLeftCell="A328" zoomScale="80" zoomScaleNormal="80" workbookViewId="0">
      <selection activeCell="N365" sqref="N365"/>
    </sheetView>
  </sheetViews>
  <sheetFormatPr defaultRowHeight="14.4" x14ac:dyDescent="0.3"/>
  <cols>
    <col min="1" max="1" width="14.77734375" customWidth="1"/>
    <col min="2" max="2" width="18.44140625" customWidth="1"/>
    <col min="3" max="3" width="15.33203125" customWidth="1"/>
    <col min="4" max="4" width="16.21875" customWidth="1"/>
    <col min="5" max="5" width="22.21875" customWidth="1"/>
    <col min="6" max="6" width="16.109375" customWidth="1"/>
    <col min="7" max="7" width="17.33203125" customWidth="1"/>
    <col min="8" max="8" width="16.77734375" customWidth="1"/>
    <col min="9" max="9" width="15.77734375" customWidth="1"/>
    <col min="10" max="10" width="17.6640625" customWidth="1"/>
    <col min="11" max="11" width="16.5546875" customWidth="1"/>
    <col min="12" max="12" width="15.77734375" customWidth="1"/>
    <col min="13" max="13" width="24.109375" customWidth="1"/>
    <col min="14" max="14" width="23.88671875" customWidth="1"/>
    <col min="15" max="16" width="22.6640625" style="86" customWidth="1"/>
    <col min="17" max="17" width="8.88671875" style="74"/>
    <col min="18" max="18" width="26.88671875" customWidth="1"/>
    <col min="21" max="21" width="16.44140625" bestFit="1" customWidth="1"/>
  </cols>
  <sheetData>
    <row r="1" spans="1:21" x14ac:dyDescent="0.3">
      <c r="A1" s="7"/>
      <c r="B1" t="s">
        <v>0</v>
      </c>
    </row>
    <row r="2" spans="1:21" x14ac:dyDescent="0.3">
      <c r="A2" s="8"/>
      <c r="B2" t="s">
        <v>1</v>
      </c>
    </row>
    <row r="3" spans="1:21" x14ac:dyDescent="0.3">
      <c r="A3" s="9"/>
      <c r="B3" t="s">
        <v>2</v>
      </c>
    </row>
    <row r="5" spans="1:21" ht="31.2" x14ac:dyDescent="0.3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71" t="s">
        <v>144</v>
      </c>
      <c r="P5" s="71" t="s">
        <v>159</v>
      </c>
      <c r="R5" s="31" t="s">
        <v>74</v>
      </c>
      <c r="S5" s="10" t="s">
        <v>87</v>
      </c>
    </row>
    <row r="6" spans="1:21" ht="28.8" x14ac:dyDescent="0.3">
      <c r="A6" s="8">
        <v>90</v>
      </c>
      <c r="B6" t="s">
        <v>17</v>
      </c>
      <c r="C6">
        <v>2017</v>
      </c>
      <c r="D6" t="s">
        <v>18</v>
      </c>
      <c r="E6" t="s">
        <v>19</v>
      </c>
      <c r="F6" s="1">
        <v>952837</v>
      </c>
      <c r="G6" s="1">
        <v>61453</v>
      </c>
      <c r="H6" s="14">
        <f>AVERAGE(F7:F11)</f>
        <v>17646925</v>
      </c>
      <c r="I6" s="14">
        <f>AVERAGE(G7:G11)</f>
        <v>1653089</v>
      </c>
      <c r="J6" s="20">
        <f>F6/H6</f>
        <v>5.3994506125004782E-2</v>
      </c>
      <c r="K6" s="20">
        <f>G6/I6</f>
        <v>3.7174646979079774E-2</v>
      </c>
      <c r="L6" s="21">
        <f>K6-1</f>
        <v>-0.9628253530209202</v>
      </c>
      <c r="M6" s="22">
        <f>I6-G6</f>
        <v>1591636</v>
      </c>
      <c r="N6" s="22">
        <f>M6*1.06</f>
        <v>1687134.1600000001</v>
      </c>
      <c r="O6" s="86" t="s">
        <v>151</v>
      </c>
      <c r="P6" s="86" t="s">
        <v>160</v>
      </c>
      <c r="R6" s="2">
        <f>AVERAGE(L6,L12,L13,L19,L25,L31,L37,L43,L50,L68,L69,L75,L81,L87,L91,L92,L104,L98,L110,L111,L117,L123,L131,L132,L150,L157,L169,L212,L219,L225,L246,L130,L138,L151,L163,L175,L181,L187,L193,L199,L205,L206,L237,L239,L238,L252,L258,L264,L265,L266,L273,L285,L291,L297,L303,L309,L315,L321,L327,L231,L333,L339,L345,L351,L352,L353,L359)</f>
        <v>-0.29829064850050252</v>
      </c>
      <c r="S6" s="2">
        <f>MEDIAN(L6,L12,L19,L25,L31,L37,L43,L68,L75,L81,L87,L91,L98,L104,L50,L111,L117,L123,L130,L138,L151,L157,L163,L169,L181,L187,L193,L199,L205,L212,L219,L225,L231,L237,L246,L252,L258,L264,L273,L285,L291,L297,L303,L309,L315,L321,L327,L333,L339,L345,L351,L359,L352,L353,L265,L266,L238,L239,L206,L175,L150,L131,L132,L110,L92,L69,L13)</f>
        <v>-0.35140965384994499</v>
      </c>
    </row>
    <row r="7" spans="1:21" x14ac:dyDescent="0.3">
      <c r="A7" s="8">
        <v>90</v>
      </c>
      <c r="B7" t="s">
        <v>17</v>
      </c>
      <c r="C7">
        <v>2016</v>
      </c>
      <c r="D7" t="s">
        <v>18</v>
      </c>
      <c r="E7" t="s">
        <v>19</v>
      </c>
      <c r="F7" s="1">
        <v>954160</v>
      </c>
      <c r="G7" s="1">
        <v>95657</v>
      </c>
      <c r="R7" s="2"/>
    </row>
    <row r="8" spans="1:21" x14ac:dyDescent="0.3">
      <c r="A8" s="8">
        <v>90</v>
      </c>
      <c r="B8" t="s">
        <v>17</v>
      </c>
      <c r="C8">
        <v>2015</v>
      </c>
      <c r="D8" t="s">
        <v>18</v>
      </c>
      <c r="E8" t="s">
        <v>19</v>
      </c>
      <c r="F8" s="1">
        <v>3750940</v>
      </c>
      <c r="G8" s="1">
        <v>343148</v>
      </c>
      <c r="R8" s="10" t="s">
        <v>106</v>
      </c>
    </row>
    <row r="9" spans="1:21" x14ac:dyDescent="0.3">
      <c r="A9" s="8">
        <v>90</v>
      </c>
      <c r="B9" t="s">
        <v>17</v>
      </c>
      <c r="C9">
        <v>2014</v>
      </c>
      <c r="D9" t="s">
        <v>18</v>
      </c>
      <c r="E9" t="s">
        <v>19</v>
      </c>
      <c r="F9" s="1">
        <v>17132543</v>
      </c>
      <c r="G9" s="1">
        <v>2003074</v>
      </c>
      <c r="R9" s="34">
        <f>SUM(N6,N12,N13,N19,N25,N31,N37,N43,N49,N56,N62,N68,N69,N75,N81,N87,N92,N98,N104,N110,N123,N130,N131,N150,N151, N157, N163,N169,N193, N206, N212,N219, N225,N237,N238,N239,N246, N252,N258,N264,N265,N266,N273,N291,N297, N303,N309,N315, N279, N327,N333,N339,N351,N352,N353,N359,)</f>
        <v>3191603813.2527142</v>
      </c>
      <c r="U9" s="34"/>
    </row>
    <row r="10" spans="1:21" x14ac:dyDescent="0.3">
      <c r="A10" s="8">
        <v>90</v>
      </c>
      <c r="B10" t="s">
        <v>17</v>
      </c>
      <c r="C10">
        <v>2013</v>
      </c>
      <c r="D10" t="s">
        <v>18</v>
      </c>
      <c r="E10" t="s">
        <v>19</v>
      </c>
      <c r="F10" s="1">
        <v>15594380</v>
      </c>
      <c r="G10" s="1">
        <v>1502104</v>
      </c>
    </row>
    <row r="11" spans="1:21" x14ac:dyDescent="0.3">
      <c r="A11" s="12">
        <v>90</v>
      </c>
      <c r="B11" s="5" t="s">
        <v>17</v>
      </c>
      <c r="C11" s="5">
        <v>2012</v>
      </c>
      <c r="D11" s="5" t="s">
        <v>18</v>
      </c>
      <c r="E11" s="5" t="s">
        <v>19</v>
      </c>
      <c r="F11" s="6">
        <v>50802602</v>
      </c>
      <c r="G11" s="6">
        <v>4321462</v>
      </c>
      <c r="H11" s="5"/>
      <c r="I11" s="5"/>
      <c r="J11" s="5"/>
      <c r="K11" s="5"/>
      <c r="L11" s="5"/>
      <c r="M11" s="5"/>
      <c r="N11" s="5"/>
      <c r="O11" s="88"/>
      <c r="P11" s="88"/>
      <c r="R11" s="10" t="s">
        <v>20</v>
      </c>
    </row>
    <row r="12" spans="1:21" x14ac:dyDescent="0.3">
      <c r="A12">
        <v>87</v>
      </c>
      <c r="B12" t="s">
        <v>21</v>
      </c>
      <c r="C12">
        <v>2017</v>
      </c>
      <c r="D12" t="s">
        <v>18</v>
      </c>
      <c r="E12" t="s">
        <v>22</v>
      </c>
      <c r="F12" s="1">
        <v>4181723.2159999995</v>
      </c>
      <c r="G12" s="1">
        <v>6372771</v>
      </c>
      <c r="H12" s="14">
        <f>AVERAGE(F14:F18)</f>
        <v>11718922.1644</v>
      </c>
      <c r="I12" s="14">
        <f>AVERAGE(G13:G18)</f>
        <v>8695693</v>
      </c>
      <c r="J12" s="40">
        <f>F12/H12</f>
        <v>0.35683513870442202</v>
      </c>
      <c r="K12" s="40">
        <f>G12/I12</f>
        <v>0.73286522419777245</v>
      </c>
      <c r="L12" s="21">
        <f>K12-1</f>
        <v>-0.26713477580222755</v>
      </c>
      <c r="M12" s="22">
        <f>I12-G12</f>
        <v>2322922</v>
      </c>
      <c r="N12" s="22">
        <f>M12*1.06</f>
        <v>2462297.3200000003</v>
      </c>
      <c r="O12" s="86" t="s">
        <v>145</v>
      </c>
      <c r="P12" s="86" t="s">
        <v>147</v>
      </c>
      <c r="R12">
        <v>46</v>
      </c>
    </row>
    <row r="13" spans="1:21" x14ac:dyDescent="0.3">
      <c r="A13">
        <v>87</v>
      </c>
      <c r="B13" t="s">
        <v>21</v>
      </c>
      <c r="C13">
        <v>2016</v>
      </c>
      <c r="D13" t="s">
        <v>18</v>
      </c>
      <c r="E13" t="s">
        <v>22</v>
      </c>
      <c r="F13" s="1">
        <v>5883248.9319999991</v>
      </c>
      <c r="G13" s="1">
        <v>7266407</v>
      </c>
      <c r="J13" s="60">
        <f>F13/H12</f>
        <v>0.50202986669475991</v>
      </c>
      <c r="K13" s="60">
        <f>G13/I12</f>
        <v>0.83563288170362038</v>
      </c>
      <c r="L13" s="21">
        <f>K13-1</f>
        <v>-0.16436711829637962</v>
      </c>
      <c r="M13" s="1">
        <f>I12-G13</f>
        <v>1429286</v>
      </c>
      <c r="N13" s="16">
        <f>M13*1.09</f>
        <v>1557921.7400000002</v>
      </c>
    </row>
    <row r="14" spans="1:21" x14ac:dyDescent="0.3">
      <c r="A14">
        <v>87</v>
      </c>
      <c r="B14" t="s">
        <v>21</v>
      </c>
      <c r="C14">
        <v>2015</v>
      </c>
      <c r="D14" t="s">
        <v>18</v>
      </c>
      <c r="E14" t="s">
        <v>22</v>
      </c>
      <c r="F14" s="1">
        <v>8480952.6779999994</v>
      </c>
      <c r="G14" s="1">
        <v>7307988</v>
      </c>
      <c r="R14" s="10" t="s">
        <v>86</v>
      </c>
    </row>
    <row r="15" spans="1:21" x14ac:dyDescent="0.3">
      <c r="A15">
        <v>87</v>
      </c>
      <c r="B15" t="s">
        <v>21</v>
      </c>
      <c r="C15">
        <v>2014</v>
      </c>
      <c r="D15" t="s">
        <v>18</v>
      </c>
      <c r="E15" t="s">
        <v>22</v>
      </c>
      <c r="F15" s="1">
        <v>12501297.709999999</v>
      </c>
      <c r="G15" s="1">
        <v>9681958</v>
      </c>
      <c r="R15">
        <v>12</v>
      </c>
    </row>
    <row r="16" spans="1:21" x14ac:dyDescent="0.3">
      <c r="A16">
        <v>87</v>
      </c>
      <c r="B16" t="s">
        <v>21</v>
      </c>
      <c r="C16">
        <v>2013</v>
      </c>
      <c r="D16" t="s">
        <v>18</v>
      </c>
      <c r="E16" t="s">
        <v>22</v>
      </c>
      <c r="F16" s="1">
        <v>13932757.476</v>
      </c>
      <c r="G16" s="1">
        <v>10728739</v>
      </c>
    </row>
    <row r="17" spans="1:18" x14ac:dyDescent="0.3">
      <c r="A17" s="13">
        <v>87</v>
      </c>
      <c r="B17" s="13" t="s">
        <v>21</v>
      </c>
      <c r="C17" s="13">
        <v>2012</v>
      </c>
      <c r="D17" s="13" t="s">
        <v>18</v>
      </c>
      <c r="E17" s="13" t="s">
        <v>22</v>
      </c>
      <c r="F17" s="14">
        <v>12114827.823999999</v>
      </c>
      <c r="G17" s="14">
        <v>8997322</v>
      </c>
      <c r="H17" s="13"/>
      <c r="I17" s="13"/>
      <c r="J17" s="13"/>
      <c r="K17" s="13"/>
      <c r="L17" s="13"/>
      <c r="M17" s="13"/>
      <c r="N17" s="13"/>
      <c r="R17" s="10" t="s">
        <v>88</v>
      </c>
    </row>
    <row r="18" spans="1:18" x14ac:dyDescent="0.3">
      <c r="A18" s="5">
        <v>88</v>
      </c>
      <c r="B18" s="5" t="s">
        <v>105</v>
      </c>
      <c r="C18" s="5">
        <v>2011</v>
      </c>
      <c r="D18" s="5" t="s">
        <v>18</v>
      </c>
      <c r="E18" s="5" t="s">
        <v>22</v>
      </c>
      <c r="F18" s="57">
        <v>11564775.134</v>
      </c>
      <c r="G18" s="57">
        <v>8191744</v>
      </c>
      <c r="H18" s="5"/>
      <c r="I18" s="5"/>
      <c r="J18" s="5"/>
      <c r="K18" s="5"/>
      <c r="L18" s="5"/>
      <c r="M18" s="5"/>
      <c r="N18" s="5"/>
      <c r="O18" s="88"/>
      <c r="P18" s="88"/>
      <c r="R18" s="10"/>
    </row>
    <row r="19" spans="1:18" ht="48.6" customHeight="1" x14ac:dyDescent="0.3">
      <c r="A19" s="23">
        <v>85</v>
      </c>
      <c r="B19" s="13">
        <v>2018</v>
      </c>
      <c r="C19">
        <v>2018</v>
      </c>
      <c r="D19" s="17" t="s">
        <v>71</v>
      </c>
      <c r="E19" s="17" t="s">
        <v>72</v>
      </c>
      <c r="F19">
        <v>593</v>
      </c>
      <c r="G19">
        <v>859</v>
      </c>
      <c r="H19" s="14">
        <f>AVERAGE(F20:F24)</f>
        <v>8672067.5999999996</v>
      </c>
      <c r="I19" s="14">
        <f>AVERAGE(G20:G24)</f>
        <v>12294953.4</v>
      </c>
      <c r="J19" s="20">
        <f>F19/H19</f>
        <v>6.8380463270373959E-5</v>
      </c>
      <c r="K19" s="20">
        <f>G19/I19</f>
        <v>6.9866063908790408E-5</v>
      </c>
      <c r="L19" s="21">
        <f>K19-1</f>
        <v>-0.9999301339360912</v>
      </c>
      <c r="M19" s="22">
        <f>I19-G19</f>
        <v>12294094.4</v>
      </c>
      <c r="N19" s="22">
        <f>M19*1.04</f>
        <v>12785858.176000001</v>
      </c>
      <c r="O19" s="90" t="s">
        <v>148</v>
      </c>
      <c r="P19" s="90" t="s">
        <v>149</v>
      </c>
      <c r="R19" s="43">
        <f>R12/57</f>
        <v>0.80701754385964908</v>
      </c>
    </row>
    <row r="20" spans="1:18" x14ac:dyDescent="0.3">
      <c r="A20" s="23">
        <v>85</v>
      </c>
      <c r="B20" s="13">
        <v>2018</v>
      </c>
      <c r="C20">
        <v>2017</v>
      </c>
      <c r="D20" s="17" t="s">
        <v>71</v>
      </c>
      <c r="E20" s="17" t="s">
        <v>72</v>
      </c>
      <c r="F20" s="1">
        <v>5478561</v>
      </c>
      <c r="G20" s="1">
        <v>7265365</v>
      </c>
      <c r="H20" s="13"/>
      <c r="I20" s="13"/>
      <c r="J20" s="13"/>
      <c r="K20" s="13"/>
      <c r="L20" s="13"/>
      <c r="M20" s="13"/>
      <c r="N20" s="13"/>
    </row>
    <row r="21" spans="1:18" x14ac:dyDescent="0.3">
      <c r="A21" s="23">
        <v>85</v>
      </c>
      <c r="B21" s="13">
        <v>2018</v>
      </c>
      <c r="C21">
        <v>2016</v>
      </c>
      <c r="D21" s="17" t="s">
        <v>71</v>
      </c>
      <c r="E21" s="17" t="s">
        <v>72</v>
      </c>
      <c r="F21" s="1">
        <v>8211690</v>
      </c>
      <c r="G21" s="1">
        <v>9755160</v>
      </c>
      <c r="H21" s="13"/>
      <c r="I21" s="13"/>
      <c r="J21" s="13"/>
      <c r="K21" s="13"/>
      <c r="L21" s="13"/>
      <c r="M21" s="13"/>
      <c r="N21" s="13"/>
    </row>
    <row r="22" spans="1:18" x14ac:dyDescent="0.3">
      <c r="A22" s="23">
        <v>85</v>
      </c>
      <c r="B22" s="17">
        <v>2018</v>
      </c>
      <c r="C22">
        <v>2015</v>
      </c>
      <c r="D22" s="17" t="s">
        <v>71</v>
      </c>
      <c r="E22" s="17" t="s">
        <v>72</v>
      </c>
      <c r="F22" s="1">
        <v>8479027</v>
      </c>
      <c r="G22" s="1">
        <v>7275105</v>
      </c>
      <c r="H22" s="13"/>
      <c r="I22" s="13"/>
      <c r="J22" s="13"/>
      <c r="K22" s="13"/>
      <c r="L22" s="13"/>
      <c r="M22" s="13"/>
      <c r="N22" s="13"/>
      <c r="R22">
        <f>71-57</f>
        <v>14</v>
      </c>
    </row>
    <row r="23" spans="1:18" x14ac:dyDescent="0.3">
      <c r="A23" s="23">
        <v>85</v>
      </c>
      <c r="B23" s="17">
        <v>2018</v>
      </c>
      <c r="C23">
        <v>2014</v>
      </c>
      <c r="D23" s="17" t="s">
        <v>71</v>
      </c>
      <c r="E23" s="17" t="s">
        <v>72</v>
      </c>
      <c r="F23" s="1">
        <v>4120247</v>
      </c>
      <c r="G23" s="19">
        <v>6963428</v>
      </c>
      <c r="H23" s="13"/>
      <c r="I23" s="13"/>
      <c r="J23" s="13"/>
      <c r="K23" s="13"/>
      <c r="L23" s="13"/>
      <c r="M23" s="13"/>
      <c r="N23" s="13"/>
    </row>
    <row r="24" spans="1:18" x14ac:dyDescent="0.3">
      <c r="A24" s="12">
        <v>85</v>
      </c>
      <c r="B24" s="5">
        <v>2018</v>
      </c>
      <c r="C24" s="5">
        <v>2013</v>
      </c>
      <c r="D24" s="18" t="s">
        <v>71</v>
      </c>
      <c r="E24" s="18" t="s">
        <v>72</v>
      </c>
      <c r="F24" s="6">
        <v>17070813</v>
      </c>
      <c r="G24" s="6">
        <v>30215709</v>
      </c>
      <c r="H24" s="5"/>
      <c r="I24" s="5"/>
      <c r="J24" s="5"/>
      <c r="K24" s="5"/>
      <c r="L24" s="5"/>
      <c r="M24" s="5"/>
      <c r="N24" s="5"/>
      <c r="O24" s="88"/>
      <c r="P24" s="88"/>
    </row>
    <row r="25" spans="1:18" ht="81" customHeight="1" x14ac:dyDescent="0.3">
      <c r="A25">
        <v>84</v>
      </c>
      <c r="B25">
        <v>2018</v>
      </c>
      <c r="C25">
        <v>2018</v>
      </c>
      <c r="D25" t="s">
        <v>23</v>
      </c>
      <c r="E25" t="s">
        <v>24</v>
      </c>
      <c r="F25" s="1">
        <v>45800000</v>
      </c>
      <c r="G25" s="1">
        <v>77900000</v>
      </c>
      <c r="H25" s="14">
        <f>AVERAGE(F26:F30)</f>
        <v>60500000</v>
      </c>
      <c r="I25" s="14">
        <f>AVERAGE(G26:G30)</f>
        <v>94825000</v>
      </c>
      <c r="J25" s="20">
        <f>F25/H25</f>
        <v>0.75702479338842976</v>
      </c>
      <c r="K25" s="20">
        <f>G25/I25</f>
        <v>0.82151331399947269</v>
      </c>
      <c r="L25" s="21">
        <f>K25-1</f>
        <v>-0.17848668600052731</v>
      </c>
      <c r="M25" s="22">
        <f>I25-G25</f>
        <v>16925000</v>
      </c>
      <c r="N25" s="3">
        <f>M25*1.04</f>
        <v>17602000</v>
      </c>
      <c r="O25" s="86" t="s">
        <v>151</v>
      </c>
      <c r="P25" s="86" t="s">
        <v>150</v>
      </c>
    </row>
    <row r="26" spans="1:18" x14ac:dyDescent="0.3">
      <c r="A26">
        <v>84</v>
      </c>
      <c r="B26">
        <v>2018</v>
      </c>
      <c r="C26">
        <v>2017</v>
      </c>
      <c r="D26" t="s">
        <v>23</v>
      </c>
      <c r="E26" t="s">
        <v>24</v>
      </c>
      <c r="F26" s="1">
        <v>54300000</v>
      </c>
      <c r="G26" s="1">
        <v>96500000</v>
      </c>
    </row>
    <row r="27" spans="1:18" x14ac:dyDescent="0.3">
      <c r="A27">
        <v>84</v>
      </c>
      <c r="B27">
        <v>2018</v>
      </c>
      <c r="C27">
        <v>2016</v>
      </c>
      <c r="D27" t="s">
        <v>23</v>
      </c>
      <c r="E27" t="s">
        <v>24</v>
      </c>
      <c r="F27" s="1">
        <v>60000000</v>
      </c>
      <c r="G27" s="1">
        <v>94000000</v>
      </c>
    </row>
    <row r="28" spans="1:18" x14ac:dyDescent="0.3">
      <c r="A28">
        <v>84</v>
      </c>
      <c r="B28">
        <v>2018</v>
      </c>
      <c r="C28">
        <v>2015</v>
      </c>
      <c r="D28" t="s">
        <v>23</v>
      </c>
      <c r="E28" t="s">
        <v>24</v>
      </c>
      <c r="F28" s="1">
        <v>66000000</v>
      </c>
      <c r="G28" s="1">
        <v>95000000</v>
      </c>
    </row>
    <row r="29" spans="1:18" x14ac:dyDescent="0.3">
      <c r="A29">
        <v>84</v>
      </c>
      <c r="B29">
        <v>2018</v>
      </c>
      <c r="C29">
        <v>2014</v>
      </c>
      <c r="D29" t="s">
        <v>23</v>
      </c>
      <c r="E29" t="s">
        <v>24</v>
      </c>
      <c r="F29" s="1">
        <v>61700000</v>
      </c>
      <c r="G29" s="1">
        <v>93800000</v>
      </c>
    </row>
    <row r="30" spans="1:18" x14ac:dyDescent="0.3">
      <c r="A30" s="5">
        <v>84</v>
      </c>
      <c r="B30" s="5">
        <v>2018</v>
      </c>
      <c r="C30" s="5">
        <v>2013</v>
      </c>
      <c r="D30" s="5" t="s">
        <v>23</v>
      </c>
      <c r="E30" s="5" t="s">
        <v>24</v>
      </c>
      <c r="F30" s="5" t="s">
        <v>25</v>
      </c>
      <c r="G30" s="5" t="s">
        <v>25</v>
      </c>
      <c r="H30" s="5"/>
      <c r="I30" s="5"/>
      <c r="J30" s="5"/>
      <c r="K30" s="5"/>
      <c r="L30" s="5"/>
      <c r="M30" s="5"/>
      <c r="N30" s="5"/>
      <c r="O30" s="88"/>
      <c r="P30" s="88"/>
    </row>
    <row r="31" spans="1:18" ht="46.2" customHeight="1" x14ac:dyDescent="0.3">
      <c r="A31">
        <v>83</v>
      </c>
      <c r="B31">
        <v>2018</v>
      </c>
      <c r="C31">
        <v>2018</v>
      </c>
      <c r="D31" t="s">
        <v>26</v>
      </c>
      <c r="E31" t="s">
        <v>24</v>
      </c>
      <c r="F31" s="1">
        <v>80728743</v>
      </c>
      <c r="G31" s="1">
        <v>227285094</v>
      </c>
      <c r="H31" s="14">
        <f>AVERAGE(F32:F36)</f>
        <v>88504348.799999997</v>
      </c>
      <c r="I31" s="14">
        <f>AVERAGE(G32:G36)</f>
        <v>240244750.40000001</v>
      </c>
      <c r="J31" s="20">
        <f>F31/H31</f>
        <v>0.91214436459420623</v>
      </c>
      <c r="K31" s="20">
        <f>G31/I31</f>
        <v>0.94605644294652602</v>
      </c>
      <c r="L31" s="21">
        <f>K31-1</f>
        <v>-5.3943557053473978E-2</v>
      </c>
      <c r="M31" s="22">
        <f>I31-G31</f>
        <v>12959656.400000006</v>
      </c>
      <c r="N31" s="3">
        <f>M31*1.04</f>
        <v>13478042.656000007</v>
      </c>
      <c r="O31" s="86" t="s">
        <v>145</v>
      </c>
      <c r="P31" s="86" t="s">
        <v>152</v>
      </c>
    </row>
    <row r="32" spans="1:18" x14ac:dyDescent="0.3">
      <c r="A32">
        <v>83</v>
      </c>
      <c r="B32">
        <v>2018</v>
      </c>
      <c r="C32">
        <v>2017</v>
      </c>
      <c r="D32" t="s">
        <v>26</v>
      </c>
      <c r="E32" t="s">
        <v>24</v>
      </c>
      <c r="F32" s="1">
        <v>89450115</v>
      </c>
      <c r="G32" s="1">
        <v>233526439</v>
      </c>
    </row>
    <row r="33" spans="1:16" x14ac:dyDescent="0.3">
      <c r="A33">
        <v>83</v>
      </c>
      <c r="B33">
        <v>2018</v>
      </c>
      <c r="C33">
        <v>2016</v>
      </c>
      <c r="D33" t="s">
        <v>26</v>
      </c>
      <c r="E33" t="s">
        <v>24</v>
      </c>
      <c r="F33" s="1">
        <v>86589449</v>
      </c>
      <c r="G33" s="1">
        <v>231781226</v>
      </c>
    </row>
    <row r="34" spans="1:16" x14ac:dyDescent="0.3">
      <c r="A34">
        <v>83</v>
      </c>
      <c r="B34">
        <v>2018</v>
      </c>
      <c r="C34">
        <v>2015</v>
      </c>
      <c r="D34" t="s">
        <v>26</v>
      </c>
      <c r="E34" t="s">
        <v>24</v>
      </c>
      <c r="F34" s="1">
        <v>85093806</v>
      </c>
      <c r="G34" s="1">
        <v>243820736</v>
      </c>
    </row>
    <row r="35" spans="1:16" x14ac:dyDescent="0.3">
      <c r="A35">
        <v>83</v>
      </c>
      <c r="B35">
        <v>2018</v>
      </c>
      <c r="C35">
        <v>2014</v>
      </c>
      <c r="D35" t="s">
        <v>26</v>
      </c>
      <c r="E35" t="s">
        <v>24</v>
      </c>
      <c r="F35" s="1">
        <v>94599058</v>
      </c>
      <c r="G35" s="1">
        <v>261058174</v>
      </c>
    </row>
    <row r="36" spans="1:16" x14ac:dyDescent="0.3">
      <c r="A36" s="5">
        <v>83</v>
      </c>
      <c r="B36" s="5">
        <v>2018</v>
      </c>
      <c r="C36" s="5">
        <v>2013</v>
      </c>
      <c r="D36" s="5" t="s">
        <v>26</v>
      </c>
      <c r="E36" s="5" t="s">
        <v>24</v>
      </c>
      <c r="F36" s="6">
        <v>86789316</v>
      </c>
      <c r="G36" s="6">
        <v>231037177</v>
      </c>
      <c r="H36" s="5"/>
      <c r="I36" s="5"/>
      <c r="J36" s="5"/>
      <c r="K36" s="5"/>
      <c r="L36" s="5"/>
      <c r="M36" s="5"/>
      <c r="N36" s="5"/>
      <c r="O36" s="88"/>
      <c r="P36" s="88"/>
    </row>
    <row r="37" spans="1:16" ht="72" x14ac:dyDescent="0.3">
      <c r="A37" s="17">
        <v>82</v>
      </c>
      <c r="B37" s="17">
        <v>2018</v>
      </c>
      <c r="C37">
        <v>2018</v>
      </c>
      <c r="D37" s="17" t="s">
        <v>155</v>
      </c>
      <c r="E37" s="17" t="s">
        <v>154</v>
      </c>
      <c r="F37">
        <f>1884201+9729526</f>
        <v>11613727</v>
      </c>
      <c r="G37">
        <f>8584748+20047148</f>
        <v>28631896</v>
      </c>
      <c r="H37" s="14">
        <f>AVERAGE(F38:F42)</f>
        <v>11088788</v>
      </c>
      <c r="I37" s="14">
        <f>AVERAGE(G38:G42)</f>
        <v>29009604.600000001</v>
      </c>
      <c r="J37" s="20">
        <f>F37/H37</f>
        <v>1.0473396190819051</v>
      </c>
      <c r="K37" s="20">
        <f>G37/I37</f>
        <v>0.98697987769195583</v>
      </c>
      <c r="L37" s="21">
        <f>K37-1</f>
        <v>-1.3020122308044169E-2</v>
      </c>
      <c r="M37" s="22">
        <f>I37-G37</f>
        <v>377708.60000000149</v>
      </c>
      <c r="N37" s="3">
        <f>M37*1.04</f>
        <v>392816.94400000159</v>
      </c>
      <c r="O37" s="86" t="s">
        <v>145</v>
      </c>
      <c r="P37" s="86" t="s">
        <v>153</v>
      </c>
    </row>
    <row r="38" spans="1:16" x14ac:dyDescent="0.3">
      <c r="A38" s="17">
        <v>82</v>
      </c>
      <c r="B38" s="17">
        <v>2018</v>
      </c>
      <c r="C38">
        <v>2017</v>
      </c>
      <c r="D38" s="17" t="s">
        <v>155</v>
      </c>
      <c r="E38" s="17" t="s">
        <v>154</v>
      </c>
      <c r="F38">
        <f>13905392+2030641</f>
        <v>15936033</v>
      </c>
      <c r="G38">
        <f>29631076+8636198</f>
        <v>38267274</v>
      </c>
    </row>
    <row r="39" spans="1:16" x14ac:dyDescent="0.3">
      <c r="A39" s="17">
        <v>82</v>
      </c>
      <c r="B39" s="17">
        <v>2018</v>
      </c>
      <c r="C39">
        <v>2016</v>
      </c>
      <c r="D39" s="17" t="s">
        <v>155</v>
      </c>
      <c r="E39" s="17" t="s">
        <v>154</v>
      </c>
      <c r="F39">
        <f>13195269+2067888</f>
        <v>15263157</v>
      </c>
      <c r="G39">
        <f>28247232+8329065</f>
        <v>36576297</v>
      </c>
    </row>
    <row r="40" spans="1:16" x14ac:dyDescent="0.3">
      <c r="A40" s="17">
        <v>82</v>
      </c>
      <c r="B40" s="17">
        <v>2018</v>
      </c>
      <c r="C40">
        <v>2015</v>
      </c>
      <c r="D40" s="17" t="s">
        <v>155</v>
      </c>
      <c r="E40" s="17" t="s">
        <v>154</v>
      </c>
      <c r="F40">
        <f>9116730+2464472</f>
        <v>11581202</v>
      </c>
      <c r="G40">
        <f>16879782+9961507</f>
        <v>26841289</v>
      </c>
    </row>
    <row r="41" spans="1:16" x14ac:dyDescent="0.3">
      <c r="A41" s="17">
        <v>82</v>
      </c>
      <c r="B41" s="17">
        <v>2018</v>
      </c>
      <c r="C41">
        <v>2014</v>
      </c>
      <c r="D41" s="17" t="s">
        <v>155</v>
      </c>
      <c r="E41" s="17" t="s">
        <v>154</v>
      </c>
      <c r="F41">
        <f>4690933+1806827</f>
        <v>6497760</v>
      </c>
      <c r="G41">
        <f>14145407+10406721</f>
        <v>24552128</v>
      </c>
    </row>
    <row r="42" spans="1:16" x14ac:dyDescent="0.3">
      <c r="A42" s="18">
        <v>82</v>
      </c>
      <c r="B42" s="18">
        <v>2018</v>
      </c>
      <c r="C42" s="5">
        <v>2013</v>
      </c>
      <c r="D42" s="18" t="s">
        <v>155</v>
      </c>
      <c r="E42" s="18" t="s">
        <v>154</v>
      </c>
      <c r="F42" s="5">
        <f>4858885+1306903</f>
        <v>6165788</v>
      </c>
      <c r="G42" s="5">
        <f>12944880+5866155</f>
        <v>18811035</v>
      </c>
      <c r="H42" s="5"/>
      <c r="I42" s="5"/>
      <c r="J42" s="5"/>
      <c r="K42" s="5"/>
      <c r="L42" s="5"/>
      <c r="M42" s="5"/>
      <c r="N42" s="5"/>
      <c r="O42" s="88"/>
      <c r="P42" s="88"/>
    </row>
    <row r="43" spans="1:16" x14ac:dyDescent="0.3">
      <c r="A43" s="8">
        <v>81</v>
      </c>
      <c r="B43">
        <v>2018</v>
      </c>
      <c r="C43">
        <v>2018</v>
      </c>
      <c r="D43" t="s">
        <v>27</v>
      </c>
      <c r="E43" t="s">
        <v>28</v>
      </c>
      <c r="F43" s="1">
        <v>1931204</v>
      </c>
      <c r="G43" s="1">
        <v>791794</v>
      </c>
      <c r="H43" s="14">
        <f>AVERAGE(F44:F48)</f>
        <v>7097796.4000000004</v>
      </c>
      <c r="I43" s="14">
        <f>AVERAGE(G44:G48)</f>
        <v>2008671.6</v>
      </c>
      <c r="J43" s="20">
        <f>F43/H43</f>
        <v>0.27208500936995034</v>
      </c>
      <c r="K43" s="20">
        <f>G43/I43</f>
        <v>0.39418788018907619</v>
      </c>
      <c r="L43" s="21">
        <f>K43-1</f>
        <v>-0.60581211981092387</v>
      </c>
      <c r="M43" s="22">
        <f>I43-G43</f>
        <v>1216877.6000000001</v>
      </c>
      <c r="N43" s="3">
        <f>M43*1.04</f>
        <v>1265552.7040000001</v>
      </c>
      <c r="O43" s="86" t="s">
        <v>145</v>
      </c>
      <c r="P43" s="86" t="s">
        <v>161</v>
      </c>
    </row>
    <row r="44" spans="1:16" x14ac:dyDescent="0.3">
      <c r="A44" s="8">
        <v>81</v>
      </c>
      <c r="B44">
        <v>2018</v>
      </c>
      <c r="C44">
        <v>2017</v>
      </c>
      <c r="D44" t="s">
        <v>27</v>
      </c>
      <c r="E44" t="s">
        <v>28</v>
      </c>
      <c r="F44" s="1">
        <v>4407285</v>
      </c>
      <c r="G44" s="1">
        <v>1410331</v>
      </c>
    </row>
    <row r="45" spans="1:16" x14ac:dyDescent="0.3">
      <c r="A45" s="8">
        <v>81</v>
      </c>
      <c r="B45">
        <v>2018</v>
      </c>
      <c r="C45">
        <v>2016</v>
      </c>
      <c r="D45" t="s">
        <v>27</v>
      </c>
      <c r="E45" t="s">
        <v>28</v>
      </c>
      <c r="F45" s="1">
        <v>7921976</v>
      </c>
      <c r="G45" s="1">
        <v>2218153</v>
      </c>
    </row>
    <row r="46" spans="1:16" x14ac:dyDescent="0.3">
      <c r="A46" s="8">
        <v>81</v>
      </c>
      <c r="B46">
        <v>2018</v>
      </c>
      <c r="C46">
        <v>2015</v>
      </c>
      <c r="D46" t="s">
        <v>27</v>
      </c>
      <c r="E46" t="s">
        <v>28</v>
      </c>
      <c r="F46" s="1">
        <v>9266050</v>
      </c>
      <c r="G46" s="1">
        <v>2594494</v>
      </c>
    </row>
    <row r="47" spans="1:16" x14ac:dyDescent="0.3">
      <c r="A47" s="8">
        <v>81</v>
      </c>
      <c r="B47">
        <v>2018</v>
      </c>
      <c r="C47">
        <v>2014</v>
      </c>
      <c r="D47" t="s">
        <v>27</v>
      </c>
      <c r="E47" t="s">
        <v>28</v>
      </c>
      <c r="F47" s="1">
        <v>6934184</v>
      </c>
      <c r="G47" s="1">
        <v>2010913</v>
      </c>
    </row>
    <row r="48" spans="1:16" x14ac:dyDescent="0.3">
      <c r="A48" s="12">
        <v>81</v>
      </c>
      <c r="B48" s="5">
        <v>2018</v>
      </c>
      <c r="C48" s="5">
        <v>2013</v>
      </c>
      <c r="D48" s="5" t="s">
        <v>27</v>
      </c>
      <c r="E48" s="5" t="s">
        <v>28</v>
      </c>
      <c r="F48" s="6">
        <v>6959487</v>
      </c>
      <c r="G48" s="6">
        <v>1809467</v>
      </c>
      <c r="H48" s="5"/>
      <c r="I48" s="5"/>
      <c r="J48" s="5"/>
      <c r="K48" s="5"/>
      <c r="L48" s="5"/>
      <c r="M48" s="5"/>
      <c r="N48" s="5"/>
      <c r="O48" s="88"/>
      <c r="P48" s="88"/>
    </row>
    <row r="49" spans="1:16" x14ac:dyDescent="0.3">
      <c r="A49" s="28">
        <v>80</v>
      </c>
      <c r="B49" s="24">
        <v>2016</v>
      </c>
      <c r="C49" s="25"/>
      <c r="D49" s="24" t="s">
        <v>30</v>
      </c>
      <c r="E49" s="24" t="s">
        <v>73</v>
      </c>
      <c r="F49" s="26" t="s">
        <v>25</v>
      </c>
      <c r="G49" s="26" t="s">
        <v>25</v>
      </c>
      <c r="H49" s="25" t="s">
        <v>25</v>
      </c>
      <c r="I49" s="25" t="s">
        <v>25</v>
      </c>
      <c r="J49" s="25" t="s">
        <v>25</v>
      </c>
      <c r="K49" s="25" t="s">
        <v>25</v>
      </c>
      <c r="L49" s="25" t="s">
        <v>25</v>
      </c>
      <c r="M49" s="27">
        <f>343694+1218338</f>
        <v>1562032</v>
      </c>
      <c r="N49" s="27">
        <f>M49*1.09</f>
        <v>1702614.8800000001</v>
      </c>
      <c r="O49" s="89" t="s">
        <v>156</v>
      </c>
      <c r="P49" s="89" t="s">
        <v>157</v>
      </c>
    </row>
    <row r="50" spans="1:16" x14ac:dyDescent="0.3">
      <c r="A50" s="7">
        <v>79</v>
      </c>
      <c r="B50">
        <v>2017</v>
      </c>
      <c r="C50">
        <v>2017</v>
      </c>
      <c r="D50" t="s">
        <v>29</v>
      </c>
      <c r="E50" t="s">
        <v>24</v>
      </c>
      <c r="F50" s="1">
        <v>90671904</v>
      </c>
      <c r="G50" s="1">
        <v>230643922</v>
      </c>
      <c r="H50" s="14">
        <f>AVERAGE(F51:F55)</f>
        <v>83051949.599999994</v>
      </c>
      <c r="I50" s="14">
        <f>AVERAGE(G51:G55)</f>
        <v>222561297.19999999</v>
      </c>
      <c r="J50" s="20">
        <f>F50/H50</f>
        <v>1.0917492537706786</v>
      </c>
      <c r="K50" s="20">
        <f>G50/I50</f>
        <v>1.0363163986806598</v>
      </c>
      <c r="L50" s="21">
        <f>K50-1</f>
        <v>3.6316398680659834E-2</v>
      </c>
      <c r="M50" s="22">
        <f>I50-G50</f>
        <v>-8082624.8000000119</v>
      </c>
      <c r="N50" s="3">
        <f>M50*1.06</f>
        <v>-8567582.2880000137</v>
      </c>
      <c r="O50" s="86" t="s">
        <v>145</v>
      </c>
      <c r="P50" s="86" t="s">
        <v>146</v>
      </c>
    </row>
    <row r="51" spans="1:16" x14ac:dyDescent="0.3">
      <c r="A51" s="7">
        <v>79</v>
      </c>
      <c r="B51">
        <v>2017</v>
      </c>
      <c r="C51">
        <v>2016</v>
      </c>
      <c r="D51" t="s">
        <v>29</v>
      </c>
      <c r="E51" t="s">
        <v>24</v>
      </c>
      <c r="F51" s="1">
        <v>79357471</v>
      </c>
      <c r="G51" s="1">
        <v>205117011</v>
      </c>
    </row>
    <row r="52" spans="1:16" x14ac:dyDescent="0.3">
      <c r="A52" s="7">
        <v>79</v>
      </c>
      <c r="B52">
        <v>2017</v>
      </c>
      <c r="C52">
        <v>2015</v>
      </c>
      <c r="D52" t="s">
        <v>29</v>
      </c>
      <c r="E52" t="s">
        <v>24</v>
      </c>
      <c r="F52" s="1">
        <v>84200599</v>
      </c>
      <c r="G52" s="1">
        <v>180375728</v>
      </c>
    </row>
    <row r="53" spans="1:16" x14ac:dyDescent="0.3">
      <c r="A53" s="7">
        <v>79</v>
      </c>
      <c r="B53">
        <v>2017</v>
      </c>
      <c r="C53">
        <v>2014</v>
      </c>
      <c r="D53" t="s">
        <v>29</v>
      </c>
      <c r="E53" t="s">
        <v>24</v>
      </c>
      <c r="F53" s="1">
        <v>77959075</v>
      </c>
      <c r="G53" s="1">
        <v>263430198</v>
      </c>
    </row>
    <row r="54" spans="1:16" x14ac:dyDescent="0.3">
      <c r="A54" s="7">
        <v>79</v>
      </c>
      <c r="B54">
        <v>2017</v>
      </c>
      <c r="C54">
        <v>2013</v>
      </c>
      <c r="D54" t="s">
        <v>29</v>
      </c>
      <c r="E54" t="s">
        <v>24</v>
      </c>
      <c r="F54" s="1">
        <v>83583262</v>
      </c>
      <c r="G54" s="1">
        <v>258123745</v>
      </c>
    </row>
    <row r="55" spans="1:16" x14ac:dyDescent="0.3">
      <c r="A55" s="15">
        <v>79</v>
      </c>
      <c r="B55" s="5">
        <v>2017</v>
      </c>
      <c r="C55" s="5">
        <v>2012</v>
      </c>
      <c r="D55" s="5" t="s">
        <v>29</v>
      </c>
      <c r="E55" s="5" t="s">
        <v>24</v>
      </c>
      <c r="F55" s="6">
        <v>90159341</v>
      </c>
      <c r="G55" s="6">
        <v>205759804</v>
      </c>
      <c r="H55" s="5"/>
      <c r="I55" s="5"/>
      <c r="J55" s="5"/>
      <c r="K55" s="5"/>
      <c r="L55" s="5"/>
      <c r="M55" s="5"/>
      <c r="N55" s="5"/>
      <c r="O55" s="88"/>
      <c r="P55" s="88"/>
    </row>
    <row r="56" spans="1:16" ht="72" customHeight="1" x14ac:dyDescent="0.3">
      <c r="A56" s="9">
        <v>78</v>
      </c>
      <c r="B56">
        <v>2016</v>
      </c>
      <c r="C56">
        <v>2016</v>
      </c>
      <c r="D56" t="s">
        <v>30</v>
      </c>
      <c r="E56" t="s">
        <v>31</v>
      </c>
      <c r="F56" s="1">
        <v>7800</v>
      </c>
      <c r="H56" s="14">
        <f>AVERAGE(F57:F61)</f>
        <v>163606.6</v>
      </c>
      <c r="I56" s="4">
        <v>201858</v>
      </c>
      <c r="J56" s="2">
        <v>4.8000000000000001E-2</v>
      </c>
      <c r="K56" t="s">
        <v>25</v>
      </c>
      <c r="L56" t="s">
        <v>25</v>
      </c>
      <c r="M56" s="16">
        <v>413290</v>
      </c>
      <c r="N56" s="16">
        <f>M56*1.09</f>
        <v>450486.10000000003</v>
      </c>
      <c r="O56" s="86" t="s">
        <v>156</v>
      </c>
      <c r="P56" s="86" t="s">
        <v>158</v>
      </c>
    </row>
    <row r="57" spans="1:16" x14ac:dyDescent="0.3">
      <c r="A57" s="9">
        <v>78</v>
      </c>
      <c r="B57">
        <v>2016</v>
      </c>
      <c r="C57">
        <v>2015</v>
      </c>
      <c r="D57" t="s">
        <v>30</v>
      </c>
      <c r="E57" t="s">
        <v>31</v>
      </c>
      <c r="F57" s="1">
        <v>49454</v>
      </c>
    </row>
    <row r="58" spans="1:16" x14ac:dyDescent="0.3">
      <c r="A58" s="9">
        <v>78</v>
      </c>
      <c r="B58">
        <v>2016</v>
      </c>
      <c r="C58">
        <v>2014</v>
      </c>
      <c r="D58" t="s">
        <v>30</v>
      </c>
      <c r="E58" t="s">
        <v>31</v>
      </c>
      <c r="F58" s="1">
        <v>299859</v>
      </c>
    </row>
    <row r="59" spans="1:16" x14ac:dyDescent="0.3">
      <c r="A59" s="9">
        <v>78</v>
      </c>
      <c r="B59">
        <v>2016</v>
      </c>
      <c r="C59">
        <v>2013</v>
      </c>
      <c r="D59" t="s">
        <v>30</v>
      </c>
      <c r="E59" t="s">
        <v>31</v>
      </c>
      <c r="F59" s="1">
        <v>120425</v>
      </c>
    </row>
    <row r="60" spans="1:16" x14ac:dyDescent="0.3">
      <c r="A60" s="29">
        <v>78</v>
      </c>
      <c r="B60" s="13">
        <v>2016</v>
      </c>
      <c r="C60" s="13">
        <v>2012</v>
      </c>
      <c r="D60" s="13" t="s">
        <v>30</v>
      </c>
      <c r="E60" s="13" t="s">
        <v>31</v>
      </c>
      <c r="F60" s="14">
        <v>108203</v>
      </c>
      <c r="G60" s="13"/>
      <c r="H60" s="13"/>
      <c r="I60" s="13"/>
      <c r="J60" s="13"/>
      <c r="K60" s="13"/>
      <c r="L60" s="13"/>
      <c r="M60" s="13"/>
      <c r="N60" s="13"/>
    </row>
    <row r="61" spans="1:16" x14ac:dyDescent="0.3">
      <c r="A61" s="30">
        <v>78</v>
      </c>
      <c r="B61" s="5">
        <v>2016</v>
      </c>
      <c r="C61" s="5">
        <v>2011</v>
      </c>
      <c r="D61" s="5" t="s">
        <v>30</v>
      </c>
      <c r="E61" s="5" t="s">
        <v>31</v>
      </c>
      <c r="F61" s="6">
        <v>240092</v>
      </c>
      <c r="G61" s="5"/>
      <c r="H61" s="5"/>
      <c r="I61" s="5"/>
      <c r="J61" s="5"/>
      <c r="K61" s="5"/>
      <c r="L61" s="5"/>
      <c r="M61" s="5"/>
      <c r="N61" s="5"/>
      <c r="O61" s="88"/>
      <c r="P61" s="88"/>
    </row>
    <row r="62" spans="1:16" x14ac:dyDescent="0.3">
      <c r="A62" s="49">
        <v>77</v>
      </c>
      <c r="B62" s="25">
        <v>2017</v>
      </c>
      <c r="C62" s="25">
        <v>2017</v>
      </c>
      <c r="D62" s="25" t="s">
        <v>102</v>
      </c>
      <c r="E62" s="25" t="s">
        <v>24</v>
      </c>
      <c r="F62" s="26"/>
      <c r="G62" s="25"/>
      <c r="H62" s="25"/>
      <c r="I62" s="25"/>
      <c r="J62" s="25"/>
      <c r="K62" s="25"/>
      <c r="L62" s="25"/>
      <c r="M62" s="27">
        <v>106000000</v>
      </c>
      <c r="N62" s="50">
        <f>1.06*M62</f>
        <v>112360000</v>
      </c>
      <c r="O62" s="89" t="s">
        <v>145</v>
      </c>
      <c r="P62" s="89" t="s">
        <v>162</v>
      </c>
    </row>
    <row r="63" spans="1:16" s="74" customFormat="1" ht="57.6" x14ac:dyDescent="0.3">
      <c r="A63" s="23">
        <v>74</v>
      </c>
      <c r="B63" s="29" t="s">
        <v>21</v>
      </c>
      <c r="C63" s="17">
        <v>2017</v>
      </c>
      <c r="D63" s="13" t="s">
        <v>81</v>
      </c>
      <c r="E63" s="13" t="s">
        <v>83</v>
      </c>
      <c r="G63" s="74">
        <f>2700000+4500000</f>
        <v>7200000</v>
      </c>
      <c r="H63" s="14"/>
      <c r="I63" s="14">
        <f>G65</f>
        <v>19900000</v>
      </c>
      <c r="J63" s="40"/>
      <c r="K63" s="40">
        <f>G63/I63</f>
        <v>0.36180904522613067</v>
      </c>
      <c r="L63" s="21">
        <f>K63-1</f>
        <v>-0.63819095477386933</v>
      </c>
      <c r="M63" s="22">
        <f>I63-G63</f>
        <v>12700000</v>
      </c>
      <c r="N63" s="22">
        <f>M63*1.06</f>
        <v>13462000</v>
      </c>
      <c r="O63" s="86" t="s">
        <v>156</v>
      </c>
      <c r="P63" s="86" t="s">
        <v>163</v>
      </c>
    </row>
    <row r="64" spans="1:16" s="74" customFormat="1" x14ac:dyDescent="0.3">
      <c r="A64" s="23">
        <v>74</v>
      </c>
      <c r="B64" s="29" t="s">
        <v>21</v>
      </c>
      <c r="C64" s="13">
        <v>2016</v>
      </c>
      <c r="D64" s="13" t="s">
        <v>81</v>
      </c>
      <c r="E64" s="13" t="s">
        <v>83</v>
      </c>
      <c r="F64" s="14"/>
      <c r="G64" s="13">
        <f>4300000+5300000</f>
        <v>9600000</v>
      </c>
      <c r="J64" s="60"/>
      <c r="K64" s="60">
        <f>G64/I63</f>
        <v>0.48241206030150752</v>
      </c>
      <c r="L64" s="21">
        <f>K64-1</f>
        <v>-0.51758793969849248</v>
      </c>
      <c r="M64" s="75">
        <f>I63-G64</f>
        <v>10300000</v>
      </c>
      <c r="N64" s="16">
        <f>M64*1.09</f>
        <v>11227000</v>
      </c>
      <c r="O64" s="86"/>
      <c r="P64" s="86"/>
    </row>
    <row r="65" spans="1:16" s="74" customFormat="1" x14ac:dyDescent="0.3">
      <c r="A65" s="12">
        <v>74</v>
      </c>
      <c r="B65" s="30" t="s">
        <v>21</v>
      </c>
      <c r="C65" s="5" t="s">
        <v>135</v>
      </c>
      <c r="D65" s="5" t="s">
        <v>81</v>
      </c>
      <c r="E65" s="5" t="s">
        <v>83</v>
      </c>
      <c r="F65" s="6"/>
      <c r="G65" s="57">
        <f>7300000+12600000</f>
        <v>19900000</v>
      </c>
      <c r="H65" s="5"/>
      <c r="I65" s="5"/>
      <c r="J65" s="5"/>
      <c r="K65" s="5"/>
      <c r="L65" s="5"/>
      <c r="M65" s="77"/>
      <c r="N65" s="78"/>
      <c r="O65" s="88"/>
      <c r="P65" s="88"/>
    </row>
    <row r="66" spans="1:16" s="74" customFormat="1" ht="43.2" x14ac:dyDescent="0.3">
      <c r="A66" s="23">
        <v>73</v>
      </c>
      <c r="B66" s="29">
        <v>2015</v>
      </c>
      <c r="C66" s="17">
        <v>2015</v>
      </c>
      <c r="D66" s="17" t="s">
        <v>30</v>
      </c>
      <c r="E66" s="17" t="s">
        <v>137</v>
      </c>
      <c r="F66" s="14"/>
      <c r="G66" s="76">
        <f>(2364+7900+2610+49454)*4</f>
        <v>249312</v>
      </c>
      <c r="H66" s="13"/>
      <c r="I66" s="79">
        <f>G67</f>
        <v>1828160</v>
      </c>
      <c r="J66" s="13"/>
      <c r="K66" s="40">
        <f>G66/I66</f>
        <v>0.13637318396639245</v>
      </c>
      <c r="L66" s="21">
        <f>K66-1</f>
        <v>-0.86362681603360758</v>
      </c>
      <c r="M66" s="22">
        <f>I66-G66</f>
        <v>1578848</v>
      </c>
      <c r="N66" s="22">
        <f>M66*1.1</f>
        <v>1736732.8</v>
      </c>
      <c r="O66" s="86" t="s">
        <v>156</v>
      </c>
      <c r="P66" s="86" t="s">
        <v>164</v>
      </c>
    </row>
    <row r="67" spans="1:16" s="74" customFormat="1" x14ac:dyDescent="0.3">
      <c r="A67" s="12">
        <v>73</v>
      </c>
      <c r="B67" s="30">
        <v>2015</v>
      </c>
      <c r="C67" s="5" t="s">
        <v>136</v>
      </c>
      <c r="D67" s="18" t="s">
        <v>30</v>
      </c>
      <c r="E67" s="5"/>
      <c r="F67" s="6"/>
      <c r="G67" s="57">
        <f>(9800+110500+62000+274740)*4</f>
        <v>1828160</v>
      </c>
      <c r="H67" s="5"/>
      <c r="I67" s="5"/>
      <c r="J67" s="5"/>
      <c r="K67" s="5"/>
      <c r="L67" s="5"/>
      <c r="M67" s="77"/>
      <c r="N67" s="78"/>
      <c r="O67" s="88"/>
      <c r="P67" s="88"/>
    </row>
    <row r="68" spans="1:16" x14ac:dyDescent="0.3">
      <c r="A68" s="8">
        <v>75</v>
      </c>
      <c r="B68" t="s">
        <v>32</v>
      </c>
      <c r="C68">
        <v>2016</v>
      </c>
      <c r="D68" t="s">
        <v>18</v>
      </c>
      <c r="E68" t="s">
        <v>19</v>
      </c>
      <c r="F68" s="1">
        <v>954160</v>
      </c>
      <c r="G68" s="1">
        <v>95657</v>
      </c>
      <c r="H68" s="14">
        <f>AVERAGE(F70:F74)</f>
        <v>43771143</v>
      </c>
      <c r="I68" s="14">
        <f>AVERAGE(G70:G74)</f>
        <v>3351232.8</v>
      </c>
      <c r="J68" s="20">
        <f>F68/H68</f>
        <v>2.1798836735883273E-2</v>
      </c>
      <c r="K68" s="20">
        <f>G68/I68</f>
        <v>2.8543824230891988E-2</v>
      </c>
      <c r="L68" s="21">
        <f>K68-1</f>
        <v>-0.97145617576910803</v>
      </c>
      <c r="M68" s="22">
        <f>I68-G68</f>
        <v>3255575.8</v>
      </c>
      <c r="N68" s="16">
        <f>M68*1.09</f>
        <v>3548577.622</v>
      </c>
      <c r="O68" s="86" t="s">
        <v>145</v>
      </c>
      <c r="P68" s="86" t="s">
        <v>146</v>
      </c>
    </row>
    <row r="69" spans="1:16" x14ac:dyDescent="0.3">
      <c r="A69" s="8">
        <v>75</v>
      </c>
      <c r="B69" t="s">
        <v>32</v>
      </c>
      <c r="C69">
        <v>2015</v>
      </c>
      <c r="D69" t="s">
        <v>18</v>
      </c>
      <c r="E69" t="s">
        <v>19</v>
      </c>
      <c r="F69" s="1">
        <v>3750940</v>
      </c>
      <c r="G69" s="1">
        <v>343148</v>
      </c>
      <c r="J69" s="59">
        <f>F69/H68</f>
        <v>8.5694358038582635E-2</v>
      </c>
      <c r="K69" s="59">
        <f>G69/I68</f>
        <v>0.10239455760877013</v>
      </c>
      <c r="L69" s="2">
        <f>K69-1</f>
        <v>-0.89760544239122986</v>
      </c>
      <c r="M69" s="16">
        <f>I68-G69</f>
        <v>3008084.8</v>
      </c>
      <c r="N69" s="16">
        <f>M69*1.1</f>
        <v>3308893.2800000003</v>
      </c>
    </row>
    <row r="70" spans="1:16" x14ac:dyDescent="0.3">
      <c r="A70" s="8">
        <v>75</v>
      </c>
      <c r="B70" t="s">
        <v>32</v>
      </c>
      <c r="C70">
        <v>2014</v>
      </c>
      <c r="D70" t="s">
        <v>18</v>
      </c>
      <c r="E70" t="s">
        <v>19</v>
      </c>
      <c r="F70" s="1">
        <v>17132543</v>
      </c>
      <c r="G70" s="1">
        <v>2003074</v>
      </c>
    </row>
    <row r="71" spans="1:16" x14ac:dyDescent="0.3">
      <c r="A71" s="8">
        <v>75</v>
      </c>
      <c r="B71" t="s">
        <v>32</v>
      </c>
      <c r="C71">
        <v>2013</v>
      </c>
      <c r="D71" t="s">
        <v>18</v>
      </c>
      <c r="E71" t="s">
        <v>19</v>
      </c>
      <c r="F71" s="1">
        <v>15594380</v>
      </c>
      <c r="G71" s="1">
        <v>1502104</v>
      </c>
    </row>
    <row r="72" spans="1:16" x14ac:dyDescent="0.3">
      <c r="A72" s="8">
        <v>75</v>
      </c>
      <c r="B72" t="s">
        <v>32</v>
      </c>
      <c r="C72">
        <v>2012</v>
      </c>
      <c r="D72" t="s">
        <v>18</v>
      </c>
      <c r="E72" t="s">
        <v>19</v>
      </c>
      <c r="F72" s="1">
        <v>50802602</v>
      </c>
      <c r="G72" s="1">
        <v>4321462</v>
      </c>
    </row>
    <row r="73" spans="1:16" x14ac:dyDescent="0.3">
      <c r="A73" s="8">
        <v>75</v>
      </c>
      <c r="B73" t="s">
        <v>32</v>
      </c>
      <c r="C73">
        <v>2011</v>
      </c>
      <c r="D73" t="s">
        <v>18</v>
      </c>
      <c r="E73" t="s">
        <v>19</v>
      </c>
      <c r="F73" s="1">
        <v>61097957</v>
      </c>
      <c r="G73" s="1">
        <v>4623188</v>
      </c>
    </row>
    <row r="74" spans="1:16" x14ac:dyDescent="0.3">
      <c r="A74" s="12">
        <v>75</v>
      </c>
      <c r="B74" s="5" t="s">
        <v>32</v>
      </c>
      <c r="C74" s="5">
        <v>2010</v>
      </c>
      <c r="D74" s="5" t="s">
        <v>18</v>
      </c>
      <c r="E74" s="5" t="s">
        <v>19</v>
      </c>
      <c r="F74" s="6">
        <v>74228233</v>
      </c>
      <c r="G74" s="6">
        <v>4306336</v>
      </c>
      <c r="H74" s="5"/>
      <c r="I74" s="5"/>
      <c r="J74" s="5"/>
      <c r="K74" s="5"/>
      <c r="L74" s="5"/>
      <c r="M74" s="5"/>
      <c r="N74" s="5"/>
      <c r="O74" s="88"/>
      <c r="P74" s="88"/>
    </row>
    <row r="75" spans="1:16" ht="66" customHeight="1" x14ac:dyDescent="0.3">
      <c r="A75" s="8">
        <v>72</v>
      </c>
      <c r="B75">
        <v>2016</v>
      </c>
      <c r="C75">
        <v>2016</v>
      </c>
      <c r="D75" t="s">
        <v>27</v>
      </c>
      <c r="E75" t="s">
        <v>35</v>
      </c>
      <c r="F75" s="1">
        <v>130239993</v>
      </c>
      <c r="G75" s="1">
        <v>40195716</v>
      </c>
      <c r="H75" s="14">
        <f>AVERAGE(F76:F80)</f>
        <v>434899018.60000002</v>
      </c>
      <c r="I75" s="14">
        <f>AVERAGE(G76:G80)</f>
        <v>152109590.59999999</v>
      </c>
      <c r="J75" s="20">
        <f>F75/H75</f>
        <v>0.2994718024870705</v>
      </c>
      <c r="K75" s="20">
        <f>G75/I75</f>
        <v>0.26425497459724279</v>
      </c>
      <c r="L75" s="21">
        <f>K75-1</f>
        <v>-0.73574502540275721</v>
      </c>
      <c r="M75" s="22">
        <f>I75-G75</f>
        <v>111913874.59999999</v>
      </c>
      <c r="N75" s="3">
        <f>M75*1.09</f>
        <v>121986123.314</v>
      </c>
      <c r="O75" s="86" t="s">
        <v>148</v>
      </c>
      <c r="P75" s="86" t="s">
        <v>165</v>
      </c>
    </row>
    <row r="76" spans="1:16" x14ac:dyDescent="0.3">
      <c r="A76" s="8">
        <v>72</v>
      </c>
      <c r="B76">
        <v>2016</v>
      </c>
      <c r="C76">
        <v>2015</v>
      </c>
      <c r="D76" t="s">
        <v>27</v>
      </c>
      <c r="E76" t="s">
        <v>35</v>
      </c>
      <c r="F76" s="1">
        <v>604767433</v>
      </c>
      <c r="G76" s="1">
        <v>124209596</v>
      </c>
    </row>
    <row r="77" spans="1:16" x14ac:dyDescent="0.3">
      <c r="A77" s="8">
        <v>72</v>
      </c>
      <c r="B77">
        <v>2016</v>
      </c>
      <c r="C77">
        <v>2014</v>
      </c>
      <c r="D77" t="s">
        <v>27</v>
      </c>
      <c r="E77" t="s">
        <v>35</v>
      </c>
      <c r="F77" s="1">
        <v>309577250</v>
      </c>
      <c r="G77" s="1">
        <v>88966733</v>
      </c>
    </row>
    <row r="78" spans="1:16" x14ac:dyDescent="0.3">
      <c r="A78" s="8">
        <v>72</v>
      </c>
      <c r="B78">
        <v>2016</v>
      </c>
      <c r="C78">
        <v>2013</v>
      </c>
      <c r="D78" t="s">
        <v>27</v>
      </c>
      <c r="E78" t="s">
        <v>35</v>
      </c>
      <c r="F78" s="1">
        <v>655278181</v>
      </c>
      <c r="G78" s="1">
        <v>267912117</v>
      </c>
    </row>
    <row r="79" spans="1:16" x14ac:dyDescent="0.3">
      <c r="A79" s="8">
        <v>72</v>
      </c>
      <c r="B79">
        <v>2016</v>
      </c>
      <c r="C79">
        <v>2012</v>
      </c>
      <c r="D79" t="s">
        <v>27</v>
      </c>
      <c r="E79" t="s">
        <v>35</v>
      </c>
      <c r="F79" s="1">
        <v>235400114</v>
      </c>
      <c r="G79" s="1">
        <v>111231078</v>
      </c>
    </row>
    <row r="80" spans="1:16" x14ac:dyDescent="0.3">
      <c r="A80" s="12">
        <v>72</v>
      </c>
      <c r="B80" s="5">
        <v>2016</v>
      </c>
      <c r="C80" s="5">
        <v>2011</v>
      </c>
      <c r="D80" s="5" t="s">
        <v>27</v>
      </c>
      <c r="E80" s="5" t="s">
        <v>35</v>
      </c>
      <c r="F80" s="6">
        <v>369472115</v>
      </c>
      <c r="G80" s="6">
        <v>168228429</v>
      </c>
      <c r="H80" s="5"/>
      <c r="I80" s="5"/>
      <c r="J80" s="5"/>
      <c r="K80" s="5"/>
      <c r="L80" s="5"/>
      <c r="M80" s="5"/>
      <c r="N80" s="5"/>
      <c r="O80" s="88"/>
      <c r="P80" s="88"/>
    </row>
    <row r="81" spans="1:16" ht="28.8" x14ac:dyDescent="0.3">
      <c r="A81" s="8">
        <v>71</v>
      </c>
      <c r="B81">
        <v>2016</v>
      </c>
      <c r="C81">
        <v>2016</v>
      </c>
      <c r="D81" t="s">
        <v>33</v>
      </c>
      <c r="E81" t="s">
        <v>36</v>
      </c>
      <c r="F81" s="1">
        <v>478000</v>
      </c>
      <c r="G81" s="1">
        <v>1606000</v>
      </c>
      <c r="H81" s="14">
        <f>AVERAGE(F82:F86)</f>
        <v>1501600</v>
      </c>
      <c r="I81" s="14">
        <f>AVERAGE(G82:G86)</f>
        <v>2608200</v>
      </c>
      <c r="J81" s="20">
        <f>F81/H81</f>
        <v>0.31832711774107619</v>
      </c>
      <c r="K81" s="20">
        <f>G81/I81</f>
        <v>0.61575032589525347</v>
      </c>
      <c r="L81" s="21">
        <f>K81-1</f>
        <v>-0.38424967410474653</v>
      </c>
      <c r="M81" s="22">
        <f>I81-G81</f>
        <v>1002200</v>
      </c>
      <c r="N81" s="3">
        <f>M81*1.09</f>
        <v>1092398</v>
      </c>
      <c r="O81" s="86" t="s">
        <v>145</v>
      </c>
      <c r="P81" s="86" t="s">
        <v>166</v>
      </c>
    </row>
    <row r="82" spans="1:16" x14ac:dyDescent="0.3">
      <c r="A82" s="8">
        <v>71</v>
      </c>
      <c r="B82">
        <v>2016</v>
      </c>
      <c r="C82">
        <v>2015</v>
      </c>
      <c r="D82" t="s">
        <v>33</v>
      </c>
      <c r="E82" t="s">
        <v>36</v>
      </c>
      <c r="F82" s="1">
        <v>1395000</v>
      </c>
      <c r="G82" s="1">
        <v>3448000</v>
      </c>
    </row>
    <row r="83" spans="1:16" x14ac:dyDescent="0.3">
      <c r="A83" s="8">
        <v>71</v>
      </c>
      <c r="B83">
        <v>2016</v>
      </c>
      <c r="C83">
        <v>2014</v>
      </c>
      <c r="D83" t="s">
        <v>33</v>
      </c>
      <c r="E83" t="s">
        <v>36</v>
      </c>
      <c r="F83" s="1">
        <v>2006000</v>
      </c>
      <c r="G83" s="1">
        <v>2709000</v>
      </c>
    </row>
    <row r="84" spans="1:16" x14ac:dyDescent="0.3">
      <c r="A84" s="8">
        <v>71</v>
      </c>
      <c r="B84">
        <v>2016</v>
      </c>
      <c r="C84">
        <v>2013</v>
      </c>
      <c r="D84" t="s">
        <v>33</v>
      </c>
      <c r="E84" t="s">
        <v>36</v>
      </c>
      <c r="F84" s="1">
        <v>1621000</v>
      </c>
      <c r="G84" s="1">
        <v>2838000</v>
      </c>
    </row>
    <row r="85" spans="1:16" x14ac:dyDescent="0.3">
      <c r="A85" s="8">
        <v>71</v>
      </c>
      <c r="B85">
        <v>2016</v>
      </c>
      <c r="C85">
        <v>2012</v>
      </c>
      <c r="D85" t="s">
        <v>33</v>
      </c>
      <c r="E85" t="s">
        <v>36</v>
      </c>
      <c r="F85" s="1">
        <v>1561000</v>
      </c>
      <c r="G85" s="1">
        <v>2358000</v>
      </c>
    </row>
    <row r="86" spans="1:16" x14ac:dyDescent="0.3">
      <c r="A86" s="12">
        <v>71</v>
      </c>
      <c r="B86" s="5">
        <v>2016</v>
      </c>
      <c r="C86" s="5">
        <v>2011</v>
      </c>
      <c r="D86" s="5" t="s">
        <v>33</v>
      </c>
      <c r="E86" s="5" t="s">
        <v>36</v>
      </c>
      <c r="F86" s="6">
        <v>925000</v>
      </c>
      <c r="G86" s="6">
        <v>1688000</v>
      </c>
      <c r="H86" s="5"/>
      <c r="I86" s="5"/>
      <c r="J86" s="5"/>
      <c r="K86" s="5"/>
      <c r="L86" s="5"/>
      <c r="M86" s="5"/>
      <c r="N86" s="5"/>
      <c r="O86" s="88"/>
      <c r="P86" s="88"/>
    </row>
    <row r="87" spans="1:16" ht="85.8" customHeight="1" x14ac:dyDescent="0.3">
      <c r="A87" s="9">
        <v>69</v>
      </c>
      <c r="B87" s="36">
        <v>2015</v>
      </c>
      <c r="C87" s="36">
        <v>2015</v>
      </c>
      <c r="D87" s="36" t="s">
        <v>33</v>
      </c>
      <c r="E87" s="36" t="s">
        <v>37</v>
      </c>
      <c r="F87" s="36">
        <v>65165</v>
      </c>
      <c r="G87" s="36"/>
      <c r="H87" s="80">
        <f>F88</f>
        <v>432345</v>
      </c>
      <c r="I87" s="80"/>
      <c r="J87" s="81"/>
      <c r="K87" s="81"/>
      <c r="L87" s="82"/>
      <c r="M87" s="83">
        <f>3000000</f>
        <v>3000000</v>
      </c>
      <c r="N87" s="84">
        <f>M87*1.1</f>
        <v>3300000.0000000005</v>
      </c>
      <c r="O87" s="86" t="s">
        <v>156</v>
      </c>
      <c r="P87" s="86" t="s">
        <v>167</v>
      </c>
    </row>
    <row r="88" spans="1:16" x14ac:dyDescent="0.3">
      <c r="A88" s="30">
        <v>69</v>
      </c>
      <c r="B88" s="18">
        <v>2015</v>
      </c>
      <c r="C88" s="18" t="s">
        <v>139</v>
      </c>
      <c r="D88" s="18" t="s">
        <v>33</v>
      </c>
      <c r="E88" s="18" t="s">
        <v>37</v>
      </c>
      <c r="F88" s="18">
        <v>432345</v>
      </c>
      <c r="G88" s="18"/>
      <c r="H88" s="18"/>
      <c r="I88" s="18"/>
      <c r="J88" s="18"/>
      <c r="K88" s="18"/>
      <c r="L88" s="18"/>
      <c r="M88" s="18"/>
      <c r="N88" s="18"/>
      <c r="O88" s="88"/>
      <c r="P88" s="88"/>
    </row>
    <row r="89" spans="1:16" s="74" customFormat="1" ht="72" x14ac:dyDescent="0.3">
      <c r="A89" s="29">
        <v>68</v>
      </c>
      <c r="B89" s="17">
        <v>2015</v>
      </c>
      <c r="C89" s="17">
        <v>2015</v>
      </c>
      <c r="D89" s="17" t="s">
        <v>140</v>
      </c>
      <c r="E89" s="17" t="s">
        <v>141</v>
      </c>
      <c r="F89" s="17"/>
      <c r="G89" s="17">
        <f>(12000+2537) +(AVERAGE(12000+2537)*2)</f>
        <v>43611</v>
      </c>
      <c r="H89" s="17"/>
      <c r="I89" s="17">
        <f>G90</f>
        <v>719739</v>
      </c>
      <c r="J89" s="17"/>
      <c r="K89" s="17">
        <f>G89/I89</f>
        <v>6.0592798222689058E-2</v>
      </c>
      <c r="L89" s="17">
        <f>K89-1</f>
        <v>-0.93940720177731096</v>
      </c>
      <c r="M89" s="17">
        <f>I89-G89</f>
        <v>676128</v>
      </c>
      <c r="N89" s="85">
        <f>M89*1.1</f>
        <v>743740.8</v>
      </c>
      <c r="O89" s="86" t="s">
        <v>156</v>
      </c>
      <c r="P89" s="86" t="s">
        <v>168</v>
      </c>
    </row>
    <row r="90" spans="1:16" s="74" customFormat="1" x14ac:dyDescent="0.3">
      <c r="A90" s="30">
        <v>68</v>
      </c>
      <c r="B90" s="18">
        <v>2015</v>
      </c>
      <c r="C90" s="18" t="s">
        <v>136</v>
      </c>
      <c r="D90" s="18" t="s">
        <v>140</v>
      </c>
      <c r="E90" s="18" t="s">
        <v>141</v>
      </c>
      <c r="F90" s="18"/>
      <c r="G90" s="18">
        <f>(214000+25913)+ (AVERAGE(214000+25913)*2)</f>
        <v>719739</v>
      </c>
      <c r="H90" s="18"/>
      <c r="I90" s="18"/>
      <c r="J90" s="18"/>
      <c r="K90" s="18"/>
      <c r="L90" s="18"/>
      <c r="M90" s="18"/>
      <c r="N90" s="18"/>
      <c r="O90" s="88"/>
      <c r="P90" s="88"/>
    </row>
    <row r="91" spans="1:16" ht="28.8" x14ac:dyDescent="0.3">
      <c r="A91">
        <v>67</v>
      </c>
      <c r="B91" t="s">
        <v>32</v>
      </c>
      <c r="C91">
        <v>2016</v>
      </c>
      <c r="D91" t="s">
        <v>18</v>
      </c>
      <c r="E91" t="s">
        <v>38</v>
      </c>
      <c r="F91" s="1">
        <v>26777120</v>
      </c>
      <c r="G91" s="1">
        <v>83247255</v>
      </c>
      <c r="H91" s="14">
        <f>AVERAGE(F93:F97)</f>
        <v>24257689</v>
      </c>
      <c r="I91" s="14">
        <f>AVERAGE(G93:G97)</f>
        <v>67852528.200000003</v>
      </c>
      <c r="J91" s="20">
        <f>F91/H91</f>
        <v>1.1038611303822059</v>
      </c>
      <c r="K91" s="20">
        <f>G91/I91</f>
        <v>1.2268850875331128</v>
      </c>
      <c r="L91" s="21">
        <f>K91-1</f>
        <v>0.22688508753311276</v>
      </c>
      <c r="M91" s="22">
        <f>I91-G91</f>
        <v>-15394726.799999997</v>
      </c>
      <c r="N91" s="3">
        <f>M91*1.09</f>
        <v>-16780252.211999997</v>
      </c>
      <c r="O91" s="86" t="s">
        <v>145</v>
      </c>
      <c r="P91" s="86" t="s">
        <v>169</v>
      </c>
    </row>
    <row r="92" spans="1:16" x14ac:dyDescent="0.3">
      <c r="A92">
        <v>67</v>
      </c>
      <c r="B92" t="s">
        <v>32</v>
      </c>
      <c r="C92">
        <v>2015</v>
      </c>
      <c r="D92" t="s">
        <v>18</v>
      </c>
      <c r="E92" t="s">
        <v>38</v>
      </c>
      <c r="F92" s="1">
        <v>3499713</v>
      </c>
      <c r="G92" s="1">
        <v>17558353</v>
      </c>
      <c r="J92" s="60">
        <f>F92/H91</f>
        <v>0.14427231711973881</v>
      </c>
      <c r="K92" s="60">
        <f>G92/I91</f>
        <v>0.25877227372052436</v>
      </c>
      <c r="L92" s="61">
        <f>K92-1</f>
        <v>-0.74122772627947564</v>
      </c>
      <c r="M92" s="1">
        <f>I91-G92</f>
        <v>50294175.200000003</v>
      </c>
      <c r="N92" s="16">
        <f>M92*1.1</f>
        <v>55323592.720000006</v>
      </c>
    </row>
    <row r="93" spans="1:16" x14ac:dyDescent="0.3">
      <c r="A93">
        <v>67</v>
      </c>
      <c r="B93" t="s">
        <v>32</v>
      </c>
      <c r="C93">
        <v>2014</v>
      </c>
      <c r="D93" t="s">
        <v>18</v>
      </c>
      <c r="E93" t="s">
        <v>38</v>
      </c>
      <c r="F93" s="1">
        <v>18810922</v>
      </c>
      <c r="G93" s="1">
        <v>67410514</v>
      </c>
    </row>
    <row r="94" spans="1:16" x14ac:dyDescent="0.3">
      <c r="A94">
        <v>67</v>
      </c>
      <c r="B94" t="s">
        <v>32</v>
      </c>
      <c r="C94">
        <v>2013</v>
      </c>
      <c r="D94" t="s">
        <v>18</v>
      </c>
      <c r="E94" t="s">
        <v>38</v>
      </c>
      <c r="F94" s="1">
        <v>32291668</v>
      </c>
      <c r="G94" s="1">
        <v>91030947</v>
      </c>
    </row>
    <row r="95" spans="1:16" x14ac:dyDescent="0.3">
      <c r="A95">
        <v>67</v>
      </c>
      <c r="B95" t="s">
        <v>32</v>
      </c>
      <c r="C95">
        <v>2012</v>
      </c>
      <c r="D95" t="s">
        <v>18</v>
      </c>
      <c r="E95" t="s">
        <v>38</v>
      </c>
      <c r="F95" s="1">
        <v>26582800</v>
      </c>
      <c r="G95" s="1">
        <v>86731095</v>
      </c>
    </row>
    <row r="96" spans="1:16" x14ac:dyDescent="0.3">
      <c r="A96">
        <v>67</v>
      </c>
      <c r="B96" t="s">
        <v>32</v>
      </c>
      <c r="C96">
        <v>2011</v>
      </c>
      <c r="D96" t="s">
        <v>18</v>
      </c>
      <c r="E96" t="s">
        <v>38</v>
      </c>
      <c r="F96" s="1">
        <v>21114091</v>
      </c>
      <c r="G96" s="1">
        <v>52251301</v>
      </c>
    </row>
    <row r="97" spans="1:16" x14ac:dyDescent="0.3">
      <c r="A97" s="5">
        <v>67</v>
      </c>
      <c r="B97" s="5" t="s">
        <v>32</v>
      </c>
      <c r="C97" s="5">
        <v>2010</v>
      </c>
      <c r="D97" s="5" t="s">
        <v>18</v>
      </c>
      <c r="E97" s="5" t="s">
        <v>38</v>
      </c>
      <c r="F97" s="6">
        <v>22488964</v>
      </c>
      <c r="G97" s="6">
        <v>41838784</v>
      </c>
      <c r="H97" s="5"/>
      <c r="I97" s="5"/>
      <c r="J97" s="5"/>
      <c r="K97" s="5"/>
      <c r="L97" s="5"/>
      <c r="M97" s="5"/>
      <c r="N97" s="5"/>
      <c r="O97" s="88"/>
      <c r="P97" s="88"/>
    </row>
    <row r="98" spans="1:16" ht="63.6" customHeight="1" x14ac:dyDescent="0.3">
      <c r="A98" s="8">
        <v>66</v>
      </c>
      <c r="B98" s="9">
        <v>2015</v>
      </c>
      <c r="C98">
        <v>2015</v>
      </c>
      <c r="D98" t="s">
        <v>33</v>
      </c>
      <c r="E98" t="s">
        <v>34</v>
      </c>
      <c r="F98" s="1">
        <v>616632</v>
      </c>
      <c r="G98" s="1">
        <v>910914</v>
      </c>
      <c r="H98" s="14">
        <f>AVERAGE(F99:F103)</f>
        <v>3882203.8</v>
      </c>
      <c r="I98" s="14">
        <f>AVERAGE(G99:G103)</f>
        <v>5930555.4000000004</v>
      </c>
      <c r="J98" s="20">
        <f>F98/H98</f>
        <v>0.15883555623741341</v>
      </c>
      <c r="K98" s="20">
        <f>G98/I98</f>
        <v>0.15359674407560545</v>
      </c>
      <c r="L98" s="21">
        <f>K98-1</f>
        <v>-0.84640325592439458</v>
      </c>
      <c r="M98" s="22">
        <f>I98-G98</f>
        <v>5019641.4000000004</v>
      </c>
      <c r="N98" s="3">
        <f>M98*1.1</f>
        <v>5521605.540000001</v>
      </c>
      <c r="O98" s="86" t="s">
        <v>156</v>
      </c>
      <c r="P98" s="86" t="s">
        <v>170</v>
      </c>
    </row>
    <row r="99" spans="1:16" x14ac:dyDescent="0.3">
      <c r="A99" s="8">
        <v>66</v>
      </c>
      <c r="B99" s="9">
        <v>2015</v>
      </c>
      <c r="C99">
        <v>2014</v>
      </c>
      <c r="D99" t="s">
        <v>33</v>
      </c>
      <c r="E99" t="s">
        <v>34</v>
      </c>
      <c r="F99" s="1">
        <v>4774105</v>
      </c>
      <c r="G99" s="1">
        <v>5908443</v>
      </c>
    </row>
    <row r="100" spans="1:16" x14ac:dyDescent="0.3">
      <c r="A100" s="8">
        <v>66</v>
      </c>
      <c r="B100" s="9">
        <v>2015</v>
      </c>
      <c r="C100">
        <v>2013</v>
      </c>
      <c r="D100" t="s">
        <v>33</v>
      </c>
      <c r="E100" t="s">
        <v>34</v>
      </c>
      <c r="F100" s="1">
        <v>3274963</v>
      </c>
      <c r="G100" s="1">
        <v>6045535</v>
      </c>
    </row>
    <row r="101" spans="1:16" x14ac:dyDescent="0.3">
      <c r="A101" s="8">
        <v>66</v>
      </c>
      <c r="B101" s="9">
        <v>2015</v>
      </c>
      <c r="C101">
        <v>2012</v>
      </c>
      <c r="D101" t="s">
        <v>33</v>
      </c>
      <c r="E101" t="s">
        <v>34</v>
      </c>
      <c r="F101" s="1">
        <v>3675322</v>
      </c>
      <c r="G101" s="1">
        <v>6510494</v>
      </c>
    </row>
    <row r="102" spans="1:16" x14ac:dyDescent="0.3">
      <c r="A102" s="8">
        <v>66</v>
      </c>
      <c r="B102" s="9">
        <v>2015</v>
      </c>
      <c r="C102">
        <v>2011</v>
      </c>
      <c r="D102" t="s">
        <v>33</v>
      </c>
      <c r="E102" t="s">
        <v>34</v>
      </c>
      <c r="F102" s="1">
        <v>3825898</v>
      </c>
      <c r="G102" s="1">
        <v>6159452</v>
      </c>
    </row>
    <row r="103" spans="1:16" x14ac:dyDescent="0.3">
      <c r="A103" s="12">
        <v>66</v>
      </c>
      <c r="B103" s="30">
        <v>2015</v>
      </c>
      <c r="C103" s="5">
        <v>2010</v>
      </c>
      <c r="D103" s="5" t="s">
        <v>33</v>
      </c>
      <c r="E103" s="5" t="s">
        <v>34</v>
      </c>
      <c r="F103" s="6">
        <v>3860731</v>
      </c>
      <c r="G103" s="6">
        <v>5028853</v>
      </c>
      <c r="H103" s="5"/>
      <c r="I103" s="5"/>
      <c r="J103" s="5"/>
      <c r="K103" s="5"/>
      <c r="L103" s="5"/>
      <c r="M103" s="5"/>
      <c r="N103" s="5"/>
      <c r="O103" s="88"/>
      <c r="P103" s="88"/>
    </row>
    <row r="104" spans="1:16" x14ac:dyDescent="0.3">
      <c r="A104" s="8">
        <v>64</v>
      </c>
      <c r="B104">
        <v>2013</v>
      </c>
      <c r="C104">
        <v>2013</v>
      </c>
      <c r="D104" t="s">
        <v>39</v>
      </c>
      <c r="E104" t="s">
        <v>40</v>
      </c>
      <c r="F104" s="1">
        <v>1215959</v>
      </c>
      <c r="G104" s="1">
        <v>4019063</v>
      </c>
      <c r="H104" s="14">
        <f>AVERAGE(F105:F109)</f>
        <v>3252617</v>
      </c>
      <c r="I104" s="14">
        <f>AVERAGE(G105:G109)</f>
        <v>7949717.7999999998</v>
      </c>
      <c r="J104" s="20">
        <f>F104/H104</f>
        <v>0.37384020313489108</v>
      </c>
      <c r="K104" s="20">
        <f>G104/I104</f>
        <v>0.50556046152984202</v>
      </c>
      <c r="L104" s="21">
        <f>K104-1</f>
        <v>-0.49443953847015798</v>
      </c>
      <c r="M104" s="22">
        <f>I104-G104</f>
        <v>3930654.8</v>
      </c>
      <c r="N104" s="3">
        <f>M104*1.12</f>
        <v>4402333.3760000002</v>
      </c>
      <c r="O104" s="86" t="s">
        <v>145</v>
      </c>
      <c r="P104" s="86" t="s">
        <v>146</v>
      </c>
    </row>
    <row r="105" spans="1:16" x14ac:dyDescent="0.3">
      <c r="A105" s="8">
        <v>64</v>
      </c>
      <c r="B105">
        <v>2013</v>
      </c>
      <c r="C105">
        <v>2012</v>
      </c>
      <c r="D105" t="s">
        <v>39</v>
      </c>
      <c r="E105" t="s">
        <v>40</v>
      </c>
      <c r="F105" s="1">
        <v>3498654</v>
      </c>
      <c r="G105" s="1">
        <v>9782063</v>
      </c>
    </row>
    <row r="106" spans="1:16" x14ac:dyDescent="0.3">
      <c r="A106" s="8">
        <v>64</v>
      </c>
      <c r="B106">
        <v>2013</v>
      </c>
      <c r="C106">
        <v>2011</v>
      </c>
      <c r="D106" t="s">
        <v>39</v>
      </c>
      <c r="E106" t="s">
        <v>40</v>
      </c>
      <c r="F106" s="1">
        <v>3517907</v>
      </c>
      <c r="G106" s="1">
        <v>9303012</v>
      </c>
    </row>
    <row r="107" spans="1:16" x14ac:dyDescent="0.3">
      <c r="A107" s="8">
        <v>64</v>
      </c>
      <c r="B107">
        <v>2013</v>
      </c>
      <c r="C107">
        <v>2010</v>
      </c>
      <c r="D107" t="s">
        <v>39</v>
      </c>
      <c r="E107" t="s">
        <v>40</v>
      </c>
      <c r="F107" s="1">
        <v>3932011</v>
      </c>
      <c r="G107" s="1">
        <v>8555344</v>
      </c>
    </row>
    <row r="108" spans="1:16" x14ac:dyDescent="0.3">
      <c r="A108" s="8">
        <v>64</v>
      </c>
      <c r="B108">
        <v>2013</v>
      </c>
      <c r="C108">
        <v>2009</v>
      </c>
      <c r="D108" t="s">
        <v>39</v>
      </c>
      <c r="E108" t="s">
        <v>40</v>
      </c>
      <c r="F108" s="1">
        <v>2634218</v>
      </c>
      <c r="G108" s="1">
        <v>5298805</v>
      </c>
    </row>
    <row r="109" spans="1:16" x14ac:dyDescent="0.3">
      <c r="A109" s="12">
        <v>64</v>
      </c>
      <c r="B109" s="5">
        <v>2013</v>
      </c>
      <c r="C109" s="5">
        <v>2008</v>
      </c>
      <c r="D109" s="5" t="s">
        <v>39</v>
      </c>
      <c r="E109" s="5" t="s">
        <v>40</v>
      </c>
      <c r="F109" s="6">
        <v>2680295</v>
      </c>
      <c r="G109" s="6">
        <v>6809365</v>
      </c>
      <c r="H109" s="5"/>
      <c r="I109" s="5"/>
      <c r="J109" s="5"/>
      <c r="K109" s="5"/>
      <c r="L109" s="5"/>
      <c r="M109" s="5"/>
      <c r="N109" s="5"/>
      <c r="O109" s="88"/>
      <c r="P109" s="88"/>
    </row>
    <row r="110" spans="1:16" x14ac:dyDescent="0.3">
      <c r="A110" s="53">
        <v>63</v>
      </c>
      <c r="B110" s="25">
        <v>2013</v>
      </c>
      <c r="C110" s="25"/>
      <c r="D110" s="25" t="s">
        <v>33</v>
      </c>
      <c r="E110" s="25" t="s">
        <v>72</v>
      </c>
      <c r="F110" s="26"/>
      <c r="G110" s="51">
        <v>115000</v>
      </c>
      <c r="H110" s="25"/>
      <c r="I110" s="51">
        <v>4100000</v>
      </c>
      <c r="J110" s="25"/>
      <c r="K110" s="52">
        <f>G110/I110</f>
        <v>2.8048780487804879E-2</v>
      </c>
      <c r="L110" s="54">
        <f>K110-1</f>
        <v>-0.9719512195121951</v>
      </c>
      <c r="M110" s="27">
        <f>I110-G110</f>
        <v>3985000</v>
      </c>
      <c r="N110" s="50">
        <f>M110*1.12</f>
        <v>4463200</v>
      </c>
      <c r="O110" s="89" t="s">
        <v>145</v>
      </c>
      <c r="P110" s="89" t="s">
        <v>171</v>
      </c>
    </row>
    <row r="111" spans="1:16" x14ac:dyDescent="0.3">
      <c r="A111" s="7">
        <v>61</v>
      </c>
      <c r="B111">
        <v>2012</v>
      </c>
      <c r="C111">
        <v>2012</v>
      </c>
      <c r="D111" t="s">
        <v>41</v>
      </c>
      <c r="E111" t="s">
        <v>24</v>
      </c>
      <c r="F111" s="1">
        <v>217540005</v>
      </c>
      <c r="G111" s="1">
        <v>242704436</v>
      </c>
      <c r="H111" s="14">
        <f>AVERAGE(F112:F116)</f>
        <v>199169030.40000001</v>
      </c>
      <c r="I111" s="14">
        <f>AVERAGE(G112:G116)</f>
        <v>226146373.80000001</v>
      </c>
      <c r="J111" s="20">
        <f>F111/H111</f>
        <v>1.0922381083198767</v>
      </c>
      <c r="K111" s="20">
        <f>G111/I111</f>
        <v>1.0732183405011997</v>
      </c>
      <c r="L111" s="21">
        <f>K111-1</f>
        <v>7.3218340501199686E-2</v>
      </c>
      <c r="M111" s="22">
        <f>I111-G111</f>
        <v>-16558062.199999988</v>
      </c>
      <c r="N111" s="3">
        <f>M111*1.14</f>
        <v>-18876190.907999985</v>
      </c>
      <c r="O111" s="86" t="s">
        <v>145</v>
      </c>
      <c r="P111" s="86" t="s">
        <v>146</v>
      </c>
    </row>
    <row r="112" spans="1:16" x14ac:dyDescent="0.3">
      <c r="A112" s="7">
        <v>61</v>
      </c>
      <c r="B112">
        <v>2012</v>
      </c>
      <c r="C112">
        <v>2011</v>
      </c>
      <c r="D112" t="s">
        <v>41</v>
      </c>
      <c r="E112" t="s">
        <v>24</v>
      </c>
      <c r="F112" s="1">
        <v>219304546</v>
      </c>
      <c r="G112" s="1">
        <v>270973217</v>
      </c>
    </row>
    <row r="113" spans="1:16" x14ac:dyDescent="0.3">
      <c r="A113" s="7">
        <v>61</v>
      </c>
      <c r="B113">
        <v>2012</v>
      </c>
      <c r="C113">
        <v>2010</v>
      </c>
      <c r="D113" t="s">
        <v>41</v>
      </c>
      <c r="E113" t="s">
        <v>24</v>
      </c>
      <c r="F113" s="1">
        <v>195383974</v>
      </c>
      <c r="G113" s="1">
        <v>228381422</v>
      </c>
    </row>
    <row r="114" spans="1:16" x14ac:dyDescent="0.3">
      <c r="A114" s="7">
        <v>61</v>
      </c>
      <c r="B114">
        <v>2012</v>
      </c>
      <c r="C114">
        <v>2009</v>
      </c>
      <c r="D114" t="s">
        <v>41</v>
      </c>
      <c r="E114" t="s">
        <v>24</v>
      </c>
      <c r="F114" s="1">
        <v>195772626</v>
      </c>
      <c r="G114" s="1">
        <v>198364999</v>
      </c>
    </row>
    <row r="115" spans="1:16" x14ac:dyDescent="0.3">
      <c r="A115" s="7">
        <v>61</v>
      </c>
      <c r="B115">
        <v>2012</v>
      </c>
      <c r="C115">
        <v>2008</v>
      </c>
      <c r="D115" t="s">
        <v>41</v>
      </c>
      <c r="E115" t="s">
        <v>24</v>
      </c>
      <c r="F115" s="1">
        <v>195934556</v>
      </c>
      <c r="G115" s="1">
        <v>223295507</v>
      </c>
    </row>
    <row r="116" spans="1:16" x14ac:dyDescent="0.3">
      <c r="A116" s="15">
        <v>61</v>
      </c>
      <c r="B116" s="5">
        <v>2012</v>
      </c>
      <c r="C116" s="5">
        <v>2007</v>
      </c>
      <c r="D116" s="5" t="s">
        <v>41</v>
      </c>
      <c r="E116" s="5" t="s">
        <v>24</v>
      </c>
      <c r="F116" s="5">
        <v>189449450</v>
      </c>
      <c r="G116" s="5">
        <v>209716724</v>
      </c>
      <c r="H116" s="5"/>
      <c r="I116" s="5"/>
      <c r="J116" s="5"/>
      <c r="K116" s="5"/>
      <c r="L116" s="5"/>
      <c r="M116" s="5"/>
      <c r="N116" s="5"/>
      <c r="O116" s="88"/>
      <c r="P116" s="88"/>
    </row>
    <row r="117" spans="1:16" ht="54.6" customHeight="1" x14ac:dyDescent="0.3">
      <c r="A117" s="7">
        <v>59</v>
      </c>
      <c r="B117">
        <v>2012</v>
      </c>
      <c r="C117">
        <v>2012</v>
      </c>
      <c r="D117" t="s">
        <v>26</v>
      </c>
      <c r="E117" t="s">
        <v>42</v>
      </c>
      <c r="F117" s="1">
        <v>3332559</v>
      </c>
      <c r="G117" s="1">
        <v>9779769</v>
      </c>
      <c r="H117" s="14">
        <f>AVERAGE(F118:F122)</f>
        <v>2730323.2</v>
      </c>
      <c r="I117" s="14">
        <f>AVERAGE(G118:G122)</f>
        <v>6814505.4000000004</v>
      </c>
      <c r="J117" s="20">
        <f>F117/H117</f>
        <v>1.2205730808718909</v>
      </c>
      <c r="K117" s="20">
        <f>G117/I117</f>
        <v>1.4351399589469838</v>
      </c>
      <c r="L117" s="21">
        <f>K117-1</f>
        <v>0.43513995894698376</v>
      </c>
      <c r="M117" s="22">
        <f>I117-G117</f>
        <v>-2965263.5999999996</v>
      </c>
      <c r="N117" s="3">
        <f>M117*1.14</f>
        <v>-3380400.5039999993</v>
      </c>
      <c r="O117" s="86" t="s">
        <v>145</v>
      </c>
      <c r="P117" s="86" t="s">
        <v>172</v>
      </c>
    </row>
    <row r="118" spans="1:16" x14ac:dyDescent="0.3">
      <c r="A118" s="7">
        <v>59</v>
      </c>
      <c r="B118">
        <v>2012</v>
      </c>
      <c r="C118">
        <v>2011</v>
      </c>
      <c r="D118" t="s">
        <v>26</v>
      </c>
      <c r="E118" t="s">
        <v>42</v>
      </c>
      <c r="F118" s="1">
        <v>3109609</v>
      </c>
      <c r="G118" s="1">
        <v>8616363</v>
      </c>
    </row>
    <row r="119" spans="1:16" x14ac:dyDescent="0.3">
      <c r="A119" s="7">
        <v>59</v>
      </c>
      <c r="B119">
        <v>2012</v>
      </c>
      <c r="C119">
        <v>2010</v>
      </c>
      <c r="D119" t="s">
        <v>26</v>
      </c>
      <c r="E119" t="s">
        <v>42</v>
      </c>
      <c r="F119" s="1">
        <v>2163533</v>
      </c>
      <c r="G119" s="1">
        <v>6297715</v>
      </c>
    </row>
    <row r="120" spans="1:16" x14ac:dyDescent="0.3">
      <c r="A120" s="7">
        <v>59</v>
      </c>
      <c r="B120">
        <v>2012</v>
      </c>
      <c r="C120">
        <v>2009</v>
      </c>
      <c r="D120" t="s">
        <v>26</v>
      </c>
      <c r="E120" t="s">
        <v>42</v>
      </c>
      <c r="F120" s="1">
        <v>2874875</v>
      </c>
      <c r="G120" s="1">
        <v>6967660</v>
      </c>
    </row>
    <row r="121" spans="1:16" x14ac:dyDescent="0.3">
      <c r="A121" s="7">
        <v>59</v>
      </c>
      <c r="B121">
        <v>2012</v>
      </c>
      <c r="C121">
        <v>2008</v>
      </c>
      <c r="D121" t="s">
        <v>26</v>
      </c>
      <c r="E121" t="s">
        <v>42</v>
      </c>
      <c r="F121" s="1">
        <v>2508747</v>
      </c>
      <c r="G121" s="1">
        <v>5488354</v>
      </c>
    </row>
    <row r="122" spans="1:16" x14ac:dyDescent="0.3">
      <c r="A122" s="15">
        <v>59</v>
      </c>
      <c r="B122" s="5">
        <v>2012</v>
      </c>
      <c r="C122" s="5">
        <v>2007</v>
      </c>
      <c r="D122" s="5" t="s">
        <v>26</v>
      </c>
      <c r="E122" s="5" t="s">
        <v>42</v>
      </c>
      <c r="F122" s="6">
        <v>2994852</v>
      </c>
      <c r="G122" s="6">
        <v>6702435</v>
      </c>
      <c r="H122" s="5"/>
      <c r="I122" s="5"/>
      <c r="J122" s="5"/>
      <c r="K122" s="5"/>
      <c r="L122" s="5"/>
      <c r="M122" s="5"/>
      <c r="N122" s="5"/>
      <c r="O122" s="88"/>
      <c r="P122" s="88"/>
    </row>
    <row r="123" spans="1:16" ht="28.8" x14ac:dyDescent="0.3">
      <c r="A123" s="23">
        <v>58</v>
      </c>
      <c r="B123">
        <v>2012</v>
      </c>
      <c r="C123">
        <v>2012</v>
      </c>
      <c r="D123" s="17" t="s">
        <v>27</v>
      </c>
      <c r="E123" s="17" t="s">
        <v>83</v>
      </c>
      <c r="F123" s="14">
        <v>43004</v>
      </c>
      <c r="G123" s="14">
        <v>145373.53</v>
      </c>
      <c r="H123" s="14">
        <f>AVERAGE(F125:F129)</f>
        <v>748930</v>
      </c>
      <c r="I123" s="14">
        <f>AVERAGE(G125:G129)</f>
        <v>1931258.4280000001</v>
      </c>
      <c r="J123" s="20">
        <f>((F123+F124)/2)/H123</f>
        <v>0.17935588105697461</v>
      </c>
      <c r="K123" s="20">
        <f>((G123+G124)/2)/I123</f>
        <v>0.20213904537067992</v>
      </c>
      <c r="L123" s="21">
        <f>K123-1</f>
        <v>-0.79786095462932005</v>
      </c>
      <c r="M123" s="22">
        <f>I123-((G123+G124)/2)</f>
        <v>1540875.693</v>
      </c>
      <c r="N123" s="38">
        <f>M123*1.14</f>
        <v>1756598.2900199997</v>
      </c>
      <c r="O123" s="86" t="s">
        <v>148</v>
      </c>
      <c r="P123" s="86" t="s">
        <v>173</v>
      </c>
    </row>
    <row r="124" spans="1:16" x14ac:dyDescent="0.3">
      <c r="A124" s="23">
        <v>58</v>
      </c>
      <c r="B124">
        <v>2012</v>
      </c>
      <c r="C124">
        <v>2011</v>
      </c>
      <c r="D124" s="17" t="s">
        <v>27</v>
      </c>
      <c r="E124" s="17" t="s">
        <v>83</v>
      </c>
      <c r="F124" s="14">
        <v>225646</v>
      </c>
      <c r="G124" s="14">
        <v>635391.93999999994</v>
      </c>
      <c r="H124" s="13"/>
      <c r="I124" s="13"/>
      <c r="J124" s="13"/>
      <c r="K124" s="13"/>
      <c r="L124" s="13"/>
      <c r="M124" s="13"/>
      <c r="N124" s="13"/>
    </row>
    <row r="125" spans="1:16" x14ac:dyDescent="0.3">
      <c r="A125" s="23">
        <v>58</v>
      </c>
      <c r="B125">
        <v>2012</v>
      </c>
      <c r="C125">
        <v>2010</v>
      </c>
      <c r="D125" s="17" t="s">
        <v>27</v>
      </c>
      <c r="E125" s="17" t="s">
        <v>83</v>
      </c>
      <c r="F125" s="14">
        <v>448063</v>
      </c>
      <c r="G125" s="14">
        <v>782246.03</v>
      </c>
      <c r="H125" s="13"/>
      <c r="I125" s="13"/>
      <c r="J125" s="13"/>
      <c r="K125" s="13"/>
      <c r="L125" s="13"/>
      <c r="M125" s="13"/>
      <c r="N125" s="13"/>
    </row>
    <row r="126" spans="1:16" x14ac:dyDescent="0.3">
      <c r="A126" s="23">
        <v>58</v>
      </c>
      <c r="B126">
        <v>2012</v>
      </c>
      <c r="C126">
        <v>2009</v>
      </c>
      <c r="D126" s="17" t="s">
        <v>27</v>
      </c>
      <c r="E126" s="17" t="s">
        <v>83</v>
      </c>
      <c r="F126" s="14">
        <v>439629</v>
      </c>
      <c r="G126" s="14">
        <v>579283.91999999993</v>
      </c>
      <c r="H126" s="13"/>
      <c r="I126" s="13"/>
      <c r="J126" s="13"/>
      <c r="K126" s="13"/>
      <c r="L126" s="13"/>
      <c r="M126" s="13"/>
      <c r="N126" s="13"/>
    </row>
    <row r="127" spans="1:16" x14ac:dyDescent="0.3">
      <c r="A127" s="23">
        <v>58</v>
      </c>
      <c r="B127">
        <v>2012</v>
      </c>
      <c r="C127">
        <v>2008</v>
      </c>
      <c r="D127" s="17" t="s">
        <v>27</v>
      </c>
      <c r="E127" s="17" t="s">
        <v>83</v>
      </c>
      <c r="F127" s="14">
        <v>683185</v>
      </c>
      <c r="G127" s="14">
        <v>1425929.9200000002</v>
      </c>
      <c r="H127" s="13"/>
      <c r="I127" s="13"/>
      <c r="J127" s="13"/>
      <c r="K127" s="13"/>
      <c r="L127" s="13"/>
      <c r="M127" s="13"/>
      <c r="N127" s="13"/>
    </row>
    <row r="128" spans="1:16" x14ac:dyDescent="0.3">
      <c r="A128" s="23">
        <v>58</v>
      </c>
      <c r="B128" s="13">
        <v>2012</v>
      </c>
      <c r="C128" s="13">
        <v>2007</v>
      </c>
      <c r="D128" s="17" t="s">
        <v>27</v>
      </c>
      <c r="E128" s="17" t="s">
        <v>83</v>
      </c>
      <c r="F128" s="14">
        <v>961489</v>
      </c>
      <c r="G128" s="14">
        <v>2859485.8</v>
      </c>
      <c r="H128" s="13"/>
      <c r="I128" s="13"/>
      <c r="J128" s="13"/>
      <c r="K128" s="13"/>
      <c r="L128" s="13"/>
      <c r="M128" s="13"/>
      <c r="N128" s="13"/>
    </row>
    <row r="129" spans="1:16" x14ac:dyDescent="0.3">
      <c r="A129" s="12">
        <v>58</v>
      </c>
      <c r="B129" s="5">
        <v>2012</v>
      </c>
      <c r="C129" s="5">
        <v>2006</v>
      </c>
      <c r="D129" s="18" t="s">
        <v>27</v>
      </c>
      <c r="E129" s="18" t="s">
        <v>83</v>
      </c>
      <c r="F129" s="6">
        <v>1212284</v>
      </c>
      <c r="G129" s="6">
        <v>4009346.4699999997</v>
      </c>
      <c r="H129" s="5"/>
      <c r="I129" s="5"/>
      <c r="J129" s="5"/>
      <c r="K129" s="5"/>
      <c r="L129" s="5"/>
      <c r="M129" s="5"/>
      <c r="N129" s="5"/>
      <c r="O129" s="88"/>
      <c r="P129" s="88"/>
    </row>
    <row r="130" spans="1:16" ht="28.8" x14ac:dyDescent="0.3">
      <c r="A130">
        <v>56</v>
      </c>
      <c r="B130" t="s">
        <v>43</v>
      </c>
      <c r="C130">
        <v>2013</v>
      </c>
      <c r="D130" t="s">
        <v>44</v>
      </c>
      <c r="E130" t="s">
        <v>45</v>
      </c>
      <c r="F130" s="1">
        <v>43384034</v>
      </c>
      <c r="G130" s="1">
        <v>56773863</v>
      </c>
      <c r="H130" s="14">
        <f>AVERAGE(F133:F137)</f>
        <v>63731512.200000003</v>
      </c>
      <c r="I130" s="14">
        <f>AVERAGE(G133:G137)</f>
        <v>77027150.200000003</v>
      </c>
      <c r="J130" s="20">
        <f>F130/H130</f>
        <v>0.68073128194187116</v>
      </c>
      <c r="K130" s="20">
        <f>G130/I130</f>
        <v>0.73706300768738553</v>
      </c>
      <c r="L130" s="21">
        <f>K130-1</f>
        <v>-0.26293699231261447</v>
      </c>
      <c r="M130" s="22">
        <f>I130-G130</f>
        <v>20253287.200000003</v>
      </c>
      <c r="N130" s="16">
        <f>M130*1.12</f>
        <v>22683681.664000005</v>
      </c>
      <c r="O130" s="86" t="s">
        <v>148</v>
      </c>
      <c r="P130" s="86" t="s">
        <v>174</v>
      </c>
    </row>
    <row r="131" spans="1:16" x14ac:dyDescent="0.3">
      <c r="A131">
        <v>56</v>
      </c>
      <c r="B131" t="s">
        <v>43</v>
      </c>
      <c r="C131">
        <v>2012</v>
      </c>
      <c r="D131" t="s">
        <v>44</v>
      </c>
      <c r="E131" t="s">
        <v>45</v>
      </c>
      <c r="F131" s="1">
        <v>55775449</v>
      </c>
      <c r="G131" s="1">
        <v>75912182</v>
      </c>
      <c r="J131" s="60">
        <f>F131/H130</f>
        <v>0.87516280525350532</v>
      </c>
      <c r="K131" s="60">
        <f>G131/I130</f>
        <v>0.98552499739241295</v>
      </c>
      <c r="L131" s="21">
        <f t="shared" ref="L131:L132" si="0">K131-1</f>
        <v>-1.4475002607587051E-2</v>
      </c>
      <c r="M131" s="1">
        <f>I130-G131</f>
        <v>1114968.200000003</v>
      </c>
      <c r="N131" s="16">
        <f>M131*1.13</f>
        <v>1259914.0660000031</v>
      </c>
    </row>
    <row r="132" spans="1:16" x14ac:dyDescent="0.3">
      <c r="A132">
        <v>56</v>
      </c>
      <c r="B132" t="s">
        <v>43</v>
      </c>
      <c r="C132">
        <v>2011</v>
      </c>
      <c r="D132" t="s">
        <v>44</v>
      </c>
      <c r="E132" t="s">
        <v>45</v>
      </c>
      <c r="F132" s="1">
        <v>67500725</v>
      </c>
      <c r="G132" s="1">
        <v>86838597</v>
      </c>
      <c r="J132" s="60">
        <f>F132/H130</f>
        <v>1.0591420581418434</v>
      </c>
      <c r="K132" s="60">
        <f>G132/I130</f>
        <v>1.1273764740682306</v>
      </c>
      <c r="L132" s="21">
        <f t="shared" si="0"/>
        <v>0.12737647406823061</v>
      </c>
      <c r="M132" s="1">
        <f>I130-G132</f>
        <v>-9811446.799999997</v>
      </c>
      <c r="N132">
        <f>M132*1.17</f>
        <v>-11479392.755999995</v>
      </c>
    </row>
    <row r="133" spans="1:16" x14ac:dyDescent="0.3">
      <c r="A133">
        <v>56</v>
      </c>
      <c r="B133" t="s">
        <v>43</v>
      </c>
      <c r="C133">
        <v>2010</v>
      </c>
      <c r="D133" t="s">
        <v>44</v>
      </c>
      <c r="E133" t="s">
        <v>45</v>
      </c>
      <c r="F133" s="1">
        <v>66499564</v>
      </c>
      <c r="G133" s="1">
        <v>80659682</v>
      </c>
    </row>
    <row r="134" spans="1:16" x14ac:dyDescent="0.3">
      <c r="A134">
        <v>56</v>
      </c>
      <c r="B134" t="s">
        <v>43</v>
      </c>
      <c r="C134">
        <v>2009</v>
      </c>
      <c r="D134" t="s">
        <v>44</v>
      </c>
      <c r="E134" t="s">
        <v>45</v>
      </c>
      <c r="F134" s="1">
        <v>66899724</v>
      </c>
      <c r="G134" s="1">
        <v>71423694</v>
      </c>
    </row>
    <row r="135" spans="1:16" x14ac:dyDescent="0.3">
      <c r="A135">
        <v>56</v>
      </c>
      <c r="B135" t="s">
        <v>43</v>
      </c>
      <c r="C135">
        <v>2008</v>
      </c>
      <c r="D135" t="s">
        <v>44</v>
      </c>
      <c r="E135" t="s">
        <v>45</v>
      </c>
      <c r="F135" s="1">
        <v>72041363</v>
      </c>
      <c r="G135" s="1">
        <v>83847956</v>
      </c>
    </row>
    <row r="136" spans="1:16" x14ac:dyDescent="0.3">
      <c r="A136">
        <v>56</v>
      </c>
      <c r="B136" t="s">
        <v>43</v>
      </c>
      <c r="C136">
        <v>2007</v>
      </c>
      <c r="D136" t="s">
        <v>44</v>
      </c>
      <c r="E136" t="s">
        <v>45</v>
      </c>
      <c r="F136" s="1">
        <v>60819374</v>
      </c>
      <c r="G136" s="1">
        <v>77612645</v>
      </c>
    </row>
    <row r="137" spans="1:16" x14ac:dyDescent="0.3">
      <c r="A137" s="5">
        <v>56</v>
      </c>
      <c r="B137" s="5" t="s">
        <v>43</v>
      </c>
      <c r="C137" s="5">
        <v>2006</v>
      </c>
      <c r="D137" s="5" t="s">
        <v>44</v>
      </c>
      <c r="E137" s="5" t="s">
        <v>45</v>
      </c>
      <c r="F137" s="6">
        <v>52397536</v>
      </c>
      <c r="G137" s="6">
        <v>71591774</v>
      </c>
      <c r="H137" s="5"/>
      <c r="I137" s="5"/>
      <c r="J137" s="5"/>
      <c r="K137" s="5"/>
      <c r="L137" s="5"/>
      <c r="M137" s="5"/>
      <c r="N137" s="5"/>
      <c r="O137" s="88"/>
      <c r="P137" s="88"/>
    </row>
    <row r="138" spans="1:16" x14ac:dyDescent="0.3">
      <c r="A138" s="7">
        <v>55</v>
      </c>
      <c r="B138">
        <v>2011</v>
      </c>
      <c r="C138">
        <v>2011</v>
      </c>
      <c r="D138" t="s">
        <v>46</v>
      </c>
      <c r="E138" t="s">
        <v>24</v>
      </c>
      <c r="F138" s="1">
        <v>277769300</v>
      </c>
      <c r="G138" s="1">
        <v>30162827</v>
      </c>
      <c r="H138" s="14">
        <f>AVERAGE(F139:F143)</f>
        <v>54823108</v>
      </c>
      <c r="I138" s="14">
        <f>AVERAGE(G139:G143)</f>
        <v>22043434.199999999</v>
      </c>
      <c r="J138" s="20">
        <f>F138/H138</f>
        <v>5.0666463492000489</v>
      </c>
      <c r="K138" s="20">
        <f>G138/I138</f>
        <v>1.3683361098063387</v>
      </c>
      <c r="L138" s="21">
        <f>K138-1</f>
        <v>0.36833610980633869</v>
      </c>
      <c r="M138" s="22">
        <f>I138-G138</f>
        <v>-8119392.8000000007</v>
      </c>
      <c r="N138" s="3">
        <f>M138*1.17</f>
        <v>-9499689.5759999994</v>
      </c>
      <c r="O138" s="86" t="s">
        <v>145</v>
      </c>
      <c r="P138" s="86" t="s">
        <v>146</v>
      </c>
    </row>
    <row r="139" spans="1:16" x14ac:dyDescent="0.3">
      <c r="A139" s="7">
        <v>55</v>
      </c>
      <c r="B139">
        <v>2011</v>
      </c>
      <c r="C139">
        <v>2010</v>
      </c>
      <c r="D139" t="s">
        <v>46</v>
      </c>
      <c r="E139" t="s">
        <v>24</v>
      </c>
      <c r="F139" s="1">
        <v>6179653</v>
      </c>
      <c r="G139" s="1">
        <v>13233723</v>
      </c>
    </row>
    <row r="140" spans="1:16" x14ac:dyDescent="0.3">
      <c r="A140" s="7">
        <v>55</v>
      </c>
      <c r="B140">
        <v>2011</v>
      </c>
      <c r="C140">
        <v>2009</v>
      </c>
      <c r="D140" t="s">
        <v>46</v>
      </c>
      <c r="E140" t="s">
        <v>24</v>
      </c>
      <c r="F140" s="1">
        <v>13069668</v>
      </c>
      <c r="G140" s="1">
        <v>19756748</v>
      </c>
    </row>
    <row r="141" spans="1:16" x14ac:dyDescent="0.3">
      <c r="A141" s="7">
        <v>55</v>
      </c>
      <c r="B141">
        <v>2011</v>
      </c>
      <c r="C141">
        <v>2008</v>
      </c>
      <c r="D141" t="s">
        <v>46</v>
      </c>
      <c r="E141" t="s">
        <v>24</v>
      </c>
      <c r="F141" s="1">
        <v>11804048</v>
      </c>
      <c r="G141" s="1">
        <v>24665276</v>
      </c>
    </row>
    <row r="142" spans="1:16" x14ac:dyDescent="0.3">
      <c r="A142" s="7">
        <v>55</v>
      </c>
      <c r="B142">
        <v>2011</v>
      </c>
      <c r="C142">
        <v>2007</v>
      </c>
      <c r="D142" t="s">
        <v>46</v>
      </c>
      <c r="E142" t="s">
        <v>24</v>
      </c>
      <c r="F142" s="1">
        <v>11649501</v>
      </c>
      <c r="G142" s="1">
        <v>18186259</v>
      </c>
    </row>
    <row r="143" spans="1:16" x14ac:dyDescent="0.3">
      <c r="A143" s="15">
        <v>55</v>
      </c>
      <c r="B143" s="5">
        <v>2011</v>
      </c>
      <c r="C143" s="5">
        <v>2006</v>
      </c>
      <c r="D143" s="5" t="s">
        <v>46</v>
      </c>
      <c r="E143" s="5" t="s">
        <v>24</v>
      </c>
      <c r="F143" s="6">
        <v>231412670</v>
      </c>
      <c r="G143" s="6">
        <v>34375165</v>
      </c>
      <c r="H143" s="5"/>
      <c r="I143" s="5"/>
      <c r="J143" s="5"/>
      <c r="K143" s="5"/>
      <c r="L143" s="5"/>
      <c r="M143" s="5"/>
      <c r="N143" s="5"/>
      <c r="O143" s="88"/>
      <c r="P143" s="88"/>
    </row>
    <row r="144" spans="1:16" s="74" customFormat="1" ht="65.400000000000006" customHeight="1" x14ac:dyDescent="0.3">
      <c r="A144" s="17">
        <v>53</v>
      </c>
      <c r="B144" s="17">
        <v>2010</v>
      </c>
      <c r="C144" s="74">
        <v>2010</v>
      </c>
      <c r="D144" s="17" t="s">
        <v>142</v>
      </c>
      <c r="E144" s="17" t="s">
        <v>59</v>
      </c>
      <c r="F144" s="80"/>
      <c r="G144" s="80">
        <f>(102038+625085+3482+182054+1516+7899+5592+997195+5667+154780+38189)</f>
        <v>2123497</v>
      </c>
      <c r="H144" s="17"/>
      <c r="I144" s="80">
        <f>AVERAGE(G145:G149)</f>
        <v>2584475.6</v>
      </c>
      <c r="J144" s="17"/>
      <c r="K144" s="17">
        <f>G144/I144</f>
        <v>0.82163553797915523</v>
      </c>
      <c r="L144" s="17">
        <f>K144-1</f>
        <v>-0.17836446202084477</v>
      </c>
      <c r="M144" s="80">
        <f>I144-G144</f>
        <v>460978.60000000009</v>
      </c>
      <c r="N144" s="83">
        <f>1.19*M144</f>
        <v>548564.5340000001</v>
      </c>
      <c r="O144" s="86" t="s">
        <v>148</v>
      </c>
      <c r="P144" s="86" t="s">
        <v>175</v>
      </c>
    </row>
    <row r="145" spans="1:18" s="74" customFormat="1" x14ac:dyDescent="0.3">
      <c r="A145" s="17">
        <v>53</v>
      </c>
      <c r="B145" s="17">
        <v>2010</v>
      </c>
      <c r="C145" s="74">
        <v>2009</v>
      </c>
      <c r="D145" s="17" t="s">
        <v>142</v>
      </c>
      <c r="E145" s="17" t="s">
        <v>59</v>
      </c>
      <c r="F145" s="80"/>
      <c r="G145" s="80">
        <f>(3660+4799+11+81633+263+2702+90916+2358+29714+133+6921)</f>
        <v>223110</v>
      </c>
      <c r="H145" s="17"/>
      <c r="I145" s="17"/>
      <c r="J145" s="17"/>
      <c r="K145" s="17"/>
      <c r="L145" s="17"/>
      <c r="M145" s="17"/>
      <c r="N145" s="17"/>
      <c r="O145" s="86"/>
      <c r="P145" s="86"/>
    </row>
    <row r="146" spans="1:18" s="74" customFormat="1" x14ac:dyDescent="0.3">
      <c r="A146" s="17">
        <v>53</v>
      </c>
      <c r="B146" s="17">
        <v>2010</v>
      </c>
      <c r="C146" s="74">
        <v>2008</v>
      </c>
      <c r="D146" s="17" t="s">
        <v>142</v>
      </c>
      <c r="E146" s="17" t="s">
        <v>59</v>
      </c>
      <c r="F146" s="80"/>
      <c r="G146" s="80">
        <f>(5429 +142820 +2024 +20344)</f>
        <v>170617</v>
      </c>
      <c r="H146" s="17"/>
      <c r="I146" s="17"/>
      <c r="J146" s="17"/>
      <c r="K146" s="17"/>
      <c r="L146" s="17"/>
      <c r="M146" s="17"/>
      <c r="N146" s="17"/>
      <c r="O146" s="86"/>
      <c r="P146" s="86"/>
    </row>
    <row r="147" spans="1:18" s="74" customFormat="1" x14ac:dyDescent="0.3">
      <c r="A147" s="17">
        <v>53</v>
      </c>
      <c r="B147" s="17">
        <v>2010</v>
      </c>
      <c r="C147" s="74">
        <v>2007</v>
      </c>
      <c r="D147" s="17" t="s">
        <v>142</v>
      </c>
      <c r="E147" s="17" t="s">
        <v>59</v>
      </c>
      <c r="F147" s="80"/>
      <c r="G147" s="80">
        <f>(17017 +274980 + 1626 +1231173 +21009 +2628 +2+61655 +84+35+37256 +536+6303+2045+442757 +25948 +13+1829 +1071+215699 +3122 +73449+6566)</f>
        <v>2426803</v>
      </c>
      <c r="H147" s="17"/>
      <c r="I147" s="17"/>
      <c r="J147" s="17"/>
      <c r="K147" s="17"/>
      <c r="L147" s="17"/>
      <c r="M147" s="17"/>
      <c r="N147" s="17"/>
      <c r="O147" s="86"/>
      <c r="P147" s="86"/>
    </row>
    <row r="148" spans="1:18" s="74" customFormat="1" x14ac:dyDescent="0.3">
      <c r="A148" s="17">
        <v>53</v>
      </c>
      <c r="B148" s="17">
        <v>2010</v>
      </c>
      <c r="C148" s="74">
        <v>2006</v>
      </c>
      <c r="D148" s="17" t="s">
        <v>142</v>
      </c>
      <c r="E148" s="17" t="s">
        <v>59</v>
      </c>
      <c r="F148" s="80"/>
      <c r="G148" s="80">
        <f>(83905+185566 +1681 +383626 +14205 +41229 +1086250 +5523+169531+63814)</f>
        <v>2035330</v>
      </c>
      <c r="H148" s="17"/>
      <c r="I148" s="17"/>
      <c r="J148" s="17"/>
      <c r="K148" s="17"/>
      <c r="L148" s="17"/>
      <c r="M148" s="17"/>
      <c r="N148" s="17"/>
      <c r="O148" s="86"/>
      <c r="P148" s="86"/>
    </row>
    <row r="149" spans="1:18" s="74" customFormat="1" x14ac:dyDescent="0.3">
      <c r="A149" s="18">
        <v>53</v>
      </c>
      <c r="B149" s="5">
        <v>2010</v>
      </c>
      <c r="C149" s="5">
        <v>2005</v>
      </c>
      <c r="D149" s="5" t="s">
        <v>142</v>
      </c>
      <c r="E149" s="5" t="s">
        <v>59</v>
      </c>
      <c r="F149" s="6"/>
      <c r="G149" s="6">
        <f>(7006 +201988+3004761+12+83+28576 +700588+21828 +2+56803 +6377 +3303766+34897 +502930+196901)</f>
        <v>8066518</v>
      </c>
      <c r="H149" s="5"/>
      <c r="I149" s="5"/>
      <c r="J149" s="5"/>
      <c r="K149" s="5"/>
      <c r="L149" s="5"/>
      <c r="M149" s="5"/>
      <c r="N149" s="5"/>
      <c r="O149" s="88"/>
      <c r="P149" s="88"/>
    </row>
    <row r="150" spans="1:18" s="18" customFormat="1" x14ac:dyDescent="0.3">
      <c r="A150" s="47">
        <v>51</v>
      </c>
      <c r="B150" s="18">
        <v>2009</v>
      </c>
      <c r="C150" s="18">
        <v>2009</v>
      </c>
      <c r="D150" s="18" t="s">
        <v>89</v>
      </c>
      <c r="E150" s="18" t="s">
        <v>90</v>
      </c>
      <c r="F150" s="44"/>
      <c r="G150" s="44"/>
      <c r="L150" s="48">
        <v>-0.8</v>
      </c>
      <c r="M150" s="45">
        <v>200000</v>
      </c>
      <c r="N150" s="46">
        <f>M150*1.22</f>
        <v>244000</v>
      </c>
      <c r="O150" s="87" t="s">
        <v>145</v>
      </c>
      <c r="P150" s="87" t="s">
        <v>176</v>
      </c>
      <c r="Q150" s="17"/>
      <c r="R150" s="17"/>
    </row>
    <row r="151" spans="1:18" x14ac:dyDescent="0.3">
      <c r="A151">
        <v>49</v>
      </c>
      <c r="B151">
        <v>2010</v>
      </c>
      <c r="C151">
        <v>2010</v>
      </c>
      <c r="D151" t="s">
        <v>47</v>
      </c>
      <c r="E151" t="s">
        <v>24</v>
      </c>
      <c r="F151" s="1">
        <v>909584781</v>
      </c>
      <c r="G151" s="1">
        <v>461242897</v>
      </c>
      <c r="H151" s="14">
        <f>AVERAGE(F152:F156)</f>
        <v>1144678564.4000001</v>
      </c>
      <c r="I151" s="14">
        <f>AVERAGE(G152:G156)</f>
        <v>477498549.60000002</v>
      </c>
      <c r="J151" s="20">
        <f>F151/H151</f>
        <v>0.79462026221900306</v>
      </c>
      <c r="K151" s="20">
        <f>G151/I151</f>
        <v>0.96595664507543033</v>
      </c>
      <c r="L151" s="21">
        <f>K151-1</f>
        <v>-3.4043354924569669E-2</v>
      </c>
      <c r="M151" s="22">
        <f>I151-G151</f>
        <v>16255652.600000024</v>
      </c>
      <c r="N151" s="3">
        <f>M151*1.19</f>
        <v>19344226.594000027</v>
      </c>
      <c r="O151" s="86" t="s">
        <v>145</v>
      </c>
      <c r="P151" s="86" t="s">
        <v>146</v>
      </c>
    </row>
    <row r="152" spans="1:18" x14ac:dyDescent="0.3">
      <c r="A152">
        <v>49</v>
      </c>
      <c r="B152">
        <v>2010</v>
      </c>
      <c r="C152">
        <v>2009</v>
      </c>
      <c r="D152" t="s">
        <v>47</v>
      </c>
      <c r="E152" t="s">
        <v>24</v>
      </c>
      <c r="F152" s="1">
        <v>1144194361</v>
      </c>
      <c r="G152" s="1">
        <v>496162866</v>
      </c>
    </row>
    <row r="153" spans="1:18" x14ac:dyDescent="0.3">
      <c r="A153">
        <v>49</v>
      </c>
      <c r="B153">
        <v>2010</v>
      </c>
      <c r="C153">
        <v>2008</v>
      </c>
      <c r="D153" t="s">
        <v>47</v>
      </c>
      <c r="E153" t="s">
        <v>24</v>
      </c>
      <c r="F153" s="1">
        <v>1060435794</v>
      </c>
      <c r="G153" s="1">
        <v>528211245</v>
      </c>
    </row>
    <row r="154" spans="1:18" x14ac:dyDescent="0.3">
      <c r="A154">
        <v>49</v>
      </c>
      <c r="B154">
        <v>2010</v>
      </c>
      <c r="C154">
        <v>2007</v>
      </c>
      <c r="D154" t="s">
        <v>47</v>
      </c>
      <c r="E154" t="s">
        <v>24</v>
      </c>
      <c r="F154" s="1">
        <v>1133645090</v>
      </c>
      <c r="G154" s="1">
        <v>535547914</v>
      </c>
    </row>
    <row r="155" spans="1:18" x14ac:dyDescent="0.3">
      <c r="A155">
        <v>49</v>
      </c>
      <c r="B155">
        <v>2010</v>
      </c>
      <c r="C155">
        <v>2006</v>
      </c>
      <c r="D155" t="s">
        <v>47</v>
      </c>
      <c r="E155" t="s">
        <v>24</v>
      </c>
      <c r="F155" s="1">
        <v>1292633765</v>
      </c>
      <c r="G155" s="1">
        <v>432984737</v>
      </c>
    </row>
    <row r="156" spans="1:18" x14ac:dyDescent="0.3">
      <c r="A156" s="5">
        <v>49</v>
      </c>
      <c r="B156" s="5">
        <v>2010</v>
      </c>
      <c r="C156" s="5">
        <v>2005</v>
      </c>
      <c r="D156" s="5" t="s">
        <v>47</v>
      </c>
      <c r="E156" s="5" t="s">
        <v>24</v>
      </c>
      <c r="F156" s="6">
        <v>1092483812</v>
      </c>
      <c r="G156" s="6">
        <v>394585986</v>
      </c>
      <c r="H156" s="5"/>
      <c r="I156" s="5"/>
      <c r="J156" s="5"/>
      <c r="K156" s="5"/>
      <c r="L156" s="5"/>
      <c r="M156" s="5"/>
      <c r="N156" s="5"/>
      <c r="O156" s="91"/>
      <c r="P156" s="91"/>
    </row>
    <row r="157" spans="1:18" ht="30" customHeight="1" x14ac:dyDescent="0.3">
      <c r="A157" s="17">
        <v>45</v>
      </c>
      <c r="B157">
        <v>2009</v>
      </c>
      <c r="C157">
        <v>2009</v>
      </c>
      <c r="D157" s="17" t="s">
        <v>82</v>
      </c>
      <c r="E157" s="17" t="s">
        <v>59</v>
      </c>
      <c r="F157" s="14">
        <v>5197856</v>
      </c>
      <c r="G157" s="14">
        <v>2670692.15</v>
      </c>
      <c r="H157" s="14">
        <f>AVERAGE(F158:F162)</f>
        <v>5723574</v>
      </c>
      <c r="I157" s="14">
        <f>AVERAGE(G158:G162)</f>
        <v>3930341.0380000002</v>
      </c>
      <c r="J157" s="20">
        <f>F157/H157</f>
        <v>0.90814864977721965</v>
      </c>
      <c r="K157" s="20">
        <f>G157/I157</f>
        <v>0.67950646627830869</v>
      </c>
      <c r="L157" s="21">
        <f>K157-1</f>
        <v>-0.32049353372169131</v>
      </c>
      <c r="M157" s="22">
        <f>I157-G157</f>
        <v>1259648.8880000003</v>
      </c>
      <c r="N157" s="3">
        <f>M157*1.22</f>
        <v>1536771.6433600003</v>
      </c>
      <c r="O157" s="86" t="s">
        <v>145</v>
      </c>
      <c r="P157" s="86" t="s">
        <v>177</v>
      </c>
    </row>
    <row r="158" spans="1:18" x14ac:dyDescent="0.3">
      <c r="A158" s="17">
        <v>45</v>
      </c>
      <c r="B158">
        <v>2009</v>
      </c>
      <c r="C158">
        <v>2008</v>
      </c>
      <c r="D158" s="17" t="s">
        <v>82</v>
      </c>
      <c r="E158" s="17" t="s">
        <v>59</v>
      </c>
      <c r="F158" s="14">
        <v>5783591</v>
      </c>
      <c r="G158" s="14">
        <v>3215180.61</v>
      </c>
      <c r="H158" s="13"/>
      <c r="I158" s="13"/>
      <c r="J158" s="13"/>
      <c r="K158" s="13"/>
      <c r="L158" s="13"/>
      <c r="M158" s="13"/>
      <c r="N158" s="13"/>
    </row>
    <row r="159" spans="1:18" x14ac:dyDescent="0.3">
      <c r="A159" s="17">
        <v>45</v>
      </c>
      <c r="B159">
        <v>2009</v>
      </c>
      <c r="C159">
        <v>2007</v>
      </c>
      <c r="D159" s="17" t="s">
        <v>82</v>
      </c>
      <c r="E159" s="17" t="s">
        <v>59</v>
      </c>
      <c r="F159" s="14">
        <v>5736074</v>
      </c>
      <c r="G159" s="14">
        <v>3795454.59</v>
      </c>
      <c r="H159" s="13"/>
      <c r="I159" s="13"/>
      <c r="J159" s="13"/>
      <c r="K159" s="13"/>
      <c r="L159" s="13"/>
      <c r="M159" s="13"/>
      <c r="N159" s="13"/>
    </row>
    <row r="160" spans="1:18" x14ac:dyDescent="0.3">
      <c r="A160" s="17">
        <v>45</v>
      </c>
      <c r="B160">
        <v>2009</v>
      </c>
      <c r="C160">
        <v>2006</v>
      </c>
      <c r="D160" s="17" t="s">
        <v>82</v>
      </c>
      <c r="E160" s="17" t="s">
        <v>59</v>
      </c>
      <c r="F160" s="14">
        <v>4501550</v>
      </c>
      <c r="G160" s="14">
        <v>4325582.3500000006</v>
      </c>
      <c r="H160" s="13"/>
      <c r="I160" s="13"/>
      <c r="J160" s="13"/>
      <c r="K160" s="13"/>
      <c r="L160" s="13"/>
      <c r="M160" s="13"/>
      <c r="N160" s="13"/>
    </row>
    <row r="161" spans="1:16" x14ac:dyDescent="0.3">
      <c r="A161" s="17">
        <v>45</v>
      </c>
      <c r="B161">
        <v>2009</v>
      </c>
      <c r="C161">
        <v>2005</v>
      </c>
      <c r="D161" s="17" t="s">
        <v>82</v>
      </c>
      <c r="E161" s="17" t="s">
        <v>59</v>
      </c>
      <c r="F161" s="14">
        <v>5999145</v>
      </c>
      <c r="G161" s="14">
        <v>3723553.23</v>
      </c>
      <c r="H161" s="13"/>
      <c r="I161" s="13"/>
      <c r="J161" s="13"/>
      <c r="K161" s="13"/>
      <c r="L161" s="13"/>
      <c r="M161" s="13"/>
      <c r="N161" s="13"/>
    </row>
    <row r="162" spans="1:16" x14ac:dyDescent="0.3">
      <c r="A162" s="18">
        <v>45</v>
      </c>
      <c r="B162" s="5">
        <v>2009</v>
      </c>
      <c r="C162" s="5">
        <v>2004</v>
      </c>
      <c r="D162" s="17" t="s">
        <v>82</v>
      </c>
      <c r="E162" s="18" t="s">
        <v>59</v>
      </c>
      <c r="F162" s="6">
        <v>6597510</v>
      </c>
      <c r="G162" s="6">
        <v>4591934.41</v>
      </c>
      <c r="H162" s="5"/>
      <c r="I162" s="5"/>
      <c r="J162" s="5"/>
      <c r="K162" s="5"/>
      <c r="L162" s="5"/>
      <c r="M162" s="5"/>
      <c r="N162" s="5"/>
      <c r="O162" s="88"/>
      <c r="P162" s="88"/>
    </row>
    <row r="163" spans="1:16" ht="28.8" x14ac:dyDescent="0.3">
      <c r="A163" s="9">
        <v>46</v>
      </c>
      <c r="B163">
        <v>2009</v>
      </c>
      <c r="C163">
        <v>2009</v>
      </c>
      <c r="D163" t="s">
        <v>48</v>
      </c>
      <c r="E163" t="s">
        <v>49</v>
      </c>
      <c r="F163" s="1">
        <v>4686734</v>
      </c>
      <c r="G163" s="1">
        <v>15632108</v>
      </c>
      <c r="H163" s="14">
        <f>AVERAGE(F164:F168)</f>
        <v>5538127.7999999998</v>
      </c>
      <c r="I163" s="14">
        <f>AVERAGE(G164:G168)</f>
        <v>20385001.199999999</v>
      </c>
      <c r="J163" s="20">
        <f>F163/H163</f>
        <v>0.84626685574139338</v>
      </c>
      <c r="K163" s="20">
        <f>G163/I163</f>
        <v>0.76684361441195303</v>
      </c>
      <c r="L163" s="21">
        <f>K163-1</f>
        <v>-0.23315638558804697</v>
      </c>
      <c r="M163" s="22">
        <f>I163-G163</f>
        <v>4752893.1999999993</v>
      </c>
      <c r="N163" s="3">
        <f>M163*1.22</f>
        <v>5798529.703999999</v>
      </c>
      <c r="O163" s="86" t="s">
        <v>148</v>
      </c>
      <c r="P163" s="86" t="s">
        <v>174</v>
      </c>
    </row>
    <row r="164" spans="1:16" x14ac:dyDescent="0.3">
      <c r="A164" s="9">
        <v>46</v>
      </c>
      <c r="B164">
        <v>2009</v>
      </c>
      <c r="C164">
        <v>2008</v>
      </c>
      <c r="D164" t="s">
        <v>48</v>
      </c>
      <c r="E164" t="s">
        <v>49</v>
      </c>
      <c r="F164" s="1">
        <v>4330587</v>
      </c>
      <c r="G164" s="1">
        <v>16104083</v>
      </c>
    </row>
    <row r="165" spans="1:16" x14ac:dyDescent="0.3">
      <c r="A165" s="9">
        <v>46</v>
      </c>
      <c r="B165">
        <v>2009</v>
      </c>
      <c r="C165">
        <v>2007</v>
      </c>
      <c r="D165" t="s">
        <v>48</v>
      </c>
      <c r="E165" t="s">
        <v>49</v>
      </c>
      <c r="F165" s="1">
        <v>4651873</v>
      </c>
      <c r="G165" s="1">
        <v>16182750</v>
      </c>
    </row>
    <row r="166" spans="1:16" x14ac:dyDescent="0.3">
      <c r="A166" s="9">
        <v>46</v>
      </c>
      <c r="B166">
        <v>2009</v>
      </c>
      <c r="C166">
        <v>2006</v>
      </c>
      <c r="D166" t="s">
        <v>48</v>
      </c>
      <c r="E166" t="s">
        <v>49</v>
      </c>
      <c r="F166" s="1">
        <v>7410287</v>
      </c>
      <c r="G166" s="1">
        <v>31144815</v>
      </c>
    </row>
    <row r="167" spans="1:16" x14ac:dyDescent="0.3">
      <c r="A167" s="9">
        <v>46</v>
      </c>
      <c r="B167">
        <v>2009</v>
      </c>
      <c r="C167">
        <v>2005</v>
      </c>
      <c r="D167" t="s">
        <v>48</v>
      </c>
      <c r="E167" t="s">
        <v>49</v>
      </c>
      <c r="F167" s="1">
        <v>5000440</v>
      </c>
      <c r="G167" s="1">
        <v>17643804</v>
      </c>
    </row>
    <row r="168" spans="1:16" x14ac:dyDescent="0.3">
      <c r="A168" s="30">
        <v>46</v>
      </c>
      <c r="B168" s="5">
        <v>2009</v>
      </c>
      <c r="C168" s="5">
        <v>2004</v>
      </c>
      <c r="D168" s="5" t="s">
        <v>48</v>
      </c>
      <c r="E168" s="5" t="s">
        <v>49</v>
      </c>
      <c r="F168" s="6">
        <v>6297452</v>
      </c>
      <c r="G168" s="6">
        <v>20849554</v>
      </c>
      <c r="H168" s="5"/>
      <c r="I168" s="5"/>
      <c r="J168" s="5"/>
      <c r="K168" s="5"/>
      <c r="L168" s="5"/>
      <c r="M168" s="5"/>
      <c r="N168" s="5"/>
      <c r="O168" s="88"/>
      <c r="P168" s="88"/>
    </row>
    <row r="169" spans="1:16" x14ac:dyDescent="0.3">
      <c r="A169" s="35">
        <v>43</v>
      </c>
      <c r="B169">
        <v>2009</v>
      </c>
      <c r="C169">
        <v>2009</v>
      </c>
      <c r="D169" s="17" t="s">
        <v>81</v>
      </c>
      <c r="E169" s="17" t="s">
        <v>59</v>
      </c>
      <c r="F169" s="14">
        <v>2287293</v>
      </c>
      <c r="G169" s="14">
        <v>3535404</v>
      </c>
      <c r="H169" s="14">
        <f>AVERAGE(F170:F174)</f>
        <v>6139602.2000000002</v>
      </c>
      <c r="I169" s="14">
        <f>AVERAGE(G170:G174)</f>
        <v>16223831.6</v>
      </c>
      <c r="J169" s="20">
        <f>F169/H169</f>
        <v>0.37254742660688994</v>
      </c>
      <c r="K169" s="20">
        <f>G169/I169</f>
        <v>0.217914244129605</v>
      </c>
      <c r="L169" s="21">
        <f>K169-1</f>
        <v>-0.78208575587039497</v>
      </c>
      <c r="M169" s="22">
        <f>I169-G169</f>
        <v>12688427.6</v>
      </c>
      <c r="N169" s="16">
        <f>M169*1.22</f>
        <v>15479881.671999998</v>
      </c>
      <c r="O169" s="86" t="s">
        <v>145</v>
      </c>
      <c r="P169" s="86" t="s">
        <v>146</v>
      </c>
    </row>
    <row r="170" spans="1:16" x14ac:dyDescent="0.3">
      <c r="A170" s="35">
        <v>43</v>
      </c>
      <c r="B170">
        <v>2009</v>
      </c>
      <c r="C170">
        <v>2008</v>
      </c>
      <c r="D170" s="17" t="s">
        <v>81</v>
      </c>
      <c r="E170" s="17" t="s">
        <v>59</v>
      </c>
      <c r="F170" s="14">
        <v>1792577</v>
      </c>
      <c r="G170" s="14">
        <v>4119785</v>
      </c>
      <c r="H170" s="13"/>
      <c r="I170" s="13"/>
      <c r="J170" s="13"/>
      <c r="K170" s="13"/>
      <c r="L170" s="13"/>
      <c r="M170" s="13"/>
      <c r="N170" s="13"/>
    </row>
    <row r="171" spans="1:16" x14ac:dyDescent="0.3">
      <c r="A171" s="35">
        <v>43</v>
      </c>
      <c r="B171">
        <v>2009</v>
      </c>
      <c r="C171">
        <v>2007</v>
      </c>
      <c r="D171" s="17" t="s">
        <v>81</v>
      </c>
      <c r="E171" s="17" t="s">
        <v>59</v>
      </c>
      <c r="F171" s="14">
        <v>3089995</v>
      </c>
      <c r="G171" s="14">
        <v>12466633</v>
      </c>
      <c r="H171" s="13"/>
      <c r="I171" s="13"/>
      <c r="J171" s="13"/>
      <c r="K171" s="13"/>
      <c r="L171" s="13"/>
      <c r="M171" s="13"/>
      <c r="N171" s="13"/>
    </row>
    <row r="172" spans="1:16" x14ac:dyDescent="0.3">
      <c r="A172" s="35">
        <v>43</v>
      </c>
      <c r="B172">
        <v>2009</v>
      </c>
      <c r="C172">
        <v>2006</v>
      </c>
      <c r="D172" s="17" t="s">
        <v>81</v>
      </c>
      <c r="E172" s="17" t="s">
        <v>59</v>
      </c>
      <c r="F172" s="14">
        <v>2966096</v>
      </c>
      <c r="G172" s="14">
        <v>10194950</v>
      </c>
      <c r="H172" s="13"/>
      <c r="I172" s="13"/>
      <c r="J172" s="13"/>
      <c r="K172" s="13"/>
      <c r="L172" s="13"/>
      <c r="M172" s="13"/>
      <c r="N172" s="13"/>
    </row>
    <row r="173" spans="1:16" x14ac:dyDescent="0.3">
      <c r="A173" s="35">
        <v>43</v>
      </c>
      <c r="B173">
        <v>2009</v>
      </c>
      <c r="C173">
        <v>2005</v>
      </c>
      <c r="D173" s="17" t="s">
        <v>81</v>
      </c>
      <c r="E173" s="17" t="s">
        <v>59</v>
      </c>
      <c r="F173" s="14">
        <v>9660204</v>
      </c>
      <c r="G173" s="14">
        <v>23279110</v>
      </c>
      <c r="H173" s="13"/>
      <c r="I173" s="13"/>
      <c r="J173" s="13"/>
      <c r="K173" s="13"/>
      <c r="L173" s="13"/>
      <c r="M173" s="13"/>
      <c r="N173" s="13"/>
    </row>
    <row r="174" spans="1:16" x14ac:dyDescent="0.3">
      <c r="A174" s="33">
        <v>43</v>
      </c>
      <c r="B174" s="5">
        <v>2009</v>
      </c>
      <c r="C174" s="5">
        <v>2004</v>
      </c>
      <c r="D174" s="18" t="s">
        <v>81</v>
      </c>
      <c r="E174" s="18" t="s">
        <v>59</v>
      </c>
      <c r="F174" s="6">
        <v>13189139</v>
      </c>
      <c r="G174" s="6">
        <v>31058680</v>
      </c>
      <c r="H174" s="5"/>
      <c r="I174" s="5"/>
      <c r="J174" s="5"/>
      <c r="K174" s="5"/>
      <c r="L174" s="5"/>
      <c r="M174" s="5"/>
      <c r="N174" s="5"/>
      <c r="O174" s="88"/>
      <c r="P174" s="88"/>
    </row>
    <row r="175" spans="1:16" ht="28.8" x14ac:dyDescent="0.3">
      <c r="A175" s="17">
        <v>40</v>
      </c>
      <c r="B175">
        <v>2008</v>
      </c>
      <c r="C175">
        <v>2008</v>
      </c>
      <c r="D175" s="17" t="s">
        <v>103</v>
      </c>
      <c r="E175" s="17" t="s">
        <v>49</v>
      </c>
      <c r="F175" s="1">
        <v>37324853</v>
      </c>
      <c r="G175" s="1">
        <v>228314697</v>
      </c>
      <c r="H175" s="14">
        <f>AVERAGE(F176:F180)</f>
        <v>48133471.600000001</v>
      </c>
      <c r="I175" s="14">
        <f>AVERAGE(G176:G180)</f>
        <v>223200660.40000001</v>
      </c>
      <c r="J175" s="20">
        <f>F175/H175</f>
        <v>0.77544485696311172</v>
      </c>
      <c r="K175" s="20">
        <f>G175/I175</f>
        <v>1.0229122825659882</v>
      </c>
      <c r="L175" s="21">
        <f>K175-1</f>
        <v>2.2912282565988207E-2</v>
      </c>
      <c r="M175" s="55">
        <f>I175-G175</f>
        <v>-5114036.599999994</v>
      </c>
      <c r="N175" s="56">
        <f>M175*1.22</f>
        <v>-6239124.6519999923</v>
      </c>
      <c r="O175" s="86" t="s">
        <v>148</v>
      </c>
      <c r="P175" s="86" t="s">
        <v>174</v>
      </c>
    </row>
    <row r="176" spans="1:16" x14ac:dyDescent="0.3">
      <c r="A176" s="17">
        <v>40</v>
      </c>
      <c r="B176">
        <v>2008</v>
      </c>
      <c r="C176">
        <v>2007</v>
      </c>
      <c r="D176" s="17" t="s">
        <v>103</v>
      </c>
      <c r="E176" s="17" t="s">
        <v>49</v>
      </c>
      <c r="F176" s="1">
        <v>42204237</v>
      </c>
      <c r="G176" s="1">
        <v>255232876</v>
      </c>
      <c r="H176" s="13"/>
      <c r="I176" s="13"/>
      <c r="J176" s="13"/>
      <c r="K176" s="13"/>
      <c r="L176" s="13"/>
      <c r="M176" s="13"/>
      <c r="N176" s="13"/>
    </row>
    <row r="177" spans="1:16" x14ac:dyDescent="0.3">
      <c r="A177" s="17">
        <v>40</v>
      </c>
      <c r="B177">
        <v>2008</v>
      </c>
      <c r="C177">
        <v>2006</v>
      </c>
      <c r="D177" s="17" t="s">
        <v>103</v>
      </c>
      <c r="E177" s="17" t="s">
        <v>49</v>
      </c>
      <c r="F177" s="1">
        <v>51961337</v>
      </c>
      <c r="G177" s="1">
        <v>285452019</v>
      </c>
      <c r="H177" s="13"/>
      <c r="I177" s="13"/>
      <c r="J177" s="13"/>
      <c r="K177" s="13"/>
      <c r="L177" s="13"/>
      <c r="M177" s="13"/>
      <c r="N177" s="13"/>
    </row>
    <row r="178" spans="1:16" x14ac:dyDescent="0.3">
      <c r="A178" s="17">
        <v>40</v>
      </c>
      <c r="B178">
        <v>2008</v>
      </c>
      <c r="C178">
        <v>2005</v>
      </c>
      <c r="D178" s="17" t="s">
        <v>103</v>
      </c>
      <c r="E178" s="17" t="s">
        <v>49</v>
      </c>
      <c r="F178" s="1">
        <v>57783240</v>
      </c>
      <c r="G178" s="1">
        <v>267029390</v>
      </c>
      <c r="H178" s="13"/>
      <c r="I178" s="13"/>
      <c r="J178" s="13"/>
      <c r="K178" s="13"/>
      <c r="L178" s="13"/>
      <c r="M178" s="13"/>
      <c r="N178" s="13"/>
    </row>
    <row r="179" spans="1:16" x14ac:dyDescent="0.3">
      <c r="A179" s="17">
        <v>40</v>
      </c>
      <c r="B179">
        <v>2008</v>
      </c>
      <c r="C179">
        <v>2004</v>
      </c>
      <c r="D179" s="17" t="s">
        <v>103</v>
      </c>
      <c r="E179" s="17" t="s">
        <v>49</v>
      </c>
      <c r="F179" s="1">
        <v>55084254</v>
      </c>
      <c r="G179" s="1">
        <v>177691626</v>
      </c>
      <c r="H179" s="13"/>
      <c r="I179" s="13"/>
      <c r="J179" s="13"/>
      <c r="K179" s="13"/>
      <c r="L179" s="13"/>
      <c r="M179" s="13"/>
      <c r="N179" s="13"/>
    </row>
    <row r="180" spans="1:16" x14ac:dyDescent="0.3">
      <c r="A180" s="18">
        <v>40</v>
      </c>
      <c r="B180" s="5">
        <v>2008</v>
      </c>
      <c r="C180" s="5">
        <v>2003</v>
      </c>
      <c r="D180" s="18" t="s">
        <v>103</v>
      </c>
      <c r="E180" s="18" t="s">
        <v>49</v>
      </c>
      <c r="F180" s="6">
        <v>33634290</v>
      </c>
      <c r="G180" s="6">
        <v>130597391</v>
      </c>
      <c r="H180" s="5"/>
      <c r="I180" s="5"/>
      <c r="J180" s="5"/>
      <c r="K180" s="5"/>
      <c r="L180" s="5"/>
      <c r="M180" s="5"/>
      <c r="N180" s="5"/>
      <c r="O180" s="88"/>
      <c r="P180" s="88"/>
    </row>
    <row r="181" spans="1:16" x14ac:dyDescent="0.3">
      <c r="A181" s="7">
        <v>39</v>
      </c>
      <c r="B181">
        <v>2008</v>
      </c>
      <c r="C181">
        <v>2008</v>
      </c>
      <c r="D181" t="s">
        <v>50</v>
      </c>
      <c r="E181" t="s">
        <v>24</v>
      </c>
      <c r="F181" s="1">
        <v>929430275</v>
      </c>
      <c r="G181" s="1">
        <v>282196938</v>
      </c>
      <c r="H181" s="14">
        <f>AVERAGE(F182:F186)</f>
        <v>1015553447.2</v>
      </c>
      <c r="I181" s="14">
        <f>AVERAGE(G182:G186)</f>
        <v>264734058.59999999</v>
      </c>
      <c r="J181" s="20">
        <f>F181/H181</f>
        <v>0.91519582505731067</v>
      </c>
      <c r="K181" s="20">
        <f>G181/I181</f>
        <v>1.0659638563029985</v>
      </c>
      <c r="L181" s="21">
        <f>K181-1</f>
        <v>6.5963856302998503E-2</v>
      </c>
      <c r="M181" s="22">
        <f>I181-G181</f>
        <v>-17462879.400000006</v>
      </c>
      <c r="N181" s="3">
        <f>M181*1.22</f>
        <v>-21304712.868000008</v>
      </c>
      <c r="O181" s="86" t="s">
        <v>145</v>
      </c>
      <c r="P181" s="86" t="s">
        <v>146</v>
      </c>
    </row>
    <row r="182" spans="1:16" x14ac:dyDescent="0.3">
      <c r="A182" s="7">
        <v>39</v>
      </c>
      <c r="B182">
        <v>2008</v>
      </c>
      <c r="C182">
        <v>2007</v>
      </c>
      <c r="D182" t="s">
        <v>50</v>
      </c>
      <c r="E182" t="s">
        <v>24</v>
      </c>
      <c r="F182" s="1">
        <v>999803134</v>
      </c>
      <c r="G182" s="1">
        <v>287380022</v>
      </c>
    </row>
    <row r="183" spans="1:16" x14ac:dyDescent="0.3">
      <c r="A183" s="7">
        <v>39</v>
      </c>
      <c r="B183">
        <v>2008</v>
      </c>
      <c r="C183">
        <v>2006</v>
      </c>
      <c r="D183" t="s">
        <v>50</v>
      </c>
      <c r="E183" t="s">
        <v>24</v>
      </c>
      <c r="F183" s="1">
        <v>973205272</v>
      </c>
      <c r="G183" s="1">
        <v>265624917</v>
      </c>
    </row>
    <row r="184" spans="1:16" x14ac:dyDescent="0.3">
      <c r="A184" s="7">
        <v>39</v>
      </c>
      <c r="B184">
        <v>2008</v>
      </c>
      <c r="C184">
        <v>2005</v>
      </c>
      <c r="D184" t="s">
        <v>50</v>
      </c>
      <c r="E184" t="s">
        <v>24</v>
      </c>
      <c r="F184" s="1">
        <v>846800294</v>
      </c>
      <c r="G184" s="1">
        <v>246454077</v>
      </c>
    </row>
    <row r="185" spans="1:16" x14ac:dyDescent="0.3">
      <c r="A185" s="7">
        <v>39</v>
      </c>
      <c r="B185">
        <v>2008</v>
      </c>
      <c r="C185">
        <v>2004</v>
      </c>
      <c r="D185" t="s">
        <v>50</v>
      </c>
      <c r="E185" t="s">
        <v>24</v>
      </c>
      <c r="F185" s="1">
        <v>1076351769</v>
      </c>
      <c r="G185" s="1">
        <v>253803135</v>
      </c>
    </row>
    <row r="186" spans="1:16" x14ac:dyDescent="0.3">
      <c r="A186" s="15">
        <v>39</v>
      </c>
      <c r="B186" s="5">
        <v>2008</v>
      </c>
      <c r="C186" s="5">
        <v>2003</v>
      </c>
      <c r="D186" s="5" t="s">
        <v>50</v>
      </c>
      <c r="E186" s="5" t="s">
        <v>24</v>
      </c>
      <c r="F186" s="6">
        <v>1181606767</v>
      </c>
      <c r="G186" s="6">
        <v>270408142</v>
      </c>
      <c r="H186" s="5"/>
      <c r="I186" s="5"/>
      <c r="J186" s="5"/>
      <c r="K186" s="5"/>
      <c r="L186" s="5"/>
      <c r="M186" s="5"/>
      <c r="N186" s="5"/>
      <c r="O186" s="88"/>
      <c r="P186" s="88"/>
    </row>
    <row r="187" spans="1:16" ht="28.8" x14ac:dyDescent="0.3">
      <c r="A187" s="7">
        <v>37</v>
      </c>
      <c r="B187">
        <v>2008</v>
      </c>
      <c r="C187">
        <v>2008</v>
      </c>
      <c r="D187" t="s">
        <v>51</v>
      </c>
      <c r="E187" t="s">
        <v>52</v>
      </c>
      <c r="F187" s="1">
        <v>58115220</v>
      </c>
      <c r="G187" s="1">
        <v>68127954</v>
      </c>
      <c r="H187" s="14">
        <f>AVERAGE(F188:F192)</f>
        <v>56316806.200000003</v>
      </c>
      <c r="I187" s="14">
        <f>AVERAGE(G188:G192)</f>
        <v>55974565.600000001</v>
      </c>
      <c r="J187" s="20">
        <f>F187/H187</f>
        <v>1.0319338741194453</v>
      </c>
      <c r="K187" s="20">
        <f>G187/I187</f>
        <v>1.2171234072069332</v>
      </c>
      <c r="L187" s="21">
        <f>K187-1</f>
        <v>0.21712340720693324</v>
      </c>
      <c r="M187" s="22">
        <f>I187-G187</f>
        <v>-12153388.399999999</v>
      </c>
      <c r="N187" s="3">
        <f>M187*1.22</f>
        <v>-14827133.847999997</v>
      </c>
      <c r="O187" s="86" t="s">
        <v>148</v>
      </c>
      <c r="P187" s="86" t="s">
        <v>178</v>
      </c>
    </row>
    <row r="188" spans="1:16" x14ac:dyDescent="0.3">
      <c r="A188" s="7">
        <v>37</v>
      </c>
      <c r="B188">
        <v>2008</v>
      </c>
      <c r="C188">
        <v>2007</v>
      </c>
      <c r="D188" t="s">
        <v>51</v>
      </c>
      <c r="E188" t="s">
        <v>52</v>
      </c>
      <c r="F188" s="1">
        <v>55925066</v>
      </c>
      <c r="G188" s="1">
        <v>57492721</v>
      </c>
    </row>
    <row r="189" spans="1:16" x14ac:dyDescent="0.3">
      <c r="A189" s="7">
        <v>37</v>
      </c>
      <c r="B189">
        <v>2008</v>
      </c>
      <c r="C189">
        <v>2006</v>
      </c>
      <c r="D189" t="s">
        <v>51</v>
      </c>
      <c r="E189" t="s">
        <v>52</v>
      </c>
      <c r="F189" s="1">
        <v>52153456</v>
      </c>
      <c r="G189" s="1">
        <v>45198106</v>
      </c>
    </row>
    <row r="190" spans="1:16" x14ac:dyDescent="0.3">
      <c r="A190" s="7">
        <v>37</v>
      </c>
      <c r="B190">
        <v>2008</v>
      </c>
      <c r="C190">
        <v>2005</v>
      </c>
      <c r="D190" t="s">
        <v>51</v>
      </c>
      <c r="E190" t="s">
        <v>52</v>
      </c>
      <c r="F190" s="1">
        <v>60968860</v>
      </c>
      <c r="G190" s="1">
        <v>60530026</v>
      </c>
    </row>
    <row r="191" spans="1:16" x14ac:dyDescent="0.3">
      <c r="A191" s="7">
        <v>37</v>
      </c>
      <c r="B191">
        <v>2008</v>
      </c>
      <c r="C191">
        <v>2004</v>
      </c>
      <c r="D191" t="s">
        <v>51</v>
      </c>
      <c r="E191" t="s">
        <v>52</v>
      </c>
      <c r="F191" s="1">
        <v>63256055</v>
      </c>
      <c r="G191" s="1">
        <v>62989879</v>
      </c>
    </row>
    <row r="192" spans="1:16" x14ac:dyDescent="0.3">
      <c r="A192" s="15">
        <v>37</v>
      </c>
      <c r="B192" s="5">
        <v>2008</v>
      </c>
      <c r="C192" s="5">
        <v>2003</v>
      </c>
      <c r="D192" s="5" t="s">
        <v>51</v>
      </c>
      <c r="E192" s="5" t="s">
        <v>52</v>
      </c>
      <c r="F192" s="6">
        <v>49280594</v>
      </c>
      <c r="G192" s="6">
        <v>53662096</v>
      </c>
      <c r="H192" s="5"/>
      <c r="I192" s="5"/>
      <c r="J192" s="5"/>
      <c r="K192" s="5"/>
      <c r="L192" s="5"/>
      <c r="M192" s="5"/>
      <c r="N192" s="5"/>
      <c r="O192" s="88"/>
      <c r="P192" s="88"/>
    </row>
    <row r="193" spans="1:16" ht="64.8" customHeight="1" x14ac:dyDescent="0.3">
      <c r="A193">
        <v>36</v>
      </c>
      <c r="B193">
        <v>2008</v>
      </c>
      <c r="C193">
        <v>2008</v>
      </c>
      <c r="D193" t="s">
        <v>53</v>
      </c>
      <c r="E193" t="s">
        <v>54</v>
      </c>
      <c r="F193" s="1">
        <v>19814463</v>
      </c>
      <c r="G193" s="1">
        <v>27481959</v>
      </c>
      <c r="H193" s="14">
        <f>AVERAGE(F194:F198)</f>
        <v>33919461.600000001</v>
      </c>
      <c r="I193" s="14">
        <f>AVERAGE(G194:G198)</f>
        <v>37226902</v>
      </c>
      <c r="J193" s="20">
        <f>F193/H193</f>
        <v>0.58416207290271371</v>
      </c>
      <c r="K193" s="20">
        <f>G193/I193</f>
        <v>0.73822847251699864</v>
      </c>
      <c r="L193" s="21">
        <f>K193-1</f>
        <v>-0.26177152748300136</v>
      </c>
      <c r="M193" s="22">
        <f>I193-G193</f>
        <v>9744943</v>
      </c>
      <c r="N193" s="3">
        <f>M193*1.22</f>
        <v>11888830.459999999</v>
      </c>
      <c r="O193" s="86" t="s">
        <v>148</v>
      </c>
      <c r="P193" s="86" t="s">
        <v>179</v>
      </c>
    </row>
    <row r="194" spans="1:16" x14ac:dyDescent="0.3">
      <c r="A194">
        <v>36</v>
      </c>
      <c r="B194">
        <v>2008</v>
      </c>
      <c r="C194">
        <v>2007</v>
      </c>
      <c r="D194" t="s">
        <v>53</v>
      </c>
      <c r="E194" t="s">
        <v>54</v>
      </c>
      <c r="F194" s="1">
        <v>25285889</v>
      </c>
      <c r="G194" s="1">
        <v>34426461</v>
      </c>
    </row>
    <row r="195" spans="1:16" x14ac:dyDescent="0.3">
      <c r="A195">
        <v>36</v>
      </c>
      <c r="B195">
        <v>2008</v>
      </c>
      <c r="C195">
        <v>2006</v>
      </c>
      <c r="D195" t="s">
        <v>53</v>
      </c>
      <c r="E195" t="s">
        <v>54</v>
      </c>
      <c r="F195" s="1">
        <v>31096386</v>
      </c>
      <c r="G195" s="1">
        <v>35160349</v>
      </c>
    </row>
    <row r="196" spans="1:16" x14ac:dyDescent="0.3">
      <c r="A196">
        <v>36</v>
      </c>
      <c r="B196">
        <v>2008</v>
      </c>
      <c r="C196">
        <v>2005</v>
      </c>
      <c r="D196" t="s">
        <v>53</v>
      </c>
      <c r="E196" t="s">
        <v>54</v>
      </c>
      <c r="F196" s="1">
        <v>28955038</v>
      </c>
      <c r="G196" s="1">
        <v>37762694</v>
      </c>
    </row>
    <row r="197" spans="1:16" x14ac:dyDescent="0.3">
      <c r="A197">
        <v>36</v>
      </c>
      <c r="B197">
        <v>2008</v>
      </c>
      <c r="C197">
        <v>2004</v>
      </c>
      <c r="D197" t="s">
        <v>53</v>
      </c>
      <c r="E197" t="s">
        <v>54</v>
      </c>
      <c r="F197" s="1">
        <v>44717851</v>
      </c>
      <c r="G197" s="1">
        <v>47822530</v>
      </c>
    </row>
    <row r="198" spans="1:16" x14ac:dyDescent="0.3">
      <c r="A198" s="5">
        <v>36</v>
      </c>
      <c r="B198" s="5">
        <v>2008</v>
      </c>
      <c r="C198" s="5">
        <v>2003</v>
      </c>
      <c r="D198" s="5" t="s">
        <v>53</v>
      </c>
      <c r="E198" s="5" t="s">
        <v>54</v>
      </c>
      <c r="F198" s="6">
        <v>39542144</v>
      </c>
      <c r="G198" s="6">
        <v>30962476</v>
      </c>
      <c r="H198" s="5"/>
      <c r="I198" s="5"/>
      <c r="J198" s="5"/>
      <c r="K198" s="5"/>
      <c r="L198" s="5"/>
      <c r="M198" s="5"/>
      <c r="N198" s="5"/>
      <c r="O198" s="88"/>
      <c r="P198" s="88"/>
    </row>
    <row r="199" spans="1:16" ht="28.8" x14ac:dyDescent="0.3">
      <c r="A199" s="7">
        <v>33</v>
      </c>
      <c r="B199">
        <v>2008</v>
      </c>
      <c r="C199">
        <v>2008</v>
      </c>
      <c r="D199" t="s">
        <v>27</v>
      </c>
      <c r="E199" t="s">
        <v>55</v>
      </c>
      <c r="F199" s="1">
        <v>31348422</v>
      </c>
      <c r="G199" s="1">
        <v>126688112</v>
      </c>
      <c r="H199" s="14">
        <f>AVERAGE(F200:F204)</f>
        <v>19446895</v>
      </c>
      <c r="I199" s="14">
        <f>AVERAGE(G200:G204)</f>
        <v>74427089.200000003</v>
      </c>
      <c r="J199" s="20">
        <f>F199/H199</f>
        <v>1.6120014017661946</v>
      </c>
      <c r="K199" s="20">
        <f>G199/I199</f>
        <v>1.7021774378353627</v>
      </c>
      <c r="L199" s="21">
        <f>K199-1</f>
        <v>0.70217743783536268</v>
      </c>
      <c r="M199" s="22">
        <f>I199-G199</f>
        <v>-52261022.799999997</v>
      </c>
      <c r="N199" s="3">
        <f>M199*1.22</f>
        <v>-63758447.815999992</v>
      </c>
      <c r="O199" s="86" t="s">
        <v>148</v>
      </c>
      <c r="P199" s="86" t="s">
        <v>180</v>
      </c>
    </row>
    <row r="200" spans="1:16" x14ac:dyDescent="0.3">
      <c r="A200" s="7">
        <v>33</v>
      </c>
      <c r="B200">
        <v>2008</v>
      </c>
      <c r="C200">
        <v>2007</v>
      </c>
      <c r="D200" t="s">
        <v>27</v>
      </c>
      <c r="E200" t="s">
        <v>55</v>
      </c>
      <c r="F200" s="1">
        <v>20378582</v>
      </c>
      <c r="G200" s="1">
        <v>79900586</v>
      </c>
    </row>
    <row r="201" spans="1:16" x14ac:dyDescent="0.3">
      <c r="A201" s="7">
        <v>33</v>
      </c>
      <c r="B201">
        <v>2008</v>
      </c>
      <c r="C201">
        <v>2006</v>
      </c>
      <c r="D201" t="s">
        <v>27</v>
      </c>
      <c r="E201" t="s">
        <v>55</v>
      </c>
      <c r="F201" s="1">
        <v>27888573</v>
      </c>
      <c r="G201" s="1">
        <v>80343714</v>
      </c>
    </row>
    <row r="202" spans="1:16" x14ac:dyDescent="0.3">
      <c r="A202" s="7">
        <v>33</v>
      </c>
      <c r="B202">
        <v>2008</v>
      </c>
      <c r="C202">
        <v>2005</v>
      </c>
      <c r="D202" t="s">
        <v>27</v>
      </c>
      <c r="E202" t="s">
        <v>55</v>
      </c>
      <c r="F202" s="1">
        <v>16287927</v>
      </c>
      <c r="G202" s="1">
        <v>62535341</v>
      </c>
    </row>
    <row r="203" spans="1:16" x14ac:dyDescent="0.3">
      <c r="A203" s="7">
        <v>33</v>
      </c>
      <c r="B203">
        <v>2008</v>
      </c>
      <c r="C203">
        <v>2004</v>
      </c>
      <c r="D203" t="s">
        <v>27</v>
      </c>
      <c r="E203" t="s">
        <v>55</v>
      </c>
      <c r="F203" s="1">
        <v>15297291</v>
      </c>
      <c r="G203" s="1">
        <v>73090855</v>
      </c>
    </row>
    <row r="204" spans="1:16" x14ac:dyDescent="0.3">
      <c r="A204" s="15">
        <v>33</v>
      </c>
      <c r="B204" s="5">
        <v>2008</v>
      </c>
      <c r="C204" s="5">
        <v>2003</v>
      </c>
      <c r="D204" s="5" t="s">
        <v>27</v>
      </c>
      <c r="E204" s="5" t="s">
        <v>55</v>
      </c>
      <c r="F204" s="6">
        <v>17382102</v>
      </c>
      <c r="G204" s="6">
        <v>76264950</v>
      </c>
      <c r="H204" s="5"/>
      <c r="I204" s="5"/>
      <c r="J204" s="5"/>
      <c r="K204" s="5"/>
      <c r="L204" s="5"/>
      <c r="M204" s="5"/>
      <c r="N204" s="5"/>
      <c r="O204" s="88"/>
      <c r="P204" s="88"/>
    </row>
    <row r="205" spans="1:16" ht="28.8" x14ac:dyDescent="0.3">
      <c r="A205" s="9">
        <v>31</v>
      </c>
      <c r="B205" t="s">
        <v>56</v>
      </c>
      <c r="C205">
        <v>2006</v>
      </c>
      <c r="D205" t="s">
        <v>27</v>
      </c>
      <c r="E205" t="s">
        <v>55</v>
      </c>
      <c r="F205" s="1">
        <v>27888573</v>
      </c>
      <c r="G205" s="1">
        <v>80343714</v>
      </c>
      <c r="H205" s="14">
        <f>AVERAGE(F207:F211)</f>
        <v>18289424</v>
      </c>
      <c r="I205" s="14">
        <f>AVERAGE(G207:G211)</f>
        <v>71696560.599999994</v>
      </c>
      <c r="J205" s="20">
        <f>F205/H205</f>
        <v>1.5248469826059039</v>
      </c>
      <c r="K205" s="20">
        <f>G205/I205</f>
        <v>1.120607645996341</v>
      </c>
      <c r="L205" s="21">
        <f>K205-1</f>
        <v>0.120607645996341</v>
      </c>
      <c r="M205" s="22">
        <f>I205-G205</f>
        <v>-8647153.400000006</v>
      </c>
      <c r="N205" s="3">
        <f>M205*1.3</f>
        <v>-11241299.420000007</v>
      </c>
      <c r="O205" s="86" t="s">
        <v>148</v>
      </c>
      <c r="P205" s="86" t="s">
        <v>180</v>
      </c>
    </row>
    <row r="206" spans="1:16" x14ac:dyDescent="0.3">
      <c r="A206" s="9">
        <v>31</v>
      </c>
      <c r="B206" t="s">
        <v>56</v>
      </c>
      <c r="C206">
        <v>2005</v>
      </c>
      <c r="D206" t="s">
        <v>27</v>
      </c>
      <c r="E206" t="s">
        <v>55</v>
      </c>
      <c r="F206" s="1">
        <v>16287927</v>
      </c>
      <c r="G206" s="1">
        <v>62535341</v>
      </c>
      <c r="J206">
        <f>F206/H205</f>
        <v>0.89056533437028962</v>
      </c>
      <c r="K206">
        <f>G206/I205</f>
        <v>0.8722223280540462</v>
      </c>
      <c r="L206" s="21">
        <f>K206-1</f>
        <v>-0.1277776719459538</v>
      </c>
      <c r="M206" s="16">
        <f>I205-G206</f>
        <v>9161219.599999994</v>
      </c>
      <c r="N206" s="34">
        <f>M206*1.35</f>
        <v>12367646.459999993</v>
      </c>
    </row>
    <row r="207" spans="1:16" x14ac:dyDescent="0.3">
      <c r="A207" s="9">
        <v>31</v>
      </c>
      <c r="B207" t="s">
        <v>56</v>
      </c>
      <c r="C207">
        <v>2004</v>
      </c>
      <c r="D207" t="s">
        <v>27</v>
      </c>
      <c r="E207" t="s">
        <v>55</v>
      </c>
      <c r="F207" s="1">
        <v>15297291</v>
      </c>
      <c r="G207" s="1">
        <v>73090855</v>
      </c>
    </row>
    <row r="208" spans="1:16" x14ac:dyDescent="0.3">
      <c r="A208" s="9">
        <v>31</v>
      </c>
      <c r="B208" t="s">
        <v>56</v>
      </c>
      <c r="C208">
        <v>2003</v>
      </c>
      <c r="D208" t="s">
        <v>27</v>
      </c>
      <c r="E208" t="s">
        <v>55</v>
      </c>
      <c r="F208" s="1">
        <v>17382102</v>
      </c>
      <c r="G208" s="1">
        <v>76264950</v>
      </c>
    </row>
    <row r="209" spans="1:16" x14ac:dyDescent="0.3">
      <c r="A209" s="9">
        <v>31</v>
      </c>
      <c r="B209" t="s">
        <v>56</v>
      </c>
      <c r="C209">
        <v>2002</v>
      </c>
      <c r="D209" t="s">
        <v>27</v>
      </c>
      <c r="E209" t="s">
        <v>55</v>
      </c>
      <c r="F209" s="1">
        <v>20839528</v>
      </c>
      <c r="G209" s="1">
        <v>73385686</v>
      </c>
    </row>
    <row r="210" spans="1:16" x14ac:dyDescent="0.3">
      <c r="A210" s="9">
        <v>31</v>
      </c>
      <c r="B210" t="s">
        <v>56</v>
      </c>
      <c r="C210">
        <v>2001</v>
      </c>
      <c r="D210" t="s">
        <v>27</v>
      </c>
      <c r="E210" t="s">
        <v>55</v>
      </c>
      <c r="F210" s="1">
        <v>15145534</v>
      </c>
      <c r="G210" s="1">
        <v>56227671</v>
      </c>
    </row>
    <row r="211" spans="1:16" x14ac:dyDescent="0.3">
      <c r="A211" s="30">
        <v>31</v>
      </c>
      <c r="B211" s="5" t="s">
        <v>56</v>
      </c>
      <c r="C211" s="5">
        <v>2000</v>
      </c>
      <c r="D211" s="5" t="s">
        <v>27</v>
      </c>
      <c r="E211" s="5" t="s">
        <v>55</v>
      </c>
      <c r="F211" s="6">
        <v>22782665</v>
      </c>
      <c r="G211" s="6">
        <v>79513641</v>
      </c>
      <c r="H211" s="5"/>
      <c r="I211" s="5"/>
      <c r="J211" s="5"/>
      <c r="K211" s="5"/>
      <c r="L211" s="5"/>
      <c r="M211" s="5"/>
      <c r="N211" s="5"/>
      <c r="O211" s="88"/>
      <c r="P211" s="88"/>
    </row>
    <row r="212" spans="1:16" ht="28.8" x14ac:dyDescent="0.3">
      <c r="A212" s="17">
        <v>30</v>
      </c>
      <c r="B212" t="s">
        <v>56</v>
      </c>
      <c r="C212">
        <v>2006</v>
      </c>
      <c r="D212" s="17" t="s">
        <v>81</v>
      </c>
      <c r="E212" s="17" t="s">
        <v>59</v>
      </c>
      <c r="F212" s="14"/>
      <c r="G212" s="14">
        <f>(275)*1000</f>
        <v>275000</v>
      </c>
      <c r="I212" s="14">
        <f>AVERAGE(G214:G217)</f>
        <v>1005500</v>
      </c>
      <c r="J212" s="13"/>
      <c r="K212" s="13">
        <f>G212/I212</f>
        <v>0.27349577324714075</v>
      </c>
      <c r="L212" s="40">
        <f>K212-1</f>
        <v>-0.72650422675285919</v>
      </c>
      <c r="M212" s="22">
        <f>I212-G212</f>
        <v>730500</v>
      </c>
      <c r="N212" s="38">
        <f>M212*1.14</f>
        <v>832769.99999999988</v>
      </c>
      <c r="O212" s="86" t="s">
        <v>145</v>
      </c>
      <c r="P212" s="86" t="s">
        <v>181</v>
      </c>
    </row>
    <row r="213" spans="1:16" x14ac:dyDescent="0.3">
      <c r="A213" s="17">
        <v>30</v>
      </c>
      <c r="B213" t="s">
        <v>56</v>
      </c>
      <c r="C213">
        <v>2005</v>
      </c>
      <c r="D213" s="17" t="s">
        <v>81</v>
      </c>
      <c r="E213" s="17" t="s">
        <v>59</v>
      </c>
      <c r="F213" s="14"/>
      <c r="G213" s="14">
        <f>(349+872)*1000</f>
        <v>1221000</v>
      </c>
      <c r="H213" s="13"/>
      <c r="I213" s="13"/>
      <c r="J213" s="13"/>
      <c r="K213" s="13">
        <f>G213/I212</f>
        <v>1.2143212332173048</v>
      </c>
      <c r="L213" s="13"/>
      <c r="M213" s="62">
        <f>I212-G213</f>
        <v>-215500</v>
      </c>
      <c r="N213" s="62">
        <f>M213*1.35</f>
        <v>-290925</v>
      </c>
    </row>
    <row r="214" spans="1:16" x14ac:dyDescent="0.3">
      <c r="A214" s="17">
        <v>30</v>
      </c>
      <c r="B214" t="s">
        <v>56</v>
      </c>
      <c r="C214">
        <v>2004</v>
      </c>
      <c r="D214" s="17" t="s">
        <v>81</v>
      </c>
      <c r="E214" s="17" t="s">
        <v>59</v>
      </c>
      <c r="F214" s="14"/>
      <c r="G214" s="14">
        <f>(1273+1096)*1000</f>
        <v>2369000</v>
      </c>
      <c r="H214" s="13"/>
      <c r="I214" s="13"/>
      <c r="J214" s="13"/>
      <c r="K214" s="13"/>
      <c r="L214" s="13"/>
      <c r="M214" s="13"/>
      <c r="N214" s="13"/>
    </row>
    <row r="215" spans="1:16" x14ac:dyDescent="0.3">
      <c r="A215" s="17">
        <v>30</v>
      </c>
      <c r="B215" t="s">
        <v>56</v>
      </c>
      <c r="C215">
        <v>2003</v>
      </c>
      <c r="D215" s="17" t="s">
        <v>81</v>
      </c>
      <c r="E215" s="17" t="s">
        <v>59</v>
      </c>
      <c r="F215" s="14"/>
      <c r="G215" s="14">
        <f>(105+342)*1000</f>
        <v>447000</v>
      </c>
      <c r="H215" s="13"/>
      <c r="I215" s="13"/>
      <c r="J215" s="13"/>
      <c r="K215" s="13"/>
      <c r="L215" s="13"/>
      <c r="M215" s="13"/>
      <c r="N215" s="13"/>
    </row>
    <row r="216" spans="1:16" x14ac:dyDescent="0.3">
      <c r="A216" s="17">
        <v>30</v>
      </c>
      <c r="B216" t="s">
        <v>56</v>
      </c>
      <c r="C216">
        <v>2002</v>
      </c>
      <c r="D216" s="17" t="s">
        <v>81</v>
      </c>
      <c r="E216" s="17" t="s">
        <v>59</v>
      </c>
      <c r="F216" s="14"/>
      <c r="G216" s="14">
        <f>(314+420)*1000</f>
        <v>734000</v>
      </c>
      <c r="H216" s="13"/>
      <c r="I216" s="13"/>
      <c r="J216" s="13"/>
      <c r="K216" s="13"/>
      <c r="L216" s="13"/>
      <c r="M216" s="13"/>
      <c r="N216" s="13"/>
    </row>
    <row r="217" spans="1:16" x14ac:dyDescent="0.3">
      <c r="A217" s="17">
        <v>30</v>
      </c>
      <c r="B217" t="s">
        <v>56</v>
      </c>
      <c r="C217">
        <v>2001</v>
      </c>
      <c r="D217" s="17" t="s">
        <v>81</v>
      </c>
      <c r="E217" s="17" t="s">
        <v>59</v>
      </c>
      <c r="F217" s="14"/>
      <c r="G217" s="14">
        <f>(161+311)*1000</f>
        <v>472000</v>
      </c>
      <c r="H217" s="13"/>
      <c r="I217" s="13"/>
      <c r="J217" s="13"/>
      <c r="K217" s="13"/>
      <c r="L217" s="13"/>
      <c r="M217" s="13"/>
      <c r="N217" s="13"/>
    </row>
    <row r="218" spans="1:16" x14ac:dyDescent="0.3">
      <c r="A218" s="18">
        <v>30</v>
      </c>
      <c r="B218" s="5" t="s">
        <v>56</v>
      </c>
      <c r="C218" s="5">
        <v>2000</v>
      </c>
      <c r="D218" s="18" t="s">
        <v>81</v>
      </c>
      <c r="E218" s="18" t="s">
        <v>59</v>
      </c>
      <c r="F218" s="6"/>
      <c r="G218" s="6"/>
      <c r="H218" s="5"/>
      <c r="I218" s="5"/>
      <c r="J218" s="5"/>
      <c r="K218" s="5"/>
      <c r="L218" s="5"/>
      <c r="M218" s="5"/>
      <c r="N218" s="5"/>
      <c r="O218" s="92"/>
      <c r="P218" s="92"/>
    </row>
    <row r="219" spans="1:16" x14ac:dyDescent="0.3">
      <c r="A219" s="17">
        <v>29</v>
      </c>
      <c r="B219">
        <v>2005</v>
      </c>
      <c r="C219" s="13">
        <v>2005</v>
      </c>
      <c r="D219" s="17" t="s">
        <v>78</v>
      </c>
      <c r="E219" s="17" t="s">
        <v>79</v>
      </c>
      <c r="F219" s="14">
        <v>1319132067</v>
      </c>
      <c r="G219" s="14">
        <v>473623172</v>
      </c>
      <c r="H219" s="14">
        <f>AVERAGE(F220:F224)</f>
        <v>1979755290.4000001</v>
      </c>
      <c r="I219" s="14">
        <f>AVERAGE(G220:G224)</f>
        <v>599312965.79999995</v>
      </c>
      <c r="J219" s="20">
        <f>F219/H219</f>
        <v>0.66631066647306481</v>
      </c>
      <c r="K219" s="20">
        <f>G219/I219</f>
        <v>0.79027686538998621</v>
      </c>
      <c r="L219" s="21">
        <f>K219-1</f>
        <v>-0.20972313461001379</v>
      </c>
      <c r="M219" s="22">
        <f>I219-G219</f>
        <v>125689793.79999995</v>
      </c>
      <c r="N219" s="38">
        <f>M219*1.35</f>
        <v>169681221.62999994</v>
      </c>
      <c r="O219" s="86" t="s">
        <v>145</v>
      </c>
      <c r="P219" s="86" t="s">
        <v>146</v>
      </c>
    </row>
    <row r="220" spans="1:16" x14ac:dyDescent="0.3">
      <c r="A220" s="17">
        <v>29</v>
      </c>
      <c r="B220">
        <v>2005</v>
      </c>
      <c r="C220" s="13">
        <v>2004</v>
      </c>
      <c r="D220" s="17" t="s">
        <v>78</v>
      </c>
      <c r="E220" s="17" t="s">
        <v>79</v>
      </c>
      <c r="F220" s="14">
        <v>1684271329</v>
      </c>
      <c r="G220" s="14">
        <v>513565179</v>
      </c>
      <c r="H220" s="13"/>
      <c r="I220" s="13"/>
      <c r="J220" s="13"/>
      <c r="K220" s="13"/>
      <c r="L220" s="13"/>
      <c r="M220" s="13"/>
      <c r="N220" s="13"/>
    </row>
    <row r="221" spans="1:16" x14ac:dyDescent="0.3">
      <c r="A221" s="17">
        <v>29</v>
      </c>
      <c r="B221">
        <v>2005</v>
      </c>
      <c r="C221" s="13">
        <v>2003</v>
      </c>
      <c r="D221" s="17" t="s">
        <v>78</v>
      </c>
      <c r="E221" s="17" t="s">
        <v>79</v>
      </c>
      <c r="F221" s="14">
        <v>1960044734</v>
      </c>
      <c r="G221" s="14">
        <v>531435890</v>
      </c>
      <c r="H221" s="13"/>
      <c r="I221" s="13"/>
      <c r="J221" s="13"/>
      <c r="K221" s="13"/>
      <c r="L221" s="13"/>
      <c r="M221" s="13"/>
      <c r="N221" s="13"/>
    </row>
    <row r="222" spans="1:16" x14ac:dyDescent="0.3">
      <c r="A222" s="17">
        <v>29</v>
      </c>
      <c r="B222">
        <v>2005</v>
      </c>
      <c r="C222" s="13">
        <v>2002</v>
      </c>
      <c r="D222" s="17" t="s">
        <v>78</v>
      </c>
      <c r="E222" s="17" t="s">
        <v>79</v>
      </c>
      <c r="F222" s="14">
        <v>2088901156</v>
      </c>
      <c r="G222" s="14">
        <v>548561912</v>
      </c>
      <c r="H222" s="13"/>
      <c r="I222" s="13"/>
      <c r="J222" s="13"/>
      <c r="K222" s="13"/>
      <c r="L222" s="13"/>
      <c r="M222" s="13"/>
      <c r="N222" s="13"/>
    </row>
    <row r="223" spans="1:16" x14ac:dyDescent="0.3">
      <c r="A223" s="17">
        <v>29</v>
      </c>
      <c r="B223">
        <v>2005</v>
      </c>
      <c r="C223" s="13">
        <v>2001</v>
      </c>
      <c r="D223" s="17" t="s">
        <v>78</v>
      </c>
      <c r="E223" s="17" t="s">
        <v>79</v>
      </c>
      <c r="F223" s="14">
        <v>2000907349</v>
      </c>
      <c r="G223" s="14">
        <v>639778800</v>
      </c>
      <c r="H223" s="13"/>
      <c r="I223" s="13"/>
      <c r="J223" s="13"/>
      <c r="K223" s="13"/>
      <c r="L223" s="13"/>
      <c r="M223" s="13"/>
      <c r="N223" s="13"/>
    </row>
    <row r="224" spans="1:16" x14ac:dyDescent="0.3">
      <c r="A224" s="18">
        <v>29</v>
      </c>
      <c r="B224" s="5">
        <v>2005</v>
      </c>
      <c r="C224" s="5">
        <v>2000</v>
      </c>
      <c r="D224" s="18" t="s">
        <v>78</v>
      </c>
      <c r="E224" s="18" t="s">
        <v>79</v>
      </c>
      <c r="F224" s="6">
        <v>2164651884</v>
      </c>
      <c r="G224" s="6">
        <v>763223048</v>
      </c>
      <c r="H224" s="5"/>
      <c r="I224" s="5"/>
      <c r="J224" s="5"/>
      <c r="K224" s="5"/>
      <c r="L224" s="5"/>
      <c r="M224" s="5"/>
      <c r="N224" s="5"/>
      <c r="O224" s="88"/>
      <c r="P224" s="88"/>
    </row>
    <row r="225" spans="1:16" ht="28.8" x14ac:dyDescent="0.3">
      <c r="A225" s="17">
        <v>27</v>
      </c>
      <c r="B225">
        <v>2005</v>
      </c>
      <c r="C225" s="13">
        <v>2005</v>
      </c>
      <c r="D225" s="17" t="s">
        <v>48</v>
      </c>
      <c r="E225" s="17" t="s">
        <v>49</v>
      </c>
      <c r="F225" s="14">
        <v>5059046</v>
      </c>
      <c r="G225" s="14">
        <v>17830589</v>
      </c>
      <c r="H225" s="14">
        <f>AVERAGE(F226:F230)</f>
        <v>6442761</v>
      </c>
      <c r="I225" s="14">
        <f>AVERAGE(G226:G230)</f>
        <v>18851499.399999999</v>
      </c>
      <c r="J225" s="20">
        <f>F225/H225</f>
        <v>0.78522950020961513</v>
      </c>
      <c r="K225" s="20">
        <f>G225/I225</f>
        <v>0.94584460480634247</v>
      </c>
      <c r="L225" s="21">
        <f>K225-1</f>
        <v>-5.415539519365753E-2</v>
      </c>
      <c r="M225" s="22">
        <f>I225-G225</f>
        <v>1020910.3999999985</v>
      </c>
      <c r="N225" s="38">
        <f>M225*1.35</f>
        <v>1378229.0399999982</v>
      </c>
      <c r="O225" s="86" t="s">
        <v>148</v>
      </c>
      <c r="P225" s="86" t="s">
        <v>182</v>
      </c>
    </row>
    <row r="226" spans="1:16" x14ac:dyDescent="0.3">
      <c r="A226" s="17">
        <v>27</v>
      </c>
      <c r="B226">
        <v>2005</v>
      </c>
      <c r="C226" s="13">
        <v>2004</v>
      </c>
      <c r="D226" s="17" t="s">
        <v>48</v>
      </c>
      <c r="E226" s="17" t="s">
        <v>49</v>
      </c>
      <c r="F226" s="14">
        <v>6597982</v>
      </c>
      <c r="G226" s="14">
        <v>21079940</v>
      </c>
      <c r="H226" s="13"/>
      <c r="I226" s="13"/>
      <c r="J226" s="13"/>
      <c r="K226" s="13"/>
      <c r="L226" s="13"/>
      <c r="M226" s="13"/>
      <c r="N226" s="13"/>
    </row>
    <row r="227" spans="1:16" x14ac:dyDescent="0.3">
      <c r="A227" s="17">
        <v>27</v>
      </c>
      <c r="B227">
        <v>2005</v>
      </c>
      <c r="C227" s="13">
        <v>2003</v>
      </c>
      <c r="D227" s="17" t="s">
        <v>48</v>
      </c>
      <c r="E227" s="17" t="s">
        <v>49</v>
      </c>
      <c r="F227" s="14">
        <v>6985022</v>
      </c>
      <c r="G227" s="14">
        <v>21706451</v>
      </c>
      <c r="H227" s="13"/>
      <c r="I227" s="13"/>
      <c r="J227" s="13"/>
      <c r="K227" s="13"/>
      <c r="L227" s="13"/>
      <c r="M227" s="13"/>
      <c r="N227" s="13"/>
    </row>
    <row r="228" spans="1:16" x14ac:dyDescent="0.3">
      <c r="A228" s="17">
        <v>27</v>
      </c>
      <c r="B228">
        <v>2005</v>
      </c>
      <c r="C228" s="13">
        <v>2002</v>
      </c>
      <c r="D228" s="17" t="s">
        <v>48</v>
      </c>
      <c r="E228" s="17" t="s">
        <v>49</v>
      </c>
      <c r="F228" s="14">
        <v>7433784</v>
      </c>
      <c r="G228" s="14">
        <v>19842478</v>
      </c>
      <c r="H228" s="13"/>
      <c r="I228" s="13"/>
      <c r="J228" s="13"/>
      <c r="K228" s="13"/>
      <c r="L228" s="13"/>
      <c r="M228" s="13"/>
      <c r="N228" s="13"/>
    </row>
    <row r="229" spans="1:16" x14ac:dyDescent="0.3">
      <c r="A229" s="17">
        <v>27</v>
      </c>
      <c r="B229">
        <v>2005</v>
      </c>
      <c r="C229" s="13">
        <v>2001</v>
      </c>
      <c r="D229" s="17" t="s">
        <v>48</v>
      </c>
      <c r="E229" s="17" t="s">
        <v>49</v>
      </c>
      <c r="F229" s="14">
        <v>5901764</v>
      </c>
      <c r="G229" s="14">
        <v>20588343</v>
      </c>
      <c r="H229" s="13"/>
      <c r="I229" s="13"/>
      <c r="J229" s="13"/>
      <c r="K229" s="13"/>
      <c r="L229" s="13"/>
      <c r="M229" s="13"/>
      <c r="N229" s="13"/>
    </row>
    <row r="230" spans="1:16" x14ac:dyDescent="0.3">
      <c r="A230" s="18">
        <v>27</v>
      </c>
      <c r="B230" s="5">
        <v>2005</v>
      </c>
      <c r="C230" s="5">
        <v>2000</v>
      </c>
      <c r="D230" s="18" t="s">
        <v>48</v>
      </c>
      <c r="E230" s="18" t="s">
        <v>49</v>
      </c>
      <c r="F230" s="6">
        <v>5295253</v>
      </c>
      <c r="G230" s="6">
        <v>11040285</v>
      </c>
      <c r="H230" s="5"/>
      <c r="I230" s="5"/>
      <c r="J230" s="5"/>
      <c r="K230" s="5"/>
      <c r="L230" s="5"/>
      <c r="M230" s="5"/>
      <c r="N230" s="5"/>
      <c r="O230" s="88"/>
      <c r="P230" s="88"/>
    </row>
    <row r="231" spans="1:16" ht="28.8" x14ac:dyDescent="0.3">
      <c r="A231" s="39">
        <v>26</v>
      </c>
      <c r="B231">
        <v>2005</v>
      </c>
      <c r="C231" s="13">
        <v>2005</v>
      </c>
      <c r="D231" s="17" t="s">
        <v>80</v>
      </c>
      <c r="E231" s="17" t="s">
        <v>49</v>
      </c>
      <c r="F231" s="14">
        <v>23407772</v>
      </c>
      <c r="G231" s="14">
        <v>20352370</v>
      </c>
      <c r="H231" s="14">
        <f>AVERAGE(F232:F236)</f>
        <v>10023538</v>
      </c>
      <c r="I231" s="14">
        <f>AVERAGE(G232:G236)</f>
        <v>5449902.7999999998</v>
      </c>
      <c r="J231" s="20">
        <f>F231/H231</f>
        <v>2.3352804169545722</v>
      </c>
      <c r="K231" s="20">
        <f>G231/I231</f>
        <v>3.7344464198517451</v>
      </c>
      <c r="L231" s="21">
        <f>K231-1</f>
        <v>2.7344464198517451</v>
      </c>
      <c r="M231" s="22">
        <f>I231-G231</f>
        <v>-14902467.199999999</v>
      </c>
      <c r="N231" s="42">
        <f>M231*1.35</f>
        <v>-20118330.719999999</v>
      </c>
      <c r="O231" s="86" t="s">
        <v>148</v>
      </c>
      <c r="P231" s="86" t="s">
        <v>182</v>
      </c>
    </row>
    <row r="232" spans="1:16" x14ac:dyDescent="0.3">
      <c r="A232" s="39">
        <v>26</v>
      </c>
      <c r="B232">
        <v>2005</v>
      </c>
      <c r="C232" s="13">
        <v>2004</v>
      </c>
      <c r="D232" s="17" t="s">
        <v>80</v>
      </c>
      <c r="E232" s="17" t="s">
        <v>49</v>
      </c>
      <c r="F232" s="14">
        <v>20445162</v>
      </c>
      <c r="G232" s="14">
        <v>11733831</v>
      </c>
      <c r="H232" s="13"/>
      <c r="I232" s="13"/>
      <c r="J232" s="13"/>
      <c r="K232" s="13"/>
      <c r="L232" s="13"/>
      <c r="M232" s="13"/>
      <c r="N232" s="13"/>
    </row>
    <row r="233" spans="1:16" x14ac:dyDescent="0.3">
      <c r="A233" s="39">
        <v>26</v>
      </c>
      <c r="B233">
        <v>2005</v>
      </c>
      <c r="C233" s="13">
        <v>2003</v>
      </c>
      <c r="D233" s="17" t="s">
        <v>80</v>
      </c>
      <c r="E233" s="17" t="s">
        <v>49</v>
      </c>
      <c r="F233" s="14">
        <v>1046030</v>
      </c>
      <c r="G233" s="14">
        <v>838759</v>
      </c>
      <c r="H233" s="13"/>
      <c r="I233" s="13"/>
      <c r="J233" s="13"/>
      <c r="K233" s="13"/>
      <c r="L233" s="13"/>
      <c r="M233" s="13"/>
      <c r="N233" s="13"/>
    </row>
    <row r="234" spans="1:16" x14ac:dyDescent="0.3">
      <c r="A234" s="39">
        <v>26</v>
      </c>
      <c r="B234">
        <v>2005</v>
      </c>
      <c r="C234" s="13">
        <v>2002</v>
      </c>
      <c r="D234" s="17" t="s">
        <v>80</v>
      </c>
      <c r="E234" s="17" t="s">
        <v>49</v>
      </c>
      <c r="F234" s="14">
        <v>17056815</v>
      </c>
      <c r="G234" s="14">
        <v>8169125</v>
      </c>
      <c r="H234" s="13"/>
      <c r="I234" s="13"/>
      <c r="J234" s="13"/>
      <c r="K234" s="13"/>
      <c r="L234" s="13"/>
      <c r="M234" s="13"/>
      <c r="N234" s="13"/>
    </row>
    <row r="235" spans="1:16" x14ac:dyDescent="0.3">
      <c r="A235" s="39">
        <v>26</v>
      </c>
      <c r="B235">
        <v>2005</v>
      </c>
      <c r="C235" s="13">
        <v>2001</v>
      </c>
      <c r="D235" s="17" t="s">
        <v>80</v>
      </c>
      <c r="E235" s="17" t="s">
        <v>49</v>
      </c>
      <c r="F235" s="14">
        <v>10835631</v>
      </c>
      <c r="G235" s="14">
        <v>5926697</v>
      </c>
      <c r="H235" s="13"/>
      <c r="I235" s="13"/>
      <c r="J235" s="13"/>
      <c r="K235" s="13"/>
      <c r="L235" s="13"/>
      <c r="M235" s="13"/>
      <c r="N235" s="13"/>
    </row>
    <row r="236" spans="1:16" x14ac:dyDescent="0.3">
      <c r="A236" s="15">
        <v>26</v>
      </c>
      <c r="B236" s="5">
        <v>2005</v>
      </c>
      <c r="C236" s="5">
        <v>2000</v>
      </c>
      <c r="D236" s="18" t="s">
        <v>80</v>
      </c>
      <c r="E236" s="18" t="s">
        <v>49</v>
      </c>
      <c r="F236" s="6">
        <v>734052</v>
      </c>
      <c r="G236" s="6">
        <v>581102</v>
      </c>
      <c r="H236" s="5"/>
      <c r="I236" s="5"/>
      <c r="J236" s="5"/>
      <c r="K236" s="5"/>
      <c r="L236" s="5"/>
      <c r="M236" s="5"/>
      <c r="N236" s="5"/>
      <c r="O236" s="88"/>
      <c r="P236" s="88"/>
    </row>
    <row r="237" spans="1:16" ht="28.8" x14ac:dyDescent="0.3">
      <c r="A237" s="32">
        <v>25</v>
      </c>
      <c r="B237" s="9" t="s">
        <v>57</v>
      </c>
      <c r="C237">
        <v>2003</v>
      </c>
      <c r="D237" t="s">
        <v>27</v>
      </c>
      <c r="E237" t="s">
        <v>55</v>
      </c>
      <c r="F237" s="1">
        <v>17382102</v>
      </c>
      <c r="G237" s="1">
        <v>76264950</v>
      </c>
      <c r="H237" s="14">
        <f>AVERAGE(F240:F245)</f>
        <v>94903772.333333328</v>
      </c>
      <c r="I237" s="14">
        <f>AVERAGE(G240:G245)</f>
        <v>249932478.16666666</v>
      </c>
      <c r="J237" s="58">
        <f>F237/H237</f>
        <v>0.18315501663040673</v>
      </c>
      <c r="K237" s="58">
        <f>G237/I237</f>
        <v>0.3051422150471495</v>
      </c>
      <c r="L237" s="63">
        <f>K237-1</f>
        <v>-0.69485778495285055</v>
      </c>
      <c r="M237" s="22">
        <f>I237-G237</f>
        <v>173667528.16666666</v>
      </c>
      <c r="N237" s="16">
        <f>M237*1.42</f>
        <v>246607889.99666664</v>
      </c>
      <c r="O237" s="86" t="s">
        <v>148</v>
      </c>
      <c r="P237" s="86" t="s">
        <v>180</v>
      </c>
    </row>
    <row r="238" spans="1:16" x14ac:dyDescent="0.3">
      <c r="A238" s="32">
        <v>25</v>
      </c>
      <c r="B238" s="9" t="s">
        <v>57</v>
      </c>
      <c r="C238">
        <v>2002</v>
      </c>
      <c r="D238" t="s">
        <v>27</v>
      </c>
      <c r="E238" t="s">
        <v>55</v>
      </c>
      <c r="F238" s="1">
        <v>20839528</v>
      </c>
      <c r="G238" s="1">
        <v>73385686</v>
      </c>
      <c r="J238" s="58">
        <f>F238/H237</f>
        <v>0.21958587617365419</v>
      </c>
      <c r="K238" s="59">
        <f>G238/I237</f>
        <v>0.29362204759584304</v>
      </c>
      <c r="L238" s="64">
        <f>K238-1</f>
        <v>-0.70637795240415691</v>
      </c>
      <c r="M238" s="16">
        <f>I237-G238</f>
        <v>176546792.16666666</v>
      </c>
      <c r="N238" s="34">
        <f>M238*1.45</f>
        <v>255992848.64166665</v>
      </c>
    </row>
    <row r="239" spans="1:16" x14ac:dyDescent="0.3">
      <c r="A239" s="32">
        <v>25</v>
      </c>
      <c r="B239" s="9" t="s">
        <v>57</v>
      </c>
      <c r="C239">
        <v>2001</v>
      </c>
      <c r="D239" t="s">
        <v>27</v>
      </c>
      <c r="E239" t="s">
        <v>55</v>
      </c>
      <c r="F239" s="1">
        <v>15145534</v>
      </c>
      <c r="G239" s="1">
        <v>56227671</v>
      </c>
      <c r="J239" s="58">
        <f>F239/H237</f>
        <v>0.15958832433766587</v>
      </c>
      <c r="K239" s="59">
        <f>G239/I237</f>
        <v>0.22497144593790952</v>
      </c>
      <c r="L239" s="64">
        <f>K239-1</f>
        <v>-0.77502855406209048</v>
      </c>
      <c r="M239" s="16">
        <f>I237-G239</f>
        <v>193704807.16666666</v>
      </c>
      <c r="N239" s="34">
        <f>M239*1.47</f>
        <v>284746066.53499997</v>
      </c>
    </row>
    <row r="240" spans="1:16" x14ac:dyDescent="0.3">
      <c r="A240" s="32">
        <v>25</v>
      </c>
      <c r="B240" s="9" t="s">
        <v>57</v>
      </c>
      <c r="C240">
        <v>2000</v>
      </c>
      <c r="D240" t="s">
        <v>27</v>
      </c>
      <c r="E240" t="s">
        <v>55</v>
      </c>
      <c r="F240" s="1">
        <v>22782665</v>
      </c>
      <c r="G240" s="1">
        <v>79513641</v>
      </c>
    </row>
    <row r="241" spans="1:16" x14ac:dyDescent="0.3">
      <c r="A241" s="32">
        <v>25</v>
      </c>
      <c r="B241" s="9" t="s">
        <v>57</v>
      </c>
      <c r="C241">
        <v>1999</v>
      </c>
      <c r="D241" t="s">
        <v>27</v>
      </c>
      <c r="E241" t="s">
        <v>55</v>
      </c>
      <c r="F241" s="1">
        <v>116911960</v>
      </c>
      <c r="G241" s="1">
        <v>338062150</v>
      </c>
    </row>
    <row r="242" spans="1:16" x14ac:dyDescent="0.3">
      <c r="A242" s="32">
        <v>25</v>
      </c>
      <c r="B242" s="9" t="s">
        <v>57</v>
      </c>
      <c r="C242">
        <v>1998</v>
      </c>
      <c r="D242" t="s">
        <v>27</v>
      </c>
      <c r="E242" t="s">
        <v>55</v>
      </c>
      <c r="F242" s="1">
        <v>157196897</v>
      </c>
      <c r="G242" s="1">
        <v>318298954</v>
      </c>
    </row>
    <row r="243" spans="1:16" x14ac:dyDescent="0.3">
      <c r="A243" s="32">
        <v>25</v>
      </c>
      <c r="B243" s="9" t="s">
        <v>57</v>
      </c>
      <c r="C243">
        <v>1997</v>
      </c>
      <c r="D243" t="s">
        <v>27</v>
      </c>
      <c r="E243" t="s">
        <v>55</v>
      </c>
      <c r="F243" s="1">
        <v>188175252</v>
      </c>
      <c r="G243" s="1">
        <v>400162786</v>
      </c>
    </row>
    <row r="244" spans="1:16" x14ac:dyDescent="0.3">
      <c r="A244" s="32">
        <v>25</v>
      </c>
      <c r="B244" s="9" t="s">
        <v>57</v>
      </c>
      <c r="C244">
        <v>1996</v>
      </c>
      <c r="D244" t="s">
        <v>27</v>
      </c>
      <c r="E244" t="s">
        <v>55</v>
      </c>
      <c r="F244" s="1">
        <v>40092150</v>
      </c>
      <c r="G244" s="1">
        <v>129260582</v>
      </c>
    </row>
    <row r="245" spans="1:16" x14ac:dyDescent="0.3">
      <c r="A245" s="33">
        <v>25</v>
      </c>
      <c r="B245" s="30" t="s">
        <v>57</v>
      </c>
      <c r="C245" s="5">
        <v>1995</v>
      </c>
      <c r="D245" s="5" t="s">
        <v>27</v>
      </c>
      <c r="E245" s="5" t="s">
        <v>55</v>
      </c>
      <c r="F245" s="6">
        <v>44263710</v>
      </c>
      <c r="G245" s="6">
        <v>234296756</v>
      </c>
      <c r="H245" s="5"/>
      <c r="I245" s="5"/>
      <c r="J245" s="5"/>
      <c r="K245" s="5"/>
      <c r="L245" s="5"/>
      <c r="M245" s="5"/>
      <c r="N245" s="5"/>
      <c r="O245" s="88"/>
      <c r="P245" s="88"/>
    </row>
    <row r="246" spans="1:16" s="36" customFormat="1" x14ac:dyDescent="0.3">
      <c r="A246" s="17">
        <v>23</v>
      </c>
      <c r="B246" s="17">
        <v>2003</v>
      </c>
      <c r="C246">
        <v>2003</v>
      </c>
      <c r="D246" t="s">
        <v>39</v>
      </c>
      <c r="E246" t="s">
        <v>77</v>
      </c>
      <c r="F246" s="1">
        <v>1713197</v>
      </c>
      <c r="G246" s="1">
        <v>1970493</v>
      </c>
      <c r="H246" s="14">
        <f>AVERAGE(F247:F251)</f>
        <v>3443853</v>
      </c>
      <c r="I246" s="14">
        <f>AVERAGE(G247:G251)</f>
        <v>2621628.7999999998</v>
      </c>
      <c r="J246" s="20">
        <f>F246/H246</f>
        <v>0.49746519378149995</v>
      </c>
      <c r="K246" s="20">
        <f>G246/I246</f>
        <v>0.75162929244597865</v>
      </c>
      <c r="L246" s="21">
        <f>K246-1</f>
        <v>-0.24837070755402135</v>
      </c>
      <c r="M246" s="22">
        <f>I246-G246</f>
        <v>651135.79999999981</v>
      </c>
      <c r="N246" s="37">
        <f>M246*1.42</f>
        <v>924612.83599999966</v>
      </c>
      <c r="O246" s="72" t="s">
        <v>145</v>
      </c>
      <c r="P246" s="72" t="s">
        <v>146</v>
      </c>
    </row>
    <row r="247" spans="1:16" s="36" customFormat="1" x14ac:dyDescent="0.3">
      <c r="A247" s="17">
        <v>23</v>
      </c>
      <c r="B247" s="17">
        <v>2003</v>
      </c>
      <c r="C247">
        <v>2002</v>
      </c>
      <c r="D247" t="s">
        <v>39</v>
      </c>
      <c r="E247" t="s">
        <v>77</v>
      </c>
      <c r="F247" s="1">
        <v>1988950</v>
      </c>
      <c r="G247" s="1">
        <v>2166268</v>
      </c>
      <c r="H247" s="17"/>
      <c r="I247" s="17"/>
      <c r="J247" s="17"/>
      <c r="K247" s="17"/>
      <c r="L247" s="17"/>
      <c r="M247" s="17"/>
      <c r="N247" s="17"/>
      <c r="O247" s="72"/>
      <c r="P247" s="72"/>
    </row>
    <row r="248" spans="1:16" s="36" customFormat="1" x14ac:dyDescent="0.3">
      <c r="A248" s="17">
        <v>23</v>
      </c>
      <c r="B248" s="17">
        <v>2003</v>
      </c>
      <c r="C248">
        <v>2001</v>
      </c>
      <c r="D248" t="s">
        <v>39</v>
      </c>
      <c r="E248" t="s">
        <v>77</v>
      </c>
      <c r="F248" s="1">
        <v>2771377</v>
      </c>
      <c r="G248" s="1">
        <v>2902474</v>
      </c>
      <c r="H248" s="17"/>
      <c r="I248" s="17"/>
      <c r="J248" s="17"/>
      <c r="K248" s="17"/>
      <c r="L248" s="17"/>
      <c r="M248" s="17"/>
      <c r="N248" s="17"/>
      <c r="O248" s="72"/>
      <c r="P248" s="72"/>
    </row>
    <row r="249" spans="1:16" s="36" customFormat="1" x14ac:dyDescent="0.3">
      <c r="A249" s="17">
        <v>23</v>
      </c>
      <c r="B249" s="17">
        <v>2003</v>
      </c>
      <c r="C249">
        <v>2000</v>
      </c>
      <c r="D249" t="s">
        <v>39</v>
      </c>
      <c r="E249" t="s">
        <v>77</v>
      </c>
      <c r="F249" s="1">
        <v>3296255</v>
      </c>
      <c r="G249" s="1">
        <v>2476530</v>
      </c>
      <c r="H249" s="17"/>
      <c r="I249" s="17"/>
      <c r="J249" s="17"/>
      <c r="K249" s="17"/>
      <c r="L249" s="17"/>
      <c r="M249" s="17"/>
      <c r="N249" s="17"/>
      <c r="O249" s="72"/>
      <c r="P249" s="72"/>
    </row>
    <row r="250" spans="1:16" s="36" customFormat="1" x14ac:dyDescent="0.3">
      <c r="A250" s="17">
        <v>23</v>
      </c>
      <c r="B250" s="17">
        <v>2003</v>
      </c>
      <c r="C250">
        <v>1999</v>
      </c>
      <c r="D250" t="s">
        <v>39</v>
      </c>
      <c r="E250" t="s">
        <v>77</v>
      </c>
      <c r="F250" s="1">
        <v>3992980</v>
      </c>
      <c r="G250" s="1">
        <v>2474415</v>
      </c>
      <c r="H250" s="17"/>
      <c r="I250" s="17"/>
      <c r="J250" s="17"/>
      <c r="K250" s="17"/>
      <c r="L250" s="17"/>
      <c r="M250" s="17"/>
      <c r="N250" s="17"/>
      <c r="O250" s="72"/>
      <c r="P250" s="72"/>
    </row>
    <row r="251" spans="1:16" s="36" customFormat="1" x14ac:dyDescent="0.3">
      <c r="A251" s="18">
        <v>23</v>
      </c>
      <c r="B251" s="18">
        <v>2003</v>
      </c>
      <c r="C251" s="5">
        <v>1998</v>
      </c>
      <c r="D251" s="5" t="s">
        <v>39</v>
      </c>
      <c r="E251" s="5" t="s">
        <v>77</v>
      </c>
      <c r="F251" s="6">
        <v>5169703</v>
      </c>
      <c r="G251" s="6">
        <v>3088457</v>
      </c>
      <c r="H251" s="18"/>
      <c r="I251" s="18"/>
      <c r="J251" s="18"/>
      <c r="K251" s="18"/>
      <c r="L251" s="18"/>
      <c r="M251" s="18"/>
      <c r="N251" s="18"/>
      <c r="O251" s="87"/>
      <c r="P251" s="87"/>
    </row>
    <row r="252" spans="1:16" ht="28.8" x14ac:dyDescent="0.3">
      <c r="A252" s="32">
        <v>22</v>
      </c>
      <c r="B252" s="9">
        <v>2002</v>
      </c>
      <c r="C252">
        <v>2002</v>
      </c>
      <c r="D252" t="s">
        <v>27</v>
      </c>
      <c r="E252" t="s">
        <v>55</v>
      </c>
      <c r="F252" s="1">
        <v>20839528</v>
      </c>
      <c r="G252" s="1">
        <v>73385686</v>
      </c>
      <c r="H252" s="14">
        <f>AVERAGE(F253:F257)</f>
        <v>100042461.59999999</v>
      </c>
      <c r="I252" s="14">
        <f>AVERAGE(G253:G257)</f>
        <v>238453040.40000001</v>
      </c>
      <c r="J252" s="20">
        <f>F252/H252</f>
        <v>0.208306829587248</v>
      </c>
      <c r="K252" s="20">
        <f>G252/I252</f>
        <v>0.30775739272142238</v>
      </c>
      <c r="L252" s="21">
        <f>K252-1</f>
        <v>-0.69224260727857767</v>
      </c>
      <c r="M252" s="22">
        <f>I252-G252</f>
        <v>165067354.40000001</v>
      </c>
      <c r="N252" s="3">
        <f>M252*1.45</f>
        <v>239347663.88</v>
      </c>
      <c r="O252" s="86" t="s">
        <v>148</v>
      </c>
      <c r="P252" s="86" t="s">
        <v>180</v>
      </c>
    </row>
    <row r="253" spans="1:16" x14ac:dyDescent="0.3">
      <c r="A253" s="32">
        <v>22</v>
      </c>
      <c r="B253" s="9">
        <v>2002</v>
      </c>
      <c r="C253">
        <v>2001</v>
      </c>
      <c r="D253" t="s">
        <v>27</v>
      </c>
      <c r="E253" t="s">
        <v>55</v>
      </c>
      <c r="F253" s="1">
        <v>15145534</v>
      </c>
      <c r="G253" s="1">
        <v>56227671</v>
      </c>
    </row>
    <row r="254" spans="1:16" x14ac:dyDescent="0.3">
      <c r="A254" s="32">
        <v>22</v>
      </c>
      <c r="B254" s="9">
        <v>2002</v>
      </c>
      <c r="C254">
        <v>2000</v>
      </c>
      <c r="D254" t="s">
        <v>27</v>
      </c>
      <c r="E254" t="s">
        <v>55</v>
      </c>
      <c r="F254" s="1">
        <v>22782665</v>
      </c>
      <c r="G254" s="1">
        <v>79513641</v>
      </c>
    </row>
    <row r="255" spans="1:16" x14ac:dyDescent="0.3">
      <c r="A255" s="32">
        <v>22</v>
      </c>
      <c r="B255" s="9">
        <v>2002</v>
      </c>
      <c r="C255">
        <v>1999</v>
      </c>
      <c r="D255" t="s">
        <v>27</v>
      </c>
      <c r="E255" t="s">
        <v>55</v>
      </c>
      <c r="F255" s="1">
        <v>116911960</v>
      </c>
      <c r="G255" s="1">
        <v>338062150</v>
      </c>
    </row>
    <row r="256" spans="1:16" x14ac:dyDescent="0.3">
      <c r="A256" s="32">
        <v>22</v>
      </c>
      <c r="B256" s="9">
        <v>2002</v>
      </c>
      <c r="C256">
        <v>1998</v>
      </c>
      <c r="D256" t="s">
        <v>27</v>
      </c>
      <c r="E256" t="s">
        <v>55</v>
      </c>
      <c r="F256" s="1">
        <v>157196897</v>
      </c>
      <c r="G256" s="1">
        <v>318298954</v>
      </c>
    </row>
    <row r="257" spans="1:16" x14ac:dyDescent="0.3">
      <c r="A257" s="33">
        <v>22</v>
      </c>
      <c r="B257" s="30">
        <v>2002</v>
      </c>
      <c r="C257" s="5">
        <v>1997</v>
      </c>
      <c r="D257" s="5" t="s">
        <v>27</v>
      </c>
      <c r="E257" s="5" t="s">
        <v>55</v>
      </c>
      <c r="F257" s="6">
        <v>188175252</v>
      </c>
      <c r="G257" s="6">
        <v>400162786</v>
      </c>
      <c r="H257" s="5"/>
      <c r="I257" s="5"/>
      <c r="J257" s="5"/>
      <c r="K257" s="5"/>
      <c r="L257" s="5"/>
      <c r="M257" s="5"/>
      <c r="N257" s="5"/>
      <c r="O257" s="88"/>
      <c r="P257" s="88"/>
    </row>
    <row r="258" spans="1:16" ht="28.8" x14ac:dyDescent="0.3">
      <c r="A258" s="32">
        <v>21</v>
      </c>
      <c r="B258" s="9">
        <v>2001</v>
      </c>
      <c r="C258">
        <v>2001</v>
      </c>
      <c r="D258" t="s">
        <v>27</v>
      </c>
      <c r="E258" t="s">
        <v>55</v>
      </c>
      <c r="F258" s="1">
        <v>15145534</v>
      </c>
      <c r="G258" s="1">
        <v>56227671</v>
      </c>
      <c r="H258" s="14">
        <f>AVERAGE(F259:F263)</f>
        <v>105031784.8</v>
      </c>
      <c r="I258" s="14">
        <f>AVERAGE(G259:G263)</f>
        <v>253059622.59999999</v>
      </c>
      <c r="J258" s="20">
        <f>F258/H258</f>
        <v>0.14419952996933172</v>
      </c>
      <c r="K258" s="20">
        <f>G258/I258</f>
        <v>0.22219139672422794</v>
      </c>
      <c r="L258" s="21">
        <f>K258-1</f>
        <v>-0.77780860327577206</v>
      </c>
      <c r="M258" s="22">
        <f>I258-G258</f>
        <v>196831951.59999999</v>
      </c>
      <c r="N258" s="3">
        <f>M258*1.47</f>
        <v>289342968.852</v>
      </c>
      <c r="O258" s="86" t="s">
        <v>148</v>
      </c>
      <c r="P258" s="86" t="s">
        <v>180</v>
      </c>
    </row>
    <row r="259" spans="1:16" x14ac:dyDescent="0.3">
      <c r="A259" s="32">
        <v>21</v>
      </c>
      <c r="B259" s="9">
        <v>2001</v>
      </c>
      <c r="C259">
        <v>2000</v>
      </c>
      <c r="D259" t="s">
        <v>27</v>
      </c>
      <c r="E259" t="s">
        <v>55</v>
      </c>
      <c r="F259" s="1">
        <v>22782665</v>
      </c>
      <c r="G259" s="1">
        <v>79513641</v>
      </c>
    </row>
    <row r="260" spans="1:16" x14ac:dyDescent="0.3">
      <c r="A260" s="32">
        <v>21</v>
      </c>
      <c r="B260" s="9">
        <v>2001</v>
      </c>
      <c r="C260">
        <v>1999</v>
      </c>
      <c r="D260" t="s">
        <v>27</v>
      </c>
      <c r="E260" t="s">
        <v>55</v>
      </c>
      <c r="F260" s="1">
        <v>116911960</v>
      </c>
      <c r="G260" s="1">
        <v>338062150</v>
      </c>
    </row>
    <row r="261" spans="1:16" x14ac:dyDescent="0.3">
      <c r="A261" s="32">
        <v>21</v>
      </c>
      <c r="B261" s="9">
        <v>2001</v>
      </c>
      <c r="C261">
        <v>1998</v>
      </c>
      <c r="D261" t="s">
        <v>27</v>
      </c>
      <c r="E261" t="s">
        <v>55</v>
      </c>
      <c r="F261" s="1">
        <v>157196897</v>
      </c>
      <c r="G261" s="1">
        <v>318298954</v>
      </c>
    </row>
    <row r="262" spans="1:16" x14ac:dyDescent="0.3">
      <c r="A262" s="32">
        <v>21</v>
      </c>
      <c r="B262" s="9">
        <v>2001</v>
      </c>
      <c r="C262">
        <v>1997</v>
      </c>
      <c r="D262" t="s">
        <v>27</v>
      </c>
      <c r="E262" t="s">
        <v>55</v>
      </c>
      <c r="F262" s="1">
        <v>188175252</v>
      </c>
      <c r="G262" s="1">
        <v>400162786</v>
      </c>
    </row>
    <row r="263" spans="1:16" x14ac:dyDescent="0.3">
      <c r="A263" s="33">
        <v>21</v>
      </c>
      <c r="B263" s="30">
        <v>2001</v>
      </c>
      <c r="C263" s="5">
        <v>1996</v>
      </c>
      <c r="D263" s="5" t="s">
        <v>27</v>
      </c>
      <c r="E263" s="5" t="s">
        <v>55</v>
      </c>
      <c r="F263" s="6">
        <v>40092150</v>
      </c>
      <c r="G263" s="6">
        <v>129260582</v>
      </c>
      <c r="H263" s="5"/>
      <c r="I263" s="5"/>
      <c r="J263" s="5"/>
      <c r="K263" s="5"/>
      <c r="L263" s="5"/>
      <c r="M263" s="5"/>
      <c r="N263" s="5"/>
      <c r="O263" s="88"/>
      <c r="P263" s="88"/>
    </row>
    <row r="264" spans="1:16" x14ac:dyDescent="0.3">
      <c r="A264" s="32">
        <v>18</v>
      </c>
      <c r="B264" t="s">
        <v>58</v>
      </c>
      <c r="C264">
        <v>2000</v>
      </c>
      <c r="D264" t="s">
        <v>27</v>
      </c>
      <c r="E264" t="s">
        <v>59</v>
      </c>
      <c r="F264" s="1">
        <v>3861618</v>
      </c>
      <c r="G264" s="1">
        <v>1956995</v>
      </c>
      <c r="H264" s="14">
        <f>AVERAGE(F267:F272)</f>
        <v>14284572.333333334</v>
      </c>
      <c r="I264" s="14">
        <f>AVERAGE(G267:G272)</f>
        <v>10377241.666666666</v>
      </c>
      <c r="J264" s="20">
        <f>F264/H264</f>
        <v>0.27033486966836506</v>
      </c>
      <c r="K264" s="20">
        <f>G264/I264</f>
        <v>0.18858527755850343</v>
      </c>
      <c r="L264" s="21">
        <f>K264-1</f>
        <v>-0.81141472244149659</v>
      </c>
      <c r="M264" s="22">
        <f>I264-G264</f>
        <v>8420246.666666666</v>
      </c>
      <c r="N264" s="3">
        <f>M264*1.52</f>
        <v>12798774.933333332</v>
      </c>
      <c r="O264" s="86" t="s">
        <v>145</v>
      </c>
      <c r="P264" s="86" t="s">
        <v>183</v>
      </c>
    </row>
    <row r="265" spans="1:16" x14ac:dyDescent="0.3">
      <c r="A265" s="32">
        <v>18</v>
      </c>
      <c r="B265" t="s">
        <v>58</v>
      </c>
      <c r="C265">
        <v>1999</v>
      </c>
      <c r="D265" t="s">
        <v>27</v>
      </c>
      <c r="E265" t="s">
        <v>59</v>
      </c>
      <c r="F265" s="1">
        <v>3494416</v>
      </c>
      <c r="G265" s="1">
        <v>5707098</v>
      </c>
      <c r="J265" s="60">
        <f>F265/H264</f>
        <v>0.24462867480083464</v>
      </c>
      <c r="K265" s="20">
        <f>G265/I264</f>
        <v>0.5499629076127327</v>
      </c>
      <c r="L265" s="65">
        <f>K265-1</f>
        <v>-0.4500370923872673</v>
      </c>
      <c r="M265" s="1">
        <f>I264-G265</f>
        <v>4670143.666666666</v>
      </c>
      <c r="N265" s="3">
        <f>M265*1.57</f>
        <v>7332125.5566666657</v>
      </c>
    </row>
    <row r="266" spans="1:16" x14ac:dyDescent="0.3">
      <c r="A266" s="32">
        <v>18</v>
      </c>
      <c r="B266" t="s">
        <v>58</v>
      </c>
      <c r="C266">
        <v>1998</v>
      </c>
      <c r="D266" t="s">
        <v>27</v>
      </c>
      <c r="E266" t="s">
        <v>59</v>
      </c>
      <c r="F266" s="1">
        <v>7207941</v>
      </c>
      <c r="G266" s="1">
        <v>3876544</v>
      </c>
      <c r="J266" s="60">
        <f>F266/H264</f>
        <v>0.50459620573869934</v>
      </c>
      <c r="K266" s="20">
        <f>G266/I264</f>
        <v>0.37356208176707206</v>
      </c>
      <c r="L266" s="65">
        <f>K266-1</f>
        <v>-0.62643791823292794</v>
      </c>
      <c r="M266" s="1">
        <f>I264-G266</f>
        <v>6500697.666666666</v>
      </c>
      <c r="N266" s="3">
        <f>M266*1.59</f>
        <v>10336109.289999999</v>
      </c>
    </row>
    <row r="267" spans="1:16" x14ac:dyDescent="0.3">
      <c r="A267" s="32">
        <v>18</v>
      </c>
      <c r="B267" t="s">
        <v>58</v>
      </c>
      <c r="C267">
        <v>1997</v>
      </c>
      <c r="D267" t="s">
        <v>27</v>
      </c>
      <c r="E267" t="s">
        <v>59</v>
      </c>
      <c r="F267" s="1">
        <v>7774198</v>
      </c>
      <c r="G267" s="1">
        <v>7307369</v>
      </c>
    </row>
    <row r="268" spans="1:16" x14ac:dyDescent="0.3">
      <c r="A268" s="32">
        <v>18</v>
      </c>
      <c r="B268" t="s">
        <v>58</v>
      </c>
      <c r="C268">
        <v>1996</v>
      </c>
      <c r="D268" t="s">
        <v>27</v>
      </c>
      <c r="E268" t="s">
        <v>59</v>
      </c>
      <c r="F268" s="1">
        <v>16855835</v>
      </c>
      <c r="G268" s="1">
        <v>7086573</v>
      </c>
    </row>
    <row r="269" spans="1:16" x14ac:dyDescent="0.3">
      <c r="A269" s="32">
        <v>18</v>
      </c>
      <c r="B269" t="s">
        <v>58</v>
      </c>
      <c r="C269">
        <v>1995</v>
      </c>
      <c r="D269" t="s">
        <v>27</v>
      </c>
      <c r="E269" t="s">
        <v>59</v>
      </c>
      <c r="F269" s="1">
        <v>18763549</v>
      </c>
      <c r="G269" s="1">
        <v>10773607</v>
      </c>
    </row>
    <row r="270" spans="1:16" x14ac:dyDescent="0.3">
      <c r="A270" s="32">
        <v>18</v>
      </c>
      <c r="B270" t="s">
        <v>58</v>
      </c>
      <c r="C270">
        <v>1994</v>
      </c>
      <c r="D270" t="s">
        <v>27</v>
      </c>
      <c r="E270" t="s">
        <v>59</v>
      </c>
      <c r="F270" s="1">
        <v>14674108</v>
      </c>
      <c r="G270" s="1">
        <v>10523990</v>
      </c>
    </row>
    <row r="271" spans="1:16" x14ac:dyDescent="0.3">
      <c r="A271" s="32">
        <v>18</v>
      </c>
      <c r="B271" t="s">
        <v>58</v>
      </c>
      <c r="C271">
        <v>1993</v>
      </c>
      <c r="D271" t="s">
        <v>27</v>
      </c>
      <c r="E271" t="s">
        <v>59</v>
      </c>
      <c r="F271" s="1">
        <v>10066980</v>
      </c>
      <c r="G271" s="1">
        <v>9840114</v>
      </c>
    </row>
    <row r="272" spans="1:16" x14ac:dyDescent="0.3">
      <c r="A272" s="33">
        <v>18</v>
      </c>
      <c r="B272" s="5" t="s">
        <v>58</v>
      </c>
      <c r="C272" s="5">
        <v>1992</v>
      </c>
      <c r="D272" s="5" t="s">
        <v>27</v>
      </c>
      <c r="E272" s="5" t="s">
        <v>59</v>
      </c>
      <c r="F272" s="6">
        <v>17572764</v>
      </c>
      <c r="G272" s="6">
        <v>16731797</v>
      </c>
      <c r="H272" s="5"/>
      <c r="I272" s="5"/>
      <c r="J272" s="5"/>
      <c r="K272" s="5"/>
      <c r="L272" s="5"/>
      <c r="M272" s="5"/>
      <c r="N272" s="5"/>
      <c r="O272" s="88"/>
      <c r="P272" s="88"/>
    </row>
    <row r="273" spans="1:16" x14ac:dyDescent="0.3">
      <c r="A273" s="32">
        <v>17</v>
      </c>
      <c r="B273">
        <v>2000</v>
      </c>
      <c r="C273">
        <v>2000</v>
      </c>
      <c r="D273" t="s">
        <v>27</v>
      </c>
      <c r="E273" t="s">
        <v>55</v>
      </c>
      <c r="F273" s="1">
        <v>22782665</v>
      </c>
      <c r="G273" s="1">
        <v>79513641</v>
      </c>
      <c r="H273" s="14">
        <f>AVERAGE(F274:F278)</f>
        <v>109327993.8</v>
      </c>
      <c r="I273" s="14">
        <f>AVERAGE(G274:G278)</f>
        <v>284016245.60000002</v>
      </c>
      <c r="J273" s="20">
        <f>F273/H273</f>
        <v>0.20838821063228913</v>
      </c>
      <c r="K273" s="20">
        <f>G273/I273</f>
        <v>0.27996159456309633</v>
      </c>
      <c r="L273" s="21">
        <f>K273-1</f>
        <v>-0.72003840543690367</v>
      </c>
      <c r="M273" s="22">
        <f>I273-G273</f>
        <v>204502604.60000002</v>
      </c>
      <c r="N273" s="3">
        <f>M273*1.47</f>
        <v>300618828.76200002</v>
      </c>
      <c r="O273" s="86" t="s">
        <v>145</v>
      </c>
      <c r="P273" s="86" t="s">
        <v>183</v>
      </c>
    </row>
    <row r="274" spans="1:16" x14ac:dyDescent="0.3">
      <c r="A274" s="32">
        <v>17</v>
      </c>
      <c r="B274">
        <v>2000</v>
      </c>
      <c r="C274">
        <v>1999</v>
      </c>
      <c r="D274" t="s">
        <v>27</v>
      </c>
      <c r="E274" t="s">
        <v>55</v>
      </c>
      <c r="F274" s="1">
        <v>116911960</v>
      </c>
      <c r="G274" s="1">
        <v>338062150</v>
      </c>
    </row>
    <row r="275" spans="1:16" x14ac:dyDescent="0.3">
      <c r="A275" s="32">
        <v>17</v>
      </c>
      <c r="B275">
        <v>2000</v>
      </c>
      <c r="C275">
        <v>1998</v>
      </c>
      <c r="D275" t="s">
        <v>27</v>
      </c>
      <c r="E275" t="s">
        <v>55</v>
      </c>
      <c r="F275" s="1">
        <v>157196897</v>
      </c>
      <c r="G275" s="1">
        <v>318298954</v>
      </c>
    </row>
    <row r="276" spans="1:16" x14ac:dyDescent="0.3">
      <c r="A276" s="32">
        <v>17</v>
      </c>
      <c r="B276">
        <v>2000</v>
      </c>
      <c r="C276">
        <v>1997</v>
      </c>
      <c r="D276" t="s">
        <v>27</v>
      </c>
      <c r="E276" t="s">
        <v>55</v>
      </c>
      <c r="F276" s="1">
        <v>188175252</v>
      </c>
      <c r="G276" s="1">
        <v>400162786</v>
      </c>
    </row>
    <row r="277" spans="1:16" x14ac:dyDescent="0.3">
      <c r="A277" s="32">
        <v>17</v>
      </c>
      <c r="B277">
        <v>2000</v>
      </c>
      <c r="C277">
        <v>1996</v>
      </c>
      <c r="D277" t="s">
        <v>27</v>
      </c>
      <c r="E277" t="s">
        <v>55</v>
      </c>
      <c r="F277" s="1">
        <v>40092150</v>
      </c>
      <c r="G277" s="1">
        <v>129260582</v>
      </c>
    </row>
    <row r="278" spans="1:16" x14ac:dyDescent="0.3">
      <c r="A278" s="33">
        <v>17</v>
      </c>
      <c r="B278" s="5">
        <v>2000</v>
      </c>
      <c r="C278" s="5">
        <v>1995</v>
      </c>
      <c r="D278" s="5" t="s">
        <v>27</v>
      </c>
      <c r="E278" s="5" t="s">
        <v>55</v>
      </c>
      <c r="F278" s="6">
        <v>44263710</v>
      </c>
      <c r="G278" s="6">
        <v>234296756</v>
      </c>
      <c r="H278" s="5"/>
      <c r="I278" s="5"/>
      <c r="J278" s="5"/>
      <c r="K278" s="5"/>
      <c r="L278" s="5"/>
      <c r="M278" s="5"/>
      <c r="N278" s="5"/>
      <c r="O278" s="88"/>
      <c r="P278" s="88"/>
    </row>
    <row r="279" spans="1:16" x14ac:dyDescent="0.3">
      <c r="A279" s="29">
        <v>19</v>
      </c>
      <c r="B279" s="17">
        <v>1999</v>
      </c>
      <c r="C279">
        <v>1999</v>
      </c>
      <c r="D279" s="17" t="s">
        <v>75</v>
      </c>
      <c r="E279" s="17" t="s">
        <v>76</v>
      </c>
      <c r="F279" s="14"/>
      <c r="G279" s="14"/>
      <c r="H279" s="13"/>
      <c r="I279" s="13"/>
      <c r="J279" s="13"/>
      <c r="K279" s="13"/>
      <c r="L279" s="13"/>
      <c r="M279" s="22">
        <v>9000000</v>
      </c>
      <c r="N279" s="22">
        <f>M279*1.57</f>
        <v>14130000</v>
      </c>
      <c r="O279" s="86" t="s">
        <v>156</v>
      </c>
      <c r="P279" s="86" t="s">
        <v>157</v>
      </c>
    </row>
    <row r="280" spans="1:16" x14ac:dyDescent="0.3">
      <c r="A280" s="29">
        <v>19</v>
      </c>
      <c r="B280" s="17">
        <v>1999</v>
      </c>
      <c r="C280">
        <v>1998</v>
      </c>
      <c r="D280" s="17" t="s">
        <v>75</v>
      </c>
      <c r="E280" s="17" t="s">
        <v>76</v>
      </c>
      <c r="F280" s="14"/>
      <c r="G280" s="14"/>
      <c r="H280" s="13"/>
      <c r="I280" s="13"/>
      <c r="J280" s="13"/>
      <c r="K280" s="13"/>
      <c r="L280" s="13"/>
      <c r="M280" s="13"/>
      <c r="N280" s="13"/>
    </row>
    <row r="281" spans="1:16" x14ac:dyDescent="0.3">
      <c r="A281" s="29">
        <v>19</v>
      </c>
      <c r="B281" s="17">
        <v>1999</v>
      </c>
      <c r="C281">
        <v>1997</v>
      </c>
      <c r="D281" s="17" t="s">
        <v>75</v>
      </c>
      <c r="E281" s="17" t="s">
        <v>76</v>
      </c>
      <c r="F281" s="14"/>
      <c r="G281" s="14"/>
      <c r="H281" s="13"/>
      <c r="I281" s="13"/>
      <c r="J281" s="13"/>
      <c r="K281" s="13"/>
      <c r="L281" s="13"/>
      <c r="M281" s="13"/>
      <c r="N281" s="13"/>
    </row>
    <row r="282" spans="1:16" x14ac:dyDescent="0.3">
      <c r="A282" s="29">
        <v>19</v>
      </c>
      <c r="B282" s="17">
        <v>1999</v>
      </c>
      <c r="C282">
        <v>1996</v>
      </c>
      <c r="D282" s="17" t="s">
        <v>75</v>
      </c>
      <c r="E282" s="17" t="s">
        <v>76</v>
      </c>
      <c r="F282" s="14"/>
      <c r="G282" s="14"/>
      <c r="H282" s="13"/>
      <c r="I282" s="13"/>
      <c r="J282" s="13"/>
      <c r="K282" s="13"/>
      <c r="L282" s="13"/>
      <c r="M282" s="13"/>
      <c r="N282" s="13"/>
    </row>
    <row r="283" spans="1:16" x14ac:dyDescent="0.3">
      <c r="A283" s="29">
        <v>19</v>
      </c>
      <c r="B283" s="17">
        <v>1999</v>
      </c>
      <c r="C283">
        <v>1995</v>
      </c>
      <c r="D283" s="17" t="s">
        <v>75</v>
      </c>
      <c r="E283" s="17" t="s">
        <v>76</v>
      </c>
      <c r="F283" s="14"/>
      <c r="G283" s="14"/>
      <c r="H283" s="13"/>
      <c r="I283" s="13"/>
      <c r="J283" s="13"/>
      <c r="K283" s="13"/>
      <c r="L283" s="13"/>
      <c r="M283" s="13"/>
      <c r="N283" s="13"/>
    </row>
    <row r="284" spans="1:16" x14ac:dyDescent="0.3">
      <c r="A284" s="30">
        <v>19</v>
      </c>
      <c r="B284" s="18">
        <v>1999</v>
      </c>
      <c r="C284" s="5">
        <v>1994</v>
      </c>
      <c r="D284" s="18" t="s">
        <v>75</v>
      </c>
      <c r="E284" s="18" t="s">
        <v>76</v>
      </c>
      <c r="F284" s="6"/>
      <c r="G284" s="6"/>
      <c r="H284" s="5"/>
      <c r="I284" s="5"/>
      <c r="J284" s="5"/>
      <c r="K284" s="5"/>
      <c r="L284" s="5"/>
      <c r="M284" s="5"/>
      <c r="N284" s="5"/>
      <c r="O284" s="88"/>
      <c r="P284" s="88"/>
    </row>
    <row r="285" spans="1:16" ht="28.8" x14ac:dyDescent="0.3">
      <c r="A285" s="7">
        <v>15</v>
      </c>
      <c r="B285" s="9">
        <v>1999</v>
      </c>
      <c r="C285">
        <v>1999</v>
      </c>
      <c r="D285" t="s">
        <v>23</v>
      </c>
      <c r="E285" t="s">
        <v>60</v>
      </c>
      <c r="F285" s="1">
        <v>67913933</v>
      </c>
      <c r="G285" s="1">
        <v>60286590</v>
      </c>
      <c r="H285" s="14">
        <f>AVERAGE(F286:F290)</f>
        <v>65409325</v>
      </c>
      <c r="I285" s="14">
        <f>AVERAGE(G286:G290)</f>
        <v>53874186.600000001</v>
      </c>
      <c r="J285" s="20">
        <f>F285/H285</f>
        <v>1.0382912986795079</v>
      </c>
      <c r="K285" s="20">
        <f>G285/I285</f>
        <v>1.1190255260392181</v>
      </c>
      <c r="L285" s="21">
        <f>K285-1</f>
        <v>0.11902552603921812</v>
      </c>
      <c r="M285" s="22">
        <f>I285-G285</f>
        <v>-6412403.3999999985</v>
      </c>
      <c r="N285" s="3">
        <f>M285*1.57</f>
        <v>-10067473.337999998</v>
      </c>
      <c r="O285" s="86" t="s">
        <v>148</v>
      </c>
      <c r="P285" s="86" t="s">
        <v>182</v>
      </c>
    </row>
    <row r="286" spans="1:16" x14ac:dyDescent="0.3">
      <c r="A286" s="7">
        <v>15</v>
      </c>
      <c r="B286" s="9">
        <v>1999</v>
      </c>
      <c r="C286">
        <v>1998</v>
      </c>
      <c r="D286" t="s">
        <v>23</v>
      </c>
      <c r="E286" t="s">
        <v>60</v>
      </c>
      <c r="F286" s="1">
        <v>69909657</v>
      </c>
      <c r="G286" s="1">
        <v>59995947</v>
      </c>
    </row>
    <row r="287" spans="1:16" x14ac:dyDescent="0.3">
      <c r="A287" s="7">
        <v>15</v>
      </c>
      <c r="B287" s="9">
        <v>1999</v>
      </c>
      <c r="C287">
        <v>1997</v>
      </c>
      <c r="D287" t="s">
        <v>23</v>
      </c>
      <c r="E287" t="s">
        <v>60</v>
      </c>
      <c r="F287" s="1">
        <v>62451443</v>
      </c>
      <c r="G287" s="1">
        <v>50710934</v>
      </c>
    </row>
    <row r="288" spans="1:16" x14ac:dyDescent="0.3">
      <c r="A288" s="7">
        <v>15</v>
      </c>
      <c r="B288" s="9">
        <v>1999</v>
      </c>
      <c r="C288">
        <v>1996</v>
      </c>
      <c r="D288" t="s">
        <v>23</v>
      </c>
      <c r="E288" t="s">
        <v>60</v>
      </c>
      <c r="F288" s="1">
        <v>75811319</v>
      </c>
      <c r="G288" s="1">
        <v>58934193</v>
      </c>
    </row>
    <row r="289" spans="1:16" x14ac:dyDescent="0.3">
      <c r="A289" s="7">
        <v>15</v>
      </c>
      <c r="B289" s="9">
        <v>1999</v>
      </c>
      <c r="C289">
        <v>1995</v>
      </c>
      <c r="D289" t="s">
        <v>23</v>
      </c>
      <c r="E289" t="s">
        <v>60</v>
      </c>
      <c r="F289" s="1">
        <v>56127687</v>
      </c>
      <c r="G289" s="1">
        <v>54365662</v>
      </c>
    </row>
    <row r="290" spans="1:16" x14ac:dyDescent="0.3">
      <c r="A290" s="15">
        <v>15</v>
      </c>
      <c r="B290" s="30">
        <v>1999</v>
      </c>
      <c r="C290" s="5">
        <v>1994</v>
      </c>
      <c r="D290" s="5" t="s">
        <v>23</v>
      </c>
      <c r="E290" s="5" t="s">
        <v>60</v>
      </c>
      <c r="F290" s="6">
        <v>62746519</v>
      </c>
      <c r="G290" s="6">
        <v>45364197</v>
      </c>
      <c r="H290" s="5"/>
      <c r="I290" s="5"/>
      <c r="J290" s="5"/>
      <c r="K290" s="5"/>
      <c r="L290" s="5"/>
      <c r="M290" s="5"/>
      <c r="N290" s="5"/>
      <c r="O290" s="88"/>
      <c r="P290" s="88"/>
    </row>
    <row r="291" spans="1:16" x14ac:dyDescent="0.3">
      <c r="A291">
        <v>14</v>
      </c>
      <c r="B291">
        <v>1999</v>
      </c>
      <c r="C291">
        <v>1999</v>
      </c>
      <c r="D291" t="s">
        <v>61</v>
      </c>
      <c r="E291" t="s">
        <v>62</v>
      </c>
      <c r="F291" s="1">
        <v>9048236</v>
      </c>
      <c r="G291" s="1">
        <v>34573110</v>
      </c>
      <c r="H291" s="14">
        <f>AVERAGE(F292:F296)</f>
        <v>10322470.4</v>
      </c>
      <c r="I291" s="14">
        <f>AVERAGE(G292:G296)</f>
        <v>34794991.799999997</v>
      </c>
      <c r="J291" s="20">
        <f>F291/H291</f>
        <v>0.87655722413115367</v>
      </c>
      <c r="K291" s="20">
        <f>G291/I291</f>
        <v>0.99362316849288645</v>
      </c>
      <c r="L291" s="21">
        <f>K291-1</f>
        <v>-6.3768315071135451E-3</v>
      </c>
      <c r="M291" s="22">
        <f>I291-G291</f>
        <v>221881.79999999702</v>
      </c>
      <c r="N291" s="3">
        <f>M291*1.57</f>
        <v>348354.42599999532</v>
      </c>
      <c r="O291" s="86" t="s">
        <v>145</v>
      </c>
      <c r="P291" s="86" t="s">
        <v>146</v>
      </c>
    </row>
    <row r="292" spans="1:16" x14ac:dyDescent="0.3">
      <c r="A292">
        <v>14</v>
      </c>
      <c r="B292">
        <v>1999</v>
      </c>
      <c r="C292">
        <v>1998</v>
      </c>
      <c r="D292" t="s">
        <v>61</v>
      </c>
      <c r="E292" t="s">
        <v>62</v>
      </c>
      <c r="F292" s="1">
        <v>11612113</v>
      </c>
      <c r="G292" s="1">
        <v>39777472</v>
      </c>
    </row>
    <row r="293" spans="1:16" x14ac:dyDescent="0.3">
      <c r="A293">
        <v>14</v>
      </c>
      <c r="B293">
        <v>1999</v>
      </c>
      <c r="C293">
        <v>1997</v>
      </c>
      <c r="D293" t="s">
        <v>61</v>
      </c>
      <c r="E293" t="s">
        <v>62</v>
      </c>
      <c r="F293" s="1">
        <v>12346446</v>
      </c>
      <c r="G293" s="1">
        <v>42178243</v>
      </c>
    </row>
    <row r="294" spans="1:16" x14ac:dyDescent="0.3">
      <c r="A294">
        <v>14</v>
      </c>
      <c r="B294">
        <v>1999</v>
      </c>
      <c r="C294">
        <v>1996</v>
      </c>
      <c r="D294" t="s">
        <v>61</v>
      </c>
      <c r="E294" t="s">
        <v>62</v>
      </c>
      <c r="F294" s="1">
        <v>12297202</v>
      </c>
      <c r="G294" s="1">
        <v>42745821</v>
      </c>
    </row>
    <row r="295" spans="1:16" x14ac:dyDescent="0.3">
      <c r="A295">
        <v>14</v>
      </c>
      <c r="B295">
        <v>1999</v>
      </c>
      <c r="C295">
        <v>1995</v>
      </c>
      <c r="D295" t="s">
        <v>61</v>
      </c>
      <c r="E295" t="s">
        <v>62</v>
      </c>
      <c r="F295" s="1">
        <v>9189957</v>
      </c>
      <c r="G295" s="1">
        <v>30157223</v>
      </c>
    </row>
    <row r="296" spans="1:16" x14ac:dyDescent="0.3">
      <c r="A296" s="5">
        <v>14</v>
      </c>
      <c r="B296" s="5">
        <v>1999</v>
      </c>
      <c r="C296" s="5">
        <v>1994</v>
      </c>
      <c r="D296" s="5" t="s">
        <v>61</v>
      </c>
      <c r="E296" s="5" t="s">
        <v>62</v>
      </c>
      <c r="F296" s="6">
        <v>6166634</v>
      </c>
      <c r="G296" s="6">
        <v>19116200</v>
      </c>
      <c r="H296" s="5"/>
      <c r="I296" s="5"/>
      <c r="J296" s="5"/>
      <c r="K296" s="5"/>
      <c r="L296" s="5"/>
      <c r="M296" s="5"/>
      <c r="N296" s="5"/>
      <c r="O296" s="88"/>
      <c r="P296" s="88"/>
    </row>
    <row r="297" spans="1:16" ht="57.6" x14ac:dyDescent="0.3">
      <c r="A297" s="17">
        <v>13</v>
      </c>
      <c r="B297">
        <v>1999</v>
      </c>
      <c r="C297">
        <v>1999</v>
      </c>
      <c r="D297" s="17" t="s">
        <v>85</v>
      </c>
      <c r="E297" s="17" t="s">
        <v>84</v>
      </c>
      <c r="F297" s="14">
        <v>618084911.78999996</v>
      </c>
      <c r="G297" s="41">
        <v>87321808</v>
      </c>
      <c r="H297" s="14">
        <f>AVERAGE(F298:F302)</f>
        <v>459797637.24479997</v>
      </c>
      <c r="I297" s="14">
        <f>AVERAGE(G298:G302)</f>
        <v>97939412</v>
      </c>
      <c r="J297" s="20">
        <f>F297/H297</f>
        <v>1.3442542147317007</v>
      </c>
      <c r="K297" s="20">
        <f>G297/I297</f>
        <v>0.89159007815975044</v>
      </c>
      <c r="L297" s="21">
        <f>K297-1</f>
        <v>-0.10840992184024956</v>
      </c>
      <c r="M297" s="22">
        <f>I297-G297</f>
        <v>10617604</v>
      </c>
      <c r="N297" s="3">
        <f>M297*1.57</f>
        <v>16669638.280000001</v>
      </c>
      <c r="O297" s="86" t="s">
        <v>148</v>
      </c>
      <c r="P297" s="86" t="s">
        <v>184</v>
      </c>
    </row>
    <row r="298" spans="1:16" x14ac:dyDescent="0.3">
      <c r="A298" s="17">
        <v>13</v>
      </c>
      <c r="B298">
        <v>1999</v>
      </c>
      <c r="C298">
        <v>1998</v>
      </c>
      <c r="D298" s="17" t="s">
        <v>85</v>
      </c>
      <c r="E298" s="17" t="s">
        <v>84</v>
      </c>
      <c r="F298" s="14">
        <v>616451065.96500003</v>
      </c>
      <c r="G298" s="14">
        <v>71766172</v>
      </c>
      <c r="H298" s="13"/>
      <c r="I298" s="13"/>
      <c r="J298" s="13"/>
      <c r="K298" s="13"/>
      <c r="L298" s="13"/>
      <c r="M298" s="13"/>
      <c r="N298" s="13"/>
    </row>
    <row r="299" spans="1:16" x14ac:dyDescent="0.3">
      <c r="A299" s="17">
        <v>13</v>
      </c>
      <c r="B299">
        <v>1999</v>
      </c>
      <c r="C299">
        <v>1997</v>
      </c>
      <c r="D299" s="17" t="s">
        <v>85</v>
      </c>
      <c r="E299" s="17" t="s">
        <v>84</v>
      </c>
      <c r="F299" s="14">
        <v>665544704.79999995</v>
      </c>
      <c r="G299" s="14">
        <v>114545889</v>
      </c>
      <c r="H299" s="13"/>
      <c r="I299" s="13"/>
      <c r="J299" s="13"/>
      <c r="K299" s="13"/>
      <c r="L299" s="13"/>
      <c r="M299" s="13"/>
      <c r="N299" s="13"/>
    </row>
    <row r="300" spans="1:16" x14ac:dyDescent="0.3">
      <c r="A300" s="17">
        <v>13</v>
      </c>
      <c r="B300">
        <v>1999</v>
      </c>
      <c r="C300">
        <v>1996</v>
      </c>
      <c r="D300" s="17" t="s">
        <v>85</v>
      </c>
      <c r="E300" s="17" t="s">
        <v>84</v>
      </c>
      <c r="F300" s="14">
        <v>356891805.74199998</v>
      </c>
      <c r="G300" s="14">
        <v>104240480</v>
      </c>
      <c r="H300" s="13"/>
      <c r="I300" s="13"/>
      <c r="J300" s="13"/>
      <c r="K300" s="13"/>
      <c r="L300" s="13"/>
      <c r="M300" s="13"/>
      <c r="N300" s="13"/>
    </row>
    <row r="301" spans="1:16" x14ac:dyDescent="0.3">
      <c r="A301" s="17">
        <v>13</v>
      </c>
      <c r="B301">
        <v>1999</v>
      </c>
      <c r="C301">
        <v>1995</v>
      </c>
      <c r="D301" s="17" t="s">
        <v>85</v>
      </c>
      <c r="E301" s="17" t="s">
        <v>84</v>
      </c>
      <c r="F301" s="14">
        <v>324630460.60500002</v>
      </c>
      <c r="G301" s="14">
        <v>108502544</v>
      </c>
      <c r="H301" s="13"/>
      <c r="I301" s="13"/>
      <c r="J301" s="13"/>
      <c r="K301" s="13"/>
      <c r="L301" s="13"/>
      <c r="M301" s="13"/>
      <c r="N301" s="13"/>
    </row>
    <row r="302" spans="1:16" x14ac:dyDescent="0.3">
      <c r="A302" s="18">
        <v>13</v>
      </c>
      <c r="B302" s="5">
        <v>1999</v>
      </c>
      <c r="C302" s="5">
        <v>1994</v>
      </c>
      <c r="D302" s="18" t="s">
        <v>85</v>
      </c>
      <c r="E302" s="18" t="s">
        <v>84</v>
      </c>
      <c r="F302" s="6">
        <v>335470149.11199999</v>
      </c>
      <c r="G302" s="6">
        <v>90641975</v>
      </c>
      <c r="H302" s="5"/>
      <c r="I302" s="5"/>
      <c r="J302" s="5"/>
      <c r="K302" s="5"/>
      <c r="L302" s="5"/>
      <c r="M302" s="5"/>
      <c r="N302" s="5"/>
      <c r="O302" s="88"/>
      <c r="P302" s="88"/>
    </row>
    <row r="303" spans="1:16" ht="45" customHeight="1" x14ac:dyDescent="0.3">
      <c r="A303">
        <v>12</v>
      </c>
      <c r="B303">
        <v>1998</v>
      </c>
      <c r="C303">
        <v>1998</v>
      </c>
      <c r="D303" t="s">
        <v>26</v>
      </c>
      <c r="E303" t="s">
        <v>63</v>
      </c>
      <c r="F303">
        <v>6658034</v>
      </c>
      <c r="G303">
        <v>67724</v>
      </c>
      <c r="H303" s="14">
        <f>AVERAGE(F304:F308)</f>
        <v>7396537.5999999996</v>
      </c>
      <c r="I303" s="14">
        <f>AVERAGE(G304:G308)</f>
        <v>68551.600000000006</v>
      </c>
      <c r="J303" s="20">
        <f>F303/H303</f>
        <v>0.90015549978411524</v>
      </c>
      <c r="K303" s="20">
        <f>G303/I303</f>
        <v>0.98792734232315504</v>
      </c>
      <c r="L303" s="21">
        <f>K303-1</f>
        <v>-1.2072657676844956E-2</v>
      </c>
      <c r="M303" s="22">
        <f>I303-G303</f>
        <v>827.60000000000582</v>
      </c>
      <c r="N303" s="3">
        <f>M303*1.59</f>
        <v>1315.8840000000093</v>
      </c>
      <c r="O303" s="86" t="s">
        <v>145</v>
      </c>
      <c r="P303" s="86" t="s">
        <v>152</v>
      </c>
    </row>
    <row r="304" spans="1:16" x14ac:dyDescent="0.3">
      <c r="A304">
        <v>12</v>
      </c>
      <c r="B304">
        <v>1998</v>
      </c>
      <c r="C304">
        <v>1997</v>
      </c>
      <c r="D304" t="s">
        <v>26</v>
      </c>
      <c r="E304" t="s">
        <v>63</v>
      </c>
      <c r="F304" s="1">
        <v>7890347</v>
      </c>
      <c r="G304" s="1">
        <v>76451</v>
      </c>
    </row>
    <row r="305" spans="1:16" x14ac:dyDescent="0.3">
      <c r="A305">
        <v>12</v>
      </c>
      <c r="B305">
        <v>1998</v>
      </c>
      <c r="C305">
        <v>1996</v>
      </c>
      <c r="D305" t="s">
        <v>26</v>
      </c>
      <c r="E305" t="s">
        <v>63</v>
      </c>
      <c r="F305" s="1">
        <v>8313328</v>
      </c>
      <c r="G305" s="1">
        <v>74103</v>
      </c>
    </row>
    <row r="306" spans="1:16" x14ac:dyDescent="0.3">
      <c r="A306">
        <v>12</v>
      </c>
      <c r="B306">
        <v>1998</v>
      </c>
      <c r="C306">
        <v>1995</v>
      </c>
      <c r="D306" t="s">
        <v>26</v>
      </c>
      <c r="E306" t="s">
        <v>63</v>
      </c>
      <c r="F306" s="1">
        <v>7425540</v>
      </c>
      <c r="G306" s="1">
        <v>65909</v>
      </c>
    </row>
    <row r="307" spans="1:16" x14ac:dyDescent="0.3">
      <c r="A307">
        <v>12</v>
      </c>
      <c r="B307">
        <v>1998</v>
      </c>
      <c r="C307">
        <v>1994</v>
      </c>
      <c r="D307" t="s">
        <v>26</v>
      </c>
      <c r="E307" t="s">
        <v>63</v>
      </c>
      <c r="F307" s="1">
        <v>7594211</v>
      </c>
      <c r="G307" s="1">
        <v>61471</v>
      </c>
    </row>
    <row r="308" spans="1:16" x14ac:dyDescent="0.3">
      <c r="A308" s="5">
        <v>12</v>
      </c>
      <c r="B308" s="5">
        <v>1998</v>
      </c>
      <c r="C308" s="5">
        <v>1993</v>
      </c>
      <c r="D308" s="5" t="s">
        <v>26</v>
      </c>
      <c r="E308" s="5" t="s">
        <v>63</v>
      </c>
      <c r="F308" s="6">
        <v>5759262</v>
      </c>
      <c r="G308" s="6">
        <v>64824</v>
      </c>
      <c r="H308" s="5"/>
      <c r="I308" s="5"/>
      <c r="J308" s="5"/>
      <c r="K308" s="5"/>
      <c r="L308" s="5"/>
      <c r="M308" s="5"/>
      <c r="N308" s="5"/>
      <c r="O308" s="88"/>
      <c r="P308" s="88"/>
    </row>
    <row r="309" spans="1:16" x14ac:dyDescent="0.3">
      <c r="A309" s="32">
        <v>11</v>
      </c>
      <c r="B309">
        <v>1998</v>
      </c>
      <c r="C309">
        <v>1998</v>
      </c>
      <c r="D309" t="s">
        <v>27</v>
      </c>
      <c r="E309" t="s">
        <v>59</v>
      </c>
      <c r="F309" s="1">
        <v>69631243</v>
      </c>
      <c r="G309" s="1">
        <v>74824285</v>
      </c>
      <c r="H309" s="14">
        <f>AVERAGE(F310:F314)</f>
        <v>208130768.59999999</v>
      </c>
      <c r="I309" s="14">
        <f>AVERAGE(G310:G314)</f>
        <v>164892596.80000001</v>
      </c>
      <c r="J309" s="20">
        <f>F309/H309</f>
        <v>0.33455525806384784</v>
      </c>
      <c r="K309" s="20">
        <f>G309/I309</f>
        <v>0.45377589080457731</v>
      </c>
      <c r="L309" s="21">
        <f>K309-1</f>
        <v>-0.54622410919542275</v>
      </c>
      <c r="M309" s="22">
        <f>I309-G309</f>
        <v>90068311.800000012</v>
      </c>
      <c r="N309" s="3">
        <f>M309*1.59</f>
        <v>143208615.76200002</v>
      </c>
      <c r="O309" s="86" t="s">
        <v>145</v>
      </c>
      <c r="P309" s="86" t="s">
        <v>183</v>
      </c>
    </row>
    <row r="310" spans="1:16" x14ac:dyDescent="0.3">
      <c r="A310" s="32">
        <v>11</v>
      </c>
      <c r="B310">
        <v>1998</v>
      </c>
      <c r="C310">
        <v>1997</v>
      </c>
      <c r="D310" t="s">
        <v>27</v>
      </c>
      <c r="E310" t="s">
        <v>59</v>
      </c>
      <c r="F310" s="1">
        <v>82850770</v>
      </c>
      <c r="G310" s="1">
        <v>75761972</v>
      </c>
    </row>
    <row r="311" spans="1:16" x14ac:dyDescent="0.3">
      <c r="A311" s="32">
        <v>11</v>
      </c>
      <c r="B311">
        <v>1998</v>
      </c>
      <c r="C311">
        <v>1996</v>
      </c>
      <c r="D311" t="s">
        <v>27</v>
      </c>
      <c r="E311" t="s">
        <v>59</v>
      </c>
      <c r="F311" s="1">
        <v>209479508</v>
      </c>
      <c r="G311" s="1">
        <v>158616936</v>
      </c>
    </row>
    <row r="312" spans="1:16" x14ac:dyDescent="0.3">
      <c r="A312" s="32">
        <v>11</v>
      </c>
      <c r="B312">
        <v>1998</v>
      </c>
      <c r="C312">
        <v>1995</v>
      </c>
      <c r="D312" t="s">
        <v>27</v>
      </c>
      <c r="E312" t="s">
        <v>59</v>
      </c>
      <c r="F312" s="1">
        <v>269387584</v>
      </c>
      <c r="G312" s="1">
        <v>206529802</v>
      </c>
    </row>
    <row r="313" spans="1:16" x14ac:dyDescent="0.3">
      <c r="A313" s="32">
        <v>11</v>
      </c>
      <c r="B313">
        <v>1998</v>
      </c>
      <c r="C313">
        <v>1994</v>
      </c>
      <c r="D313" t="s">
        <v>27</v>
      </c>
      <c r="E313" t="s">
        <v>59</v>
      </c>
      <c r="F313" s="1">
        <v>218490624</v>
      </c>
      <c r="G313" s="1">
        <v>206862379</v>
      </c>
    </row>
    <row r="314" spans="1:16" x14ac:dyDescent="0.3">
      <c r="A314" s="33">
        <v>11</v>
      </c>
      <c r="B314" s="5">
        <v>1998</v>
      </c>
      <c r="C314" s="5">
        <v>1993</v>
      </c>
      <c r="D314" s="5" t="s">
        <v>27</v>
      </c>
      <c r="E314" s="5" t="s">
        <v>59</v>
      </c>
      <c r="F314" s="6">
        <v>260445357</v>
      </c>
      <c r="G314" s="6">
        <v>176691895</v>
      </c>
      <c r="H314" s="5"/>
      <c r="I314" s="5"/>
      <c r="J314" s="5"/>
      <c r="K314" s="5"/>
      <c r="L314" s="5"/>
      <c r="M314" s="5"/>
      <c r="N314" s="5"/>
      <c r="O314" s="88"/>
      <c r="P314" s="88"/>
    </row>
    <row r="315" spans="1:16" x14ac:dyDescent="0.3">
      <c r="A315" s="32">
        <v>10</v>
      </c>
      <c r="B315">
        <v>1998</v>
      </c>
      <c r="C315">
        <v>1998</v>
      </c>
      <c r="D315" t="s">
        <v>53</v>
      </c>
      <c r="E315" t="s">
        <v>54</v>
      </c>
      <c r="F315" s="1">
        <v>17568014</v>
      </c>
      <c r="G315" s="1">
        <v>14199816</v>
      </c>
      <c r="H315" s="14">
        <f>AVERAGE(F316:F320)</f>
        <v>32718907.600000001</v>
      </c>
      <c r="I315" s="14">
        <f>AVERAGE(G316:G320)</f>
        <v>26691645.800000001</v>
      </c>
      <c r="J315" s="20">
        <f>F315/H315</f>
        <v>0.53693766964273582</v>
      </c>
      <c r="K315" s="20">
        <f>G315/I315</f>
        <v>0.53199477118791971</v>
      </c>
      <c r="L315" s="21">
        <f>K315-1</f>
        <v>-0.46800522881208029</v>
      </c>
      <c r="M315" s="22">
        <f>I315-G315</f>
        <v>12491829.800000001</v>
      </c>
      <c r="N315" s="3">
        <f>M315*1.59</f>
        <v>19862009.382000003</v>
      </c>
      <c r="O315" s="86" t="s">
        <v>145</v>
      </c>
      <c r="P315" s="86" t="s">
        <v>146</v>
      </c>
    </row>
    <row r="316" spans="1:16" x14ac:dyDescent="0.3">
      <c r="A316" s="32">
        <v>10</v>
      </c>
      <c r="B316">
        <v>1998</v>
      </c>
      <c r="C316">
        <v>1997</v>
      </c>
      <c r="D316" t="s">
        <v>53</v>
      </c>
      <c r="E316" t="s">
        <v>54</v>
      </c>
      <c r="F316" s="1">
        <v>30932343</v>
      </c>
      <c r="G316" s="1">
        <v>23568460</v>
      </c>
    </row>
    <row r="317" spans="1:16" x14ac:dyDescent="0.3">
      <c r="A317" s="32">
        <v>10</v>
      </c>
      <c r="B317">
        <v>1998</v>
      </c>
      <c r="C317">
        <v>1996</v>
      </c>
      <c r="D317" t="s">
        <v>53</v>
      </c>
      <c r="E317" t="s">
        <v>54</v>
      </c>
      <c r="F317" s="1">
        <v>21969939</v>
      </c>
      <c r="G317" s="1">
        <v>17534922</v>
      </c>
    </row>
    <row r="318" spans="1:16" x14ac:dyDescent="0.3">
      <c r="A318" s="32">
        <v>10</v>
      </c>
      <c r="B318">
        <v>1998</v>
      </c>
      <c r="C318">
        <v>1995</v>
      </c>
      <c r="D318" t="s">
        <v>53</v>
      </c>
      <c r="E318" t="s">
        <v>54</v>
      </c>
      <c r="F318" s="1">
        <v>35281970</v>
      </c>
      <c r="G318" s="1">
        <v>25845982</v>
      </c>
    </row>
    <row r="319" spans="1:16" x14ac:dyDescent="0.3">
      <c r="A319" s="32">
        <v>10</v>
      </c>
      <c r="B319">
        <v>1998</v>
      </c>
      <c r="C319">
        <v>1994</v>
      </c>
      <c r="D319" t="s">
        <v>53</v>
      </c>
      <c r="E319" t="s">
        <v>54</v>
      </c>
      <c r="F319" s="1">
        <v>33926060</v>
      </c>
      <c r="G319" s="1">
        <v>33067131</v>
      </c>
    </row>
    <row r="320" spans="1:16" x14ac:dyDescent="0.3">
      <c r="A320" s="33">
        <v>10</v>
      </c>
      <c r="B320" s="5">
        <v>1998</v>
      </c>
      <c r="C320" s="5">
        <v>1993</v>
      </c>
      <c r="D320" s="5" t="s">
        <v>53</v>
      </c>
      <c r="E320" s="5" t="s">
        <v>54</v>
      </c>
      <c r="F320" s="6">
        <v>41484226</v>
      </c>
      <c r="G320" s="6">
        <v>33441734</v>
      </c>
      <c r="H320" s="5"/>
      <c r="I320" s="5"/>
      <c r="J320" s="5"/>
      <c r="K320" s="5"/>
      <c r="L320" s="5"/>
      <c r="M320" s="5"/>
      <c r="N320" s="5"/>
      <c r="O320" s="93"/>
      <c r="P320" s="93"/>
    </row>
    <row r="321" spans="1:16" x14ac:dyDescent="0.3">
      <c r="A321" s="7">
        <v>9</v>
      </c>
      <c r="B321">
        <v>1997</v>
      </c>
      <c r="C321">
        <v>1997</v>
      </c>
      <c r="D321" t="s">
        <v>64</v>
      </c>
      <c r="E321" t="s">
        <v>65</v>
      </c>
      <c r="F321" s="1">
        <v>62988716</v>
      </c>
      <c r="G321" s="1">
        <v>112481181</v>
      </c>
      <c r="H321" s="14">
        <f>AVERAGE(F322:F326)</f>
        <v>58907565.200000003</v>
      </c>
      <c r="I321" s="14">
        <f>AVERAGE(G322:G326)</f>
        <v>84528035.400000006</v>
      </c>
      <c r="J321" s="20">
        <f>F321/H321</f>
        <v>1.0692805887689276</v>
      </c>
      <c r="K321" s="20">
        <f>G321/I321</f>
        <v>1.3306967382800428</v>
      </c>
      <c r="L321" s="21">
        <f>K321-1</f>
        <v>0.33069673828004276</v>
      </c>
      <c r="M321" s="22">
        <f>I321-G321</f>
        <v>-27953145.599999994</v>
      </c>
      <c r="N321" s="3">
        <f>M321*1.62</f>
        <v>-45284095.871999994</v>
      </c>
      <c r="O321" s="86" t="s">
        <v>145</v>
      </c>
      <c r="P321" s="86" t="s">
        <v>146</v>
      </c>
    </row>
    <row r="322" spans="1:16" x14ac:dyDescent="0.3">
      <c r="A322" s="7">
        <v>9</v>
      </c>
      <c r="B322">
        <v>1997</v>
      </c>
      <c r="C322">
        <v>1996</v>
      </c>
      <c r="D322" t="s">
        <v>64</v>
      </c>
      <c r="E322" t="s">
        <v>65</v>
      </c>
      <c r="F322" s="1">
        <v>67795221</v>
      </c>
      <c r="G322" s="1">
        <v>89748532</v>
      </c>
    </row>
    <row r="323" spans="1:16" x14ac:dyDescent="0.3">
      <c r="A323" s="7">
        <v>9</v>
      </c>
      <c r="B323">
        <v>1997</v>
      </c>
      <c r="C323">
        <v>1995</v>
      </c>
      <c r="D323" t="s">
        <v>64</v>
      </c>
      <c r="E323" t="s">
        <v>65</v>
      </c>
      <c r="F323" s="1">
        <v>66588255</v>
      </c>
      <c r="G323" s="1">
        <v>93430317</v>
      </c>
    </row>
    <row r="324" spans="1:16" x14ac:dyDescent="0.3">
      <c r="A324" s="7">
        <v>9</v>
      </c>
      <c r="B324">
        <v>1997</v>
      </c>
      <c r="C324">
        <v>1994</v>
      </c>
      <c r="D324" t="s">
        <v>64</v>
      </c>
      <c r="E324" t="s">
        <v>65</v>
      </c>
      <c r="F324" s="1">
        <v>47927182</v>
      </c>
      <c r="G324" s="1">
        <v>86603523</v>
      </c>
    </row>
    <row r="325" spans="1:16" x14ac:dyDescent="0.3">
      <c r="A325" s="7">
        <v>9</v>
      </c>
      <c r="B325">
        <v>1997</v>
      </c>
      <c r="C325">
        <v>1993</v>
      </c>
      <c r="D325" t="s">
        <v>64</v>
      </c>
      <c r="E325" t="s">
        <v>65</v>
      </c>
      <c r="F325">
        <v>57188435</v>
      </c>
      <c r="G325">
        <v>68390580</v>
      </c>
    </row>
    <row r="326" spans="1:16" x14ac:dyDescent="0.3">
      <c r="A326" s="15">
        <v>9</v>
      </c>
      <c r="B326" s="5">
        <v>1997</v>
      </c>
      <c r="C326" s="5">
        <v>1992</v>
      </c>
      <c r="D326" s="5" t="s">
        <v>64</v>
      </c>
      <c r="E326" s="5" t="s">
        <v>65</v>
      </c>
      <c r="F326" s="6">
        <v>55038733</v>
      </c>
      <c r="G326" s="6">
        <v>84467225</v>
      </c>
      <c r="H326" s="5"/>
      <c r="I326" s="5"/>
      <c r="J326" s="5"/>
      <c r="K326" s="5"/>
      <c r="L326" s="5"/>
      <c r="M326" s="5"/>
      <c r="N326" s="5"/>
      <c r="O326" s="88"/>
      <c r="P326" s="88"/>
    </row>
    <row r="327" spans="1:16" x14ac:dyDescent="0.3">
      <c r="A327" s="32">
        <v>7</v>
      </c>
      <c r="B327">
        <v>1997</v>
      </c>
      <c r="C327">
        <v>1997</v>
      </c>
      <c r="D327" t="s">
        <v>66</v>
      </c>
      <c r="E327" t="s">
        <v>59</v>
      </c>
      <c r="F327" s="1">
        <v>79180546</v>
      </c>
      <c r="G327" s="1">
        <v>69893371</v>
      </c>
      <c r="H327" s="14">
        <f>AVERAGE(F328:F332)</f>
        <v>229119949.19999999</v>
      </c>
      <c r="I327" s="14">
        <f>AVERAGE(G328:G332)</f>
        <v>188447449.80000001</v>
      </c>
      <c r="J327" s="20">
        <f>F327/H327</f>
        <v>0.34558556021188225</v>
      </c>
      <c r="K327" s="20">
        <f>G327/I327</f>
        <v>0.37089051124957167</v>
      </c>
      <c r="L327" s="21">
        <f>K327-1</f>
        <v>-0.62910948875042827</v>
      </c>
      <c r="M327" s="22">
        <f>I327-G327</f>
        <v>118554078.80000001</v>
      </c>
      <c r="N327" s="3">
        <f>M327*1.62</f>
        <v>192057607.65600002</v>
      </c>
      <c r="O327" s="86" t="s">
        <v>145</v>
      </c>
      <c r="P327" s="86" t="s">
        <v>183</v>
      </c>
    </row>
    <row r="328" spans="1:16" x14ac:dyDescent="0.3">
      <c r="A328" s="32">
        <v>7</v>
      </c>
      <c r="B328">
        <v>1997</v>
      </c>
      <c r="C328">
        <v>1996</v>
      </c>
      <c r="D328" t="s">
        <v>66</v>
      </c>
      <c r="E328" t="s">
        <v>59</v>
      </c>
      <c r="F328" s="1">
        <v>205863188</v>
      </c>
      <c r="G328" s="1">
        <v>154778656</v>
      </c>
    </row>
    <row r="329" spans="1:16" x14ac:dyDescent="0.3">
      <c r="A329" s="32">
        <v>7</v>
      </c>
      <c r="B329">
        <v>1997</v>
      </c>
      <c r="C329">
        <v>1995</v>
      </c>
      <c r="D329" t="s">
        <v>66</v>
      </c>
      <c r="E329" t="s">
        <v>59</v>
      </c>
      <c r="F329" s="1">
        <v>262906719</v>
      </c>
      <c r="G329" s="1">
        <v>200453826</v>
      </c>
    </row>
    <row r="330" spans="1:16" x14ac:dyDescent="0.3">
      <c r="A330" s="32">
        <v>7</v>
      </c>
      <c r="B330">
        <v>1997</v>
      </c>
      <c r="C330">
        <v>1994</v>
      </c>
      <c r="D330" t="s">
        <v>66</v>
      </c>
      <c r="E330" t="s">
        <v>59</v>
      </c>
      <c r="F330" s="1">
        <v>215701896</v>
      </c>
      <c r="G330" s="1">
        <v>202252903</v>
      </c>
    </row>
    <row r="331" spans="1:16" x14ac:dyDescent="0.3">
      <c r="A331" s="32">
        <v>7</v>
      </c>
      <c r="B331">
        <v>1997</v>
      </c>
      <c r="C331">
        <v>1993</v>
      </c>
      <c r="D331" t="s">
        <v>66</v>
      </c>
      <c r="E331" t="s">
        <v>59</v>
      </c>
      <c r="F331" s="1">
        <v>257633577</v>
      </c>
      <c r="G331" s="1">
        <v>171281050</v>
      </c>
    </row>
    <row r="332" spans="1:16" x14ac:dyDescent="0.3">
      <c r="A332" s="33">
        <v>7</v>
      </c>
      <c r="B332" s="5">
        <v>1997</v>
      </c>
      <c r="C332" s="5">
        <v>1992</v>
      </c>
      <c r="D332" s="5" t="s">
        <v>66</v>
      </c>
      <c r="E332" s="5" t="s">
        <v>59</v>
      </c>
      <c r="F332" s="6">
        <v>203494366</v>
      </c>
      <c r="G332" s="6">
        <v>213470814</v>
      </c>
      <c r="H332" s="5"/>
      <c r="I332" s="5"/>
      <c r="J332" s="5"/>
      <c r="K332" s="5"/>
      <c r="L332" s="5"/>
      <c r="M332" s="5"/>
      <c r="N332" s="5"/>
      <c r="O332" s="88"/>
      <c r="P332" s="88"/>
    </row>
    <row r="333" spans="1:16" x14ac:dyDescent="0.3">
      <c r="A333" s="32">
        <v>6</v>
      </c>
      <c r="B333">
        <v>1995</v>
      </c>
      <c r="C333">
        <v>1995</v>
      </c>
      <c r="D333" t="s">
        <v>53</v>
      </c>
      <c r="E333" t="s">
        <v>59</v>
      </c>
      <c r="F333" s="1">
        <v>35281970</v>
      </c>
      <c r="G333" s="1">
        <v>25845982</v>
      </c>
      <c r="H333" s="14">
        <f>AVERAGE(F334:F338)</f>
        <v>42233636.399999999</v>
      </c>
      <c r="I333" s="14">
        <f>AVERAGE(G334:G338)</f>
        <v>43780522.399999999</v>
      </c>
      <c r="J333" s="20">
        <f>F333/H333</f>
        <v>0.83539976680767181</v>
      </c>
      <c r="K333" s="20">
        <f>G333/I333</f>
        <v>0.590353439912357</v>
      </c>
      <c r="L333" s="21">
        <f>K333-1</f>
        <v>-0.409646560087643</v>
      </c>
      <c r="M333" s="22">
        <f>I333-G333</f>
        <v>17934540.399999999</v>
      </c>
      <c r="N333" s="3">
        <f>M333*1.71</f>
        <v>30668064.083999995</v>
      </c>
      <c r="O333" s="86" t="s">
        <v>145</v>
      </c>
      <c r="P333" s="86" t="s">
        <v>146</v>
      </c>
    </row>
    <row r="334" spans="1:16" x14ac:dyDescent="0.3">
      <c r="A334" s="32">
        <v>6</v>
      </c>
      <c r="B334">
        <v>1995</v>
      </c>
      <c r="C334">
        <v>1994</v>
      </c>
      <c r="D334" t="s">
        <v>53</v>
      </c>
      <c r="E334" t="s">
        <v>59</v>
      </c>
      <c r="F334" s="1">
        <v>33926060</v>
      </c>
      <c r="G334" s="1">
        <v>33067131</v>
      </c>
    </row>
    <row r="335" spans="1:16" x14ac:dyDescent="0.3">
      <c r="A335" s="32">
        <v>6</v>
      </c>
      <c r="B335">
        <v>1995</v>
      </c>
      <c r="C335">
        <v>1993</v>
      </c>
      <c r="D335" t="s">
        <v>53</v>
      </c>
      <c r="E335" t="s">
        <v>59</v>
      </c>
      <c r="F335" s="1">
        <v>41484226</v>
      </c>
      <c r="G335" s="1">
        <v>33441734</v>
      </c>
    </row>
    <row r="336" spans="1:16" x14ac:dyDescent="0.3">
      <c r="A336" s="32">
        <v>6</v>
      </c>
      <c r="B336">
        <v>1995</v>
      </c>
      <c r="C336">
        <v>1992</v>
      </c>
      <c r="D336" t="s">
        <v>53</v>
      </c>
      <c r="E336" t="s">
        <v>59</v>
      </c>
      <c r="F336" s="1">
        <v>29621080</v>
      </c>
      <c r="G336" s="1">
        <v>30483631</v>
      </c>
    </row>
    <row r="337" spans="1:16" x14ac:dyDescent="0.3">
      <c r="A337" s="32">
        <v>6</v>
      </c>
      <c r="B337">
        <v>1995</v>
      </c>
      <c r="C337">
        <v>1991</v>
      </c>
      <c r="D337" t="s">
        <v>53</v>
      </c>
      <c r="E337" t="s">
        <v>59</v>
      </c>
      <c r="F337" s="1">
        <v>55258418</v>
      </c>
      <c r="G337" s="1">
        <v>47347751</v>
      </c>
    </row>
    <row r="338" spans="1:16" x14ac:dyDescent="0.3">
      <c r="A338" s="33">
        <v>6</v>
      </c>
      <c r="B338" s="5">
        <v>1995</v>
      </c>
      <c r="C338" s="5">
        <v>1990</v>
      </c>
      <c r="D338" s="5" t="s">
        <v>53</v>
      </c>
      <c r="E338" s="5" t="s">
        <v>59</v>
      </c>
      <c r="F338" s="6">
        <v>50878398</v>
      </c>
      <c r="G338" s="6">
        <v>74562365</v>
      </c>
      <c r="H338" s="5"/>
      <c r="I338" s="5"/>
      <c r="J338" s="5"/>
      <c r="K338" s="5"/>
      <c r="L338" s="5"/>
      <c r="M338" s="5"/>
      <c r="N338" s="5"/>
      <c r="O338" s="88"/>
      <c r="P338" s="88"/>
    </row>
    <row r="339" spans="1:16" ht="28.8" x14ac:dyDescent="0.3">
      <c r="A339" s="32">
        <v>5</v>
      </c>
      <c r="B339">
        <v>1995</v>
      </c>
      <c r="C339">
        <v>1995</v>
      </c>
      <c r="D339" t="s">
        <v>67</v>
      </c>
      <c r="E339" t="s">
        <v>45</v>
      </c>
      <c r="F339" s="1">
        <v>68057429</v>
      </c>
      <c r="G339" s="1">
        <v>70160579</v>
      </c>
      <c r="H339" s="14">
        <f>AVERAGE(F340:F344)</f>
        <v>138179975.19999999</v>
      </c>
      <c r="I339" s="14">
        <f>AVERAGE(G340:G344)</f>
        <v>113588322.2</v>
      </c>
      <c r="J339" s="20">
        <f>F339/H339</f>
        <v>0.49252743678303978</v>
      </c>
      <c r="K339" s="20">
        <f>G339/I339</f>
        <v>0.61767422602180133</v>
      </c>
      <c r="L339" s="21">
        <f>K339-1</f>
        <v>-0.38232577397819867</v>
      </c>
      <c r="M339" s="22">
        <f>I339-G339</f>
        <v>43427743.200000003</v>
      </c>
      <c r="N339" s="3">
        <f>M339*1.71</f>
        <v>74261440.872000009</v>
      </c>
      <c r="O339" s="86" t="s">
        <v>148</v>
      </c>
      <c r="P339" s="86" t="s">
        <v>185</v>
      </c>
    </row>
    <row r="340" spans="1:16" x14ac:dyDescent="0.3">
      <c r="A340" s="32">
        <v>5</v>
      </c>
      <c r="B340">
        <v>1995</v>
      </c>
      <c r="C340">
        <v>1994</v>
      </c>
      <c r="D340" t="s">
        <v>67</v>
      </c>
      <c r="E340" t="s">
        <v>45</v>
      </c>
      <c r="F340" s="1">
        <v>80883415</v>
      </c>
      <c r="G340" s="1">
        <v>78910127</v>
      </c>
    </row>
    <row r="341" spans="1:16" x14ac:dyDescent="0.3">
      <c r="A341" s="32">
        <v>5</v>
      </c>
      <c r="B341">
        <v>1995</v>
      </c>
      <c r="C341">
        <v>1993</v>
      </c>
      <c r="D341" t="s">
        <v>67</v>
      </c>
      <c r="E341" t="s">
        <v>45</v>
      </c>
      <c r="F341" s="1">
        <v>111504372</v>
      </c>
      <c r="G341" s="1">
        <v>99321666</v>
      </c>
    </row>
    <row r="342" spans="1:16" x14ac:dyDescent="0.3">
      <c r="A342" s="32">
        <v>5</v>
      </c>
      <c r="B342">
        <v>1995</v>
      </c>
      <c r="C342">
        <v>1992</v>
      </c>
      <c r="D342" t="s">
        <v>67</v>
      </c>
      <c r="E342" t="s">
        <v>45</v>
      </c>
      <c r="F342" s="1">
        <v>137812519</v>
      </c>
      <c r="G342" s="1">
        <v>115186645</v>
      </c>
    </row>
    <row r="343" spans="1:16" x14ac:dyDescent="0.3">
      <c r="A343" s="32">
        <v>5</v>
      </c>
      <c r="B343">
        <v>1995</v>
      </c>
      <c r="C343">
        <v>1991</v>
      </c>
      <c r="D343" t="s">
        <v>67</v>
      </c>
      <c r="E343" t="s">
        <v>45</v>
      </c>
      <c r="F343" s="1">
        <v>172698743</v>
      </c>
      <c r="G343" s="1">
        <v>140603941</v>
      </c>
    </row>
    <row r="344" spans="1:16" x14ac:dyDescent="0.3">
      <c r="A344" s="33">
        <v>5</v>
      </c>
      <c r="B344" s="5">
        <v>1995</v>
      </c>
      <c r="C344" s="5">
        <v>1990</v>
      </c>
      <c r="D344" s="5" t="s">
        <v>67</v>
      </c>
      <c r="E344" s="5" t="s">
        <v>45</v>
      </c>
      <c r="F344" s="6">
        <v>188000827</v>
      </c>
      <c r="G344" s="6">
        <v>133919232</v>
      </c>
      <c r="H344" s="5"/>
      <c r="I344" s="5"/>
      <c r="J344" s="5"/>
      <c r="K344" s="5"/>
      <c r="L344" s="5"/>
      <c r="M344" s="5"/>
      <c r="N344" s="5"/>
      <c r="O344" s="88"/>
      <c r="P344" s="88"/>
    </row>
    <row r="345" spans="1:16" x14ac:dyDescent="0.3">
      <c r="A345" s="7">
        <v>4</v>
      </c>
      <c r="B345">
        <v>1995</v>
      </c>
      <c r="C345">
        <v>1995</v>
      </c>
      <c r="D345" t="s">
        <v>68</v>
      </c>
      <c r="E345" t="s">
        <v>24</v>
      </c>
      <c r="F345" s="1">
        <v>1616681638</v>
      </c>
      <c r="G345" s="1">
        <v>772669696</v>
      </c>
      <c r="H345" s="14">
        <f>AVERAGE(F346:F350)</f>
        <v>1909524556</v>
      </c>
      <c r="I345" s="14">
        <f>AVERAGE(G346:G350)</f>
        <v>690850258.20000005</v>
      </c>
      <c r="J345" s="20">
        <f>F345/H345</f>
        <v>0.84664092583682904</v>
      </c>
      <c r="K345" s="20">
        <f>G345/I345</f>
        <v>1.118432955374699</v>
      </c>
      <c r="L345" s="21">
        <f>K345-1</f>
        <v>0.118432955374699</v>
      </c>
      <c r="M345" s="22">
        <f>I345-G345</f>
        <v>-81819437.799999952</v>
      </c>
      <c r="N345" s="3">
        <f>M345*1.71</f>
        <v>-139911238.63799992</v>
      </c>
      <c r="O345" s="86" t="s">
        <v>145</v>
      </c>
      <c r="P345" s="86" t="s">
        <v>146</v>
      </c>
    </row>
    <row r="346" spans="1:16" x14ac:dyDescent="0.3">
      <c r="A346" s="7">
        <v>4</v>
      </c>
      <c r="B346">
        <v>1995</v>
      </c>
      <c r="C346">
        <v>1994</v>
      </c>
      <c r="D346" t="s">
        <v>68</v>
      </c>
      <c r="E346" t="s">
        <v>24</v>
      </c>
      <c r="F346" s="1">
        <v>2362718651</v>
      </c>
      <c r="G346" s="1">
        <v>813669032</v>
      </c>
    </row>
    <row r="347" spans="1:16" x14ac:dyDescent="0.3">
      <c r="A347" s="7">
        <v>4</v>
      </c>
      <c r="B347">
        <v>1995</v>
      </c>
      <c r="C347">
        <v>1993</v>
      </c>
      <c r="D347" t="s">
        <v>68</v>
      </c>
      <c r="E347" t="s">
        <v>24</v>
      </c>
      <c r="F347" s="1">
        <v>1862537147</v>
      </c>
      <c r="G347" s="1">
        <v>621431115</v>
      </c>
    </row>
    <row r="348" spans="1:16" x14ac:dyDescent="0.3">
      <c r="A348" s="7">
        <v>4</v>
      </c>
      <c r="B348">
        <v>1995</v>
      </c>
      <c r="C348">
        <v>1992</v>
      </c>
      <c r="D348" t="s">
        <v>68</v>
      </c>
      <c r="E348" t="s">
        <v>24</v>
      </c>
      <c r="F348" s="1">
        <v>1553668770</v>
      </c>
      <c r="G348" s="1">
        <v>647160923</v>
      </c>
    </row>
    <row r="349" spans="1:16" x14ac:dyDescent="0.3">
      <c r="A349" s="7">
        <v>4</v>
      </c>
      <c r="B349">
        <v>1995</v>
      </c>
      <c r="C349">
        <v>1991</v>
      </c>
      <c r="D349" t="s">
        <v>68</v>
      </c>
      <c r="E349" t="s">
        <v>24</v>
      </c>
      <c r="F349" s="1">
        <v>1847673466</v>
      </c>
      <c r="G349" s="1">
        <v>683320206</v>
      </c>
    </row>
    <row r="350" spans="1:16" x14ac:dyDescent="0.3">
      <c r="A350" s="15">
        <v>4</v>
      </c>
      <c r="B350" s="5">
        <v>1995</v>
      </c>
      <c r="C350" s="5">
        <v>1990</v>
      </c>
      <c r="D350" s="5" t="s">
        <v>68</v>
      </c>
      <c r="E350" s="5" t="s">
        <v>24</v>
      </c>
      <c r="F350" s="6">
        <v>1921024746</v>
      </c>
      <c r="G350" s="6">
        <v>688670015</v>
      </c>
      <c r="H350" s="5"/>
      <c r="I350" s="5"/>
      <c r="J350" s="5"/>
      <c r="K350" s="5"/>
      <c r="L350" s="5"/>
      <c r="M350" s="5"/>
      <c r="N350" s="5"/>
      <c r="O350" s="88"/>
      <c r="P350" s="88"/>
    </row>
    <row r="351" spans="1:16" x14ac:dyDescent="0.3">
      <c r="A351" s="32">
        <v>3</v>
      </c>
      <c r="B351" t="s">
        <v>69</v>
      </c>
      <c r="C351">
        <v>1994</v>
      </c>
      <c r="D351" t="s">
        <v>53</v>
      </c>
      <c r="E351" t="s">
        <v>59</v>
      </c>
      <c r="F351" s="1">
        <v>33926060</v>
      </c>
      <c r="G351" s="1">
        <v>33067131</v>
      </c>
      <c r="H351" s="14">
        <f>AVERAGE(F354:F358)</f>
        <v>68005613</v>
      </c>
      <c r="I351" s="14">
        <f>AVERAGE(G354:G358)</f>
        <v>98976159.599999994</v>
      </c>
      <c r="J351" s="58">
        <f>F351/H351</f>
        <v>0.49887146815366551</v>
      </c>
      <c r="K351" s="20">
        <f>G351/I351</f>
        <v>0.33409187761615272</v>
      </c>
      <c r="L351" s="21">
        <f>K351-1</f>
        <v>-0.66590812238384722</v>
      </c>
      <c r="M351" s="22">
        <f>I351-G351</f>
        <v>65909028.599999994</v>
      </c>
      <c r="N351" s="3">
        <f>M351*1.76</f>
        <v>115999890.336</v>
      </c>
      <c r="O351" s="86" t="s">
        <v>145</v>
      </c>
      <c r="P351" s="86" t="s">
        <v>146</v>
      </c>
    </row>
    <row r="352" spans="1:16" x14ac:dyDescent="0.3">
      <c r="A352" s="32">
        <v>3</v>
      </c>
      <c r="B352" t="s">
        <v>69</v>
      </c>
      <c r="C352">
        <v>1993</v>
      </c>
      <c r="D352" t="s">
        <v>53</v>
      </c>
      <c r="E352" t="s">
        <v>59</v>
      </c>
      <c r="F352" s="1">
        <v>41484226</v>
      </c>
      <c r="G352" s="1">
        <v>33441734</v>
      </c>
      <c r="J352" s="59">
        <f>F352/H351</f>
        <v>0.61001179417351914</v>
      </c>
      <c r="K352" s="59">
        <f>G352/I351</f>
        <v>0.33787665772394754</v>
      </c>
      <c r="L352" s="2">
        <f>K352-1</f>
        <v>-0.66212334227605241</v>
      </c>
      <c r="M352" s="1">
        <f>I351-G352</f>
        <v>65534425.599999994</v>
      </c>
      <c r="N352" s="3">
        <f>M352*1.8</f>
        <v>117961966.08</v>
      </c>
    </row>
    <row r="353" spans="1:16" x14ac:dyDescent="0.3">
      <c r="A353" s="32">
        <v>3</v>
      </c>
      <c r="B353" t="s">
        <v>69</v>
      </c>
      <c r="C353">
        <v>1992</v>
      </c>
      <c r="D353" t="s">
        <v>53</v>
      </c>
      <c r="E353" t="s">
        <v>59</v>
      </c>
      <c r="F353" s="1">
        <v>29621080</v>
      </c>
      <c r="G353" s="1">
        <v>30483631</v>
      </c>
      <c r="J353" s="59">
        <f>F353/H351</f>
        <v>0.43556816405728155</v>
      </c>
      <c r="K353" s="59">
        <f>G353/I351</f>
        <v>0.30798963228312609</v>
      </c>
      <c r="L353" s="2">
        <f>K353-1</f>
        <v>-0.69201036771687385</v>
      </c>
      <c r="M353" s="1">
        <f>I351-G353</f>
        <v>68492528.599999994</v>
      </c>
      <c r="N353" s="3">
        <f>M353*1.86</f>
        <v>127396103.19599999</v>
      </c>
    </row>
    <row r="354" spans="1:16" x14ac:dyDescent="0.3">
      <c r="A354" s="32">
        <v>3</v>
      </c>
      <c r="B354" t="s">
        <v>69</v>
      </c>
      <c r="C354">
        <v>1991</v>
      </c>
      <c r="D354" t="s">
        <v>53</v>
      </c>
      <c r="E354" t="s">
        <v>59</v>
      </c>
      <c r="F354" s="1">
        <v>55258418</v>
      </c>
      <c r="G354" s="1">
        <v>47347751</v>
      </c>
    </row>
    <row r="355" spans="1:16" x14ac:dyDescent="0.3">
      <c r="A355" s="32">
        <v>3</v>
      </c>
      <c r="B355" t="s">
        <v>69</v>
      </c>
      <c r="C355">
        <v>1990</v>
      </c>
      <c r="D355" t="s">
        <v>53</v>
      </c>
      <c r="E355" t="s">
        <v>59</v>
      </c>
      <c r="F355" s="1">
        <v>50878398</v>
      </c>
      <c r="G355" s="1">
        <v>74562365</v>
      </c>
    </row>
    <row r="356" spans="1:16" x14ac:dyDescent="0.3">
      <c r="A356" s="32">
        <v>3</v>
      </c>
      <c r="B356" t="s">
        <v>69</v>
      </c>
      <c r="C356">
        <v>1989</v>
      </c>
      <c r="D356" t="s">
        <v>53</v>
      </c>
      <c r="E356" t="s">
        <v>59</v>
      </c>
      <c r="F356" s="1">
        <v>73193216</v>
      </c>
      <c r="G356" s="1">
        <v>84483501</v>
      </c>
    </row>
    <row r="357" spans="1:16" x14ac:dyDescent="0.3">
      <c r="A357" s="32">
        <v>3</v>
      </c>
      <c r="B357" t="s">
        <v>69</v>
      </c>
      <c r="C357">
        <v>1988</v>
      </c>
      <c r="D357" t="s">
        <v>53</v>
      </c>
      <c r="E357" t="s">
        <v>59</v>
      </c>
      <c r="F357" s="1">
        <v>77213169</v>
      </c>
      <c r="G357" s="1">
        <v>154964026</v>
      </c>
    </row>
    <row r="358" spans="1:16" x14ac:dyDescent="0.3">
      <c r="A358" s="33">
        <v>3</v>
      </c>
      <c r="B358" t="s">
        <v>69</v>
      </c>
      <c r="C358" s="5">
        <v>1987</v>
      </c>
      <c r="D358" s="5" t="s">
        <v>53</v>
      </c>
      <c r="E358" s="5" t="s">
        <v>59</v>
      </c>
      <c r="F358" s="6">
        <v>83484864</v>
      </c>
      <c r="G358" s="6">
        <v>133523155</v>
      </c>
      <c r="H358" s="5"/>
      <c r="I358" s="5"/>
      <c r="J358" s="5"/>
      <c r="K358" s="5"/>
      <c r="L358" s="5"/>
      <c r="M358" s="5"/>
      <c r="N358" s="5"/>
      <c r="O358" s="88"/>
      <c r="P358" s="88"/>
    </row>
    <row r="359" spans="1:16" ht="28.8" x14ac:dyDescent="0.3">
      <c r="A359" s="32">
        <v>2</v>
      </c>
      <c r="B359">
        <v>1994</v>
      </c>
      <c r="C359">
        <v>1994</v>
      </c>
      <c r="D359" t="s">
        <v>70</v>
      </c>
      <c r="E359" t="s">
        <v>45</v>
      </c>
      <c r="F359" s="1">
        <v>51430549</v>
      </c>
      <c r="G359" s="1">
        <v>52146561</v>
      </c>
      <c r="H359" s="14">
        <f>AVERAGE(F360:F364)</f>
        <v>104036425.8</v>
      </c>
      <c r="I359" s="14">
        <f>AVERAGE(G360:G364)</f>
        <v>85127906.599999994</v>
      </c>
      <c r="J359" s="20">
        <f>F359/H359</f>
        <v>0.49435136400081903</v>
      </c>
      <c r="K359" s="20">
        <f>G359/I359</f>
        <v>0.61256717195016752</v>
      </c>
      <c r="L359" s="21">
        <f>K359-1</f>
        <v>-0.38743282804983248</v>
      </c>
      <c r="M359" s="22">
        <f>I359-G359</f>
        <v>32981345.599999994</v>
      </c>
      <c r="N359" s="3">
        <f>M359*1.76</f>
        <v>58047168.25599999</v>
      </c>
      <c r="O359" s="86" t="s">
        <v>148</v>
      </c>
      <c r="P359" s="86" t="s">
        <v>185</v>
      </c>
    </row>
    <row r="360" spans="1:16" x14ac:dyDescent="0.3">
      <c r="A360" s="32">
        <v>2</v>
      </c>
      <c r="B360">
        <v>1994</v>
      </c>
      <c r="C360">
        <v>1993</v>
      </c>
      <c r="D360" t="s">
        <v>70</v>
      </c>
      <c r="E360" t="s">
        <v>45</v>
      </c>
      <c r="F360" s="1">
        <v>71043668</v>
      </c>
      <c r="G360" s="1">
        <v>68309139</v>
      </c>
    </row>
    <row r="361" spans="1:16" x14ac:dyDescent="0.3">
      <c r="A361" s="32">
        <v>2</v>
      </c>
      <c r="B361">
        <v>1994</v>
      </c>
      <c r="C361">
        <v>1992</v>
      </c>
      <c r="D361" t="s">
        <v>70</v>
      </c>
      <c r="E361" t="s">
        <v>45</v>
      </c>
      <c r="F361" s="1">
        <v>87779127</v>
      </c>
      <c r="G361" s="1">
        <v>78134345</v>
      </c>
    </row>
    <row r="362" spans="1:16" x14ac:dyDescent="0.3">
      <c r="A362" s="32">
        <v>2</v>
      </c>
      <c r="B362">
        <v>1994</v>
      </c>
      <c r="C362">
        <v>1991</v>
      </c>
      <c r="D362" t="s">
        <v>70</v>
      </c>
      <c r="E362" t="s">
        <v>45</v>
      </c>
      <c r="F362" s="1">
        <v>115984523</v>
      </c>
      <c r="G362" s="1">
        <v>98144951</v>
      </c>
    </row>
    <row r="363" spans="1:16" x14ac:dyDescent="0.3">
      <c r="A363" s="32">
        <v>2</v>
      </c>
      <c r="B363">
        <v>1994</v>
      </c>
      <c r="C363">
        <v>1990</v>
      </c>
      <c r="D363" t="s">
        <v>70</v>
      </c>
      <c r="E363" t="s">
        <v>45</v>
      </c>
      <c r="F363" s="1">
        <v>138596011</v>
      </c>
      <c r="G363" s="1">
        <v>101437524</v>
      </c>
    </row>
    <row r="364" spans="1:16" x14ac:dyDescent="0.3">
      <c r="A364" s="32">
        <v>2</v>
      </c>
      <c r="B364">
        <v>1994</v>
      </c>
      <c r="C364">
        <v>1989</v>
      </c>
      <c r="D364" t="s">
        <v>70</v>
      </c>
      <c r="E364" t="s">
        <v>45</v>
      </c>
      <c r="F364" s="1">
        <v>106778800</v>
      </c>
      <c r="G364" s="1">
        <v>79613574</v>
      </c>
    </row>
    <row r="450" spans="1:11" x14ac:dyDescent="0.3">
      <c r="A450">
        <v>23</v>
      </c>
      <c r="B450">
        <v>2003</v>
      </c>
      <c r="C450">
        <v>2017</v>
      </c>
      <c r="D450" t="s">
        <v>39</v>
      </c>
      <c r="E450" t="s">
        <v>52</v>
      </c>
      <c r="F450" s="1">
        <v>3838546</v>
      </c>
      <c r="G450" s="1">
        <v>5030422</v>
      </c>
      <c r="H450" s="1">
        <v>3280399</v>
      </c>
      <c r="I450">
        <v>1.3105019449999999</v>
      </c>
      <c r="J450" s="1">
        <v>1762684</v>
      </c>
      <c r="K450">
        <v>2030328.9709999999</v>
      </c>
    </row>
    <row r="451" spans="1:11" x14ac:dyDescent="0.3">
      <c r="A451">
        <v>23</v>
      </c>
      <c r="B451">
        <v>2003</v>
      </c>
      <c r="C451">
        <v>2016</v>
      </c>
      <c r="D451" t="s">
        <v>39</v>
      </c>
      <c r="E451" t="s">
        <v>52</v>
      </c>
      <c r="F451" s="1">
        <v>3318983</v>
      </c>
      <c r="G451" s="1">
        <v>4011383</v>
      </c>
      <c r="H451" s="1">
        <v>3302035</v>
      </c>
      <c r="I451">
        <v>1.2086181220000001</v>
      </c>
    </row>
    <row r="452" spans="1:11" x14ac:dyDescent="0.3">
      <c r="A452">
        <v>23</v>
      </c>
      <c r="B452">
        <v>2003</v>
      </c>
      <c r="C452">
        <v>2015</v>
      </c>
      <c r="D452" t="s">
        <v>39</v>
      </c>
      <c r="E452" t="s">
        <v>52</v>
      </c>
      <c r="F452" s="1">
        <v>2933730</v>
      </c>
      <c r="G452" s="1">
        <v>4247616</v>
      </c>
      <c r="H452" s="1">
        <v>3181171</v>
      </c>
      <c r="I452">
        <v>1.4478551200000001</v>
      </c>
    </row>
    <row r="453" spans="1:11" x14ac:dyDescent="0.3">
      <c r="A453">
        <v>23</v>
      </c>
      <c r="B453">
        <v>2003</v>
      </c>
      <c r="C453">
        <v>2014</v>
      </c>
      <c r="D453" t="s">
        <v>39</v>
      </c>
      <c r="E453" t="s">
        <v>52</v>
      </c>
      <c r="F453" s="1">
        <v>2667476</v>
      </c>
      <c r="G453" s="1">
        <v>3772328</v>
      </c>
      <c r="H453" s="1">
        <v>3367214</v>
      </c>
      <c r="I453">
        <v>1.4141937920000001</v>
      </c>
    </row>
    <row r="454" spans="1:11" x14ac:dyDescent="0.3">
      <c r="A454">
        <v>23</v>
      </c>
      <c r="B454">
        <v>2003</v>
      </c>
      <c r="C454">
        <v>2013</v>
      </c>
      <c r="D454" t="s">
        <v>39</v>
      </c>
      <c r="E454" t="s">
        <v>52</v>
      </c>
      <c r="F454" s="1">
        <v>3216465</v>
      </c>
      <c r="G454" s="1">
        <v>3974621</v>
      </c>
      <c r="H454" s="1">
        <v>3569470</v>
      </c>
      <c r="I454">
        <v>1.235710944</v>
      </c>
    </row>
    <row r="455" spans="1:11" x14ac:dyDescent="0.3">
      <c r="A455">
        <v>23</v>
      </c>
      <c r="B455">
        <v>2003</v>
      </c>
      <c r="C455">
        <v>2012</v>
      </c>
      <c r="D455" t="s">
        <v>39</v>
      </c>
      <c r="E455" t="s">
        <v>52</v>
      </c>
      <c r="F455" s="1">
        <v>4265341</v>
      </c>
      <c r="G455" s="1">
        <v>4267401</v>
      </c>
      <c r="H455" s="1">
        <v>3596164</v>
      </c>
      <c r="I455">
        <v>1.0004829630000001</v>
      </c>
    </row>
    <row r="456" spans="1:11" x14ac:dyDescent="0.3">
      <c r="A456">
        <v>23</v>
      </c>
      <c r="B456">
        <v>2003</v>
      </c>
      <c r="C456">
        <v>2011</v>
      </c>
      <c r="D456" t="s">
        <v>39</v>
      </c>
      <c r="E456" t="s">
        <v>52</v>
      </c>
      <c r="F456" s="1">
        <v>3427161</v>
      </c>
      <c r="G456" s="1">
        <v>3345488</v>
      </c>
      <c r="H456" s="1">
        <v>3729125</v>
      </c>
      <c r="I456">
        <v>0.97616890499999998</v>
      </c>
    </row>
    <row r="457" spans="1:11" x14ac:dyDescent="0.3">
      <c r="A457">
        <v>23</v>
      </c>
      <c r="B457">
        <v>2003</v>
      </c>
      <c r="C457">
        <v>2010</v>
      </c>
      <c r="D457" t="s">
        <v>39</v>
      </c>
      <c r="E457" t="s">
        <v>52</v>
      </c>
      <c r="F457" s="1">
        <v>2329414</v>
      </c>
      <c r="G457" s="1">
        <v>2657549</v>
      </c>
      <c r="H457" s="1">
        <v>4113013</v>
      </c>
      <c r="I457">
        <v>1.1408659000000001</v>
      </c>
    </row>
    <row r="458" spans="1:11" x14ac:dyDescent="0.3">
      <c r="A458">
        <v>23</v>
      </c>
      <c r="B458">
        <v>2003</v>
      </c>
      <c r="C458">
        <v>2009</v>
      </c>
      <c r="D458" t="s">
        <v>39</v>
      </c>
      <c r="E458" t="s">
        <v>52</v>
      </c>
      <c r="F458" s="1">
        <v>3597687</v>
      </c>
      <c r="G458" s="1">
        <v>3839513</v>
      </c>
      <c r="H458" s="1">
        <v>3976852</v>
      </c>
      <c r="I458">
        <v>1.0672170759999999</v>
      </c>
    </row>
    <row r="459" spans="1:11" x14ac:dyDescent="0.3">
      <c r="A459">
        <v>23</v>
      </c>
      <c r="B459">
        <v>2003</v>
      </c>
      <c r="C459">
        <v>2008</v>
      </c>
      <c r="D459" t="s">
        <v>39</v>
      </c>
      <c r="E459" t="s">
        <v>52</v>
      </c>
      <c r="F459" s="1">
        <v>4227747</v>
      </c>
      <c r="G459" s="1">
        <v>3911828</v>
      </c>
      <c r="H459" s="1">
        <v>3467588</v>
      </c>
      <c r="I459">
        <v>0.92527485700000001</v>
      </c>
    </row>
    <row r="460" spans="1:11" x14ac:dyDescent="0.3">
      <c r="A460">
        <v>23</v>
      </c>
      <c r="B460">
        <v>2003</v>
      </c>
      <c r="C460">
        <v>2007</v>
      </c>
      <c r="D460" t="s">
        <v>39</v>
      </c>
      <c r="E460" t="s">
        <v>52</v>
      </c>
      <c r="F460" s="1">
        <v>4398812</v>
      </c>
      <c r="G460" s="1">
        <v>3807944</v>
      </c>
      <c r="H460" s="1">
        <v>2985718</v>
      </c>
      <c r="I460">
        <v>0.86567555100000004</v>
      </c>
    </row>
    <row r="461" spans="1:11" x14ac:dyDescent="0.3">
      <c r="A461">
        <v>23</v>
      </c>
      <c r="B461">
        <v>2003</v>
      </c>
      <c r="C461">
        <v>2006</v>
      </c>
      <c r="D461" t="s">
        <v>39</v>
      </c>
      <c r="E461" t="s">
        <v>52</v>
      </c>
      <c r="F461" s="1">
        <v>4091967</v>
      </c>
      <c r="G461" s="1">
        <v>2960643</v>
      </c>
      <c r="H461" s="1">
        <v>2721600</v>
      </c>
      <c r="I461">
        <v>0.72352563000000003</v>
      </c>
    </row>
    <row r="462" spans="1:11" x14ac:dyDescent="0.3">
      <c r="A462">
        <v>23</v>
      </c>
      <c r="B462">
        <v>2003</v>
      </c>
      <c r="C462">
        <v>2005</v>
      </c>
      <c r="D462" t="s">
        <v>39</v>
      </c>
      <c r="E462" t="s">
        <v>52</v>
      </c>
      <c r="F462" s="1">
        <v>4248852</v>
      </c>
      <c r="G462" s="1">
        <v>3066019</v>
      </c>
      <c r="H462" s="1">
        <v>2531240</v>
      </c>
      <c r="I462">
        <v>0.72161115499999995</v>
      </c>
    </row>
    <row r="463" spans="1:11" x14ac:dyDescent="0.3">
      <c r="A463">
        <v>23</v>
      </c>
      <c r="B463">
        <v>2003</v>
      </c>
      <c r="C463">
        <v>2004</v>
      </c>
      <c r="D463" t="s">
        <v>39</v>
      </c>
      <c r="E463" t="s">
        <v>52</v>
      </c>
      <c r="F463" s="1">
        <v>2916880</v>
      </c>
      <c r="G463" s="1">
        <v>2492382</v>
      </c>
      <c r="H463" s="1">
        <v>2746460</v>
      </c>
      <c r="I463">
        <v>0.85446847299999995</v>
      </c>
    </row>
    <row r="464" spans="1:11" x14ac:dyDescent="0.3">
      <c r="A464">
        <v>23</v>
      </c>
      <c r="B464">
        <v>2003</v>
      </c>
      <c r="C464">
        <v>2003</v>
      </c>
      <c r="D464" t="s">
        <v>39</v>
      </c>
      <c r="E464" t="s">
        <v>52</v>
      </c>
      <c r="F464" s="1">
        <v>1681431</v>
      </c>
      <c r="G464" s="1">
        <v>1936739</v>
      </c>
      <c r="H464" s="1">
        <v>3444115</v>
      </c>
      <c r="I464">
        <v>1.151839713</v>
      </c>
    </row>
    <row r="465" spans="1:9" x14ac:dyDescent="0.3">
      <c r="A465">
        <v>23</v>
      </c>
      <c r="B465">
        <v>2003</v>
      </c>
      <c r="C465">
        <v>2002</v>
      </c>
      <c r="D465" t="s">
        <v>39</v>
      </c>
      <c r="E465" t="s">
        <v>52</v>
      </c>
      <c r="F465" s="1">
        <v>1989459</v>
      </c>
      <c r="G465" s="1">
        <v>2166555</v>
      </c>
      <c r="H465" s="1">
        <v>4332793</v>
      </c>
      <c r="I465">
        <v>1.089017165</v>
      </c>
    </row>
    <row r="466" spans="1:9" x14ac:dyDescent="0.3">
      <c r="A466">
        <v>23</v>
      </c>
      <c r="B466">
        <v>2003</v>
      </c>
      <c r="C466">
        <v>2001</v>
      </c>
      <c r="D466" t="s">
        <v>39</v>
      </c>
      <c r="E466" t="s">
        <v>52</v>
      </c>
      <c r="F466" s="1">
        <v>2771377</v>
      </c>
      <c r="G466" s="1">
        <v>2902409</v>
      </c>
      <c r="H466" s="1">
        <v>4957011</v>
      </c>
      <c r="I466">
        <v>1.047280467</v>
      </c>
    </row>
    <row r="467" spans="1:9" x14ac:dyDescent="0.3">
      <c r="A467">
        <v>23</v>
      </c>
      <c r="B467">
        <v>2003</v>
      </c>
      <c r="C467">
        <v>2000</v>
      </c>
      <c r="D467" t="s">
        <v>39</v>
      </c>
      <c r="E467" t="s">
        <v>52</v>
      </c>
      <c r="F467" s="1">
        <v>3297054</v>
      </c>
      <c r="G467" s="1">
        <v>2476959</v>
      </c>
      <c r="H467" s="1">
        <v>6172872</v>
      </c>
      <c r="I467">
        <v>0.75126431100000002</v>
      </c>
    </row>
    <row r="468" spans="1:9" x14ac:dyDescent="0.3">
      <c r="A468">
        <v>23</v>
      </c>
      <c r="B468">
        <v>2003</v>
      </c>
      <c r="C468">
        <v>1999</v>
      </c>
      <c r="D468" t="s">
        <v>39</v>
      </c>
      <c r="E468" t="s">
        <v>52</v>
      </c>
      <c r="F468" s="1">
        <v>3992980</v>
      </c>
      <c r="G468" s="1">
        <v>2474415</v>
      </c>
      <c r="H468" s="1">
        <v>7155827</v>
      </c>
      <c r="I468">
        <v>0.61969130800000005</v>
      </c>
    </row>
    <row r="469" spans="1:9" x14ac:dyDescent="0.3">
      <c r="A469">
        <v>23</v>
      </c>
      <c r="B469">
        <v>2003</v>
      </c>
      <c r="C469">
        <v>1998</v>
      </c>
      <c r="D469" t="s">
        <v>39</v>
      </c>
      <c r="E469" t="s">
        <v>52</v>
      </c>
      <c r="F469" s="1">
        <v>5169703</v>
      </c>
      <c r="G469" s="1">
        <v>3088457</v>
      </c>
      <c r="H469" s="1">
        <v>7760008</v>
      </c>
      <c r="I469">
        <v>0.59741478400000003</v>
      </c>
    </row>
    <row r="470" spans="1:9" x14ac:dyDescent="0.3">
      <c r="A470">
        <v>23</v>
      </c>
      <c r="B470">
        <v>2003</v>
      </c>
      <c r="C470">
        <v>1997</v>
      </c>
      <c r="D470" t="s">
        <v>39</v>
      </c>
      <c r="E470" t="s">
        <v>52</v>
      </c>
      <c r="F470" s="1">
        <v>6432853</v>
      </c>
      <c r="G470" s="1">
        <v>4135174</v>
      </c>
      <c r="H470" s="1">
        <v>8227659</v>
      </c>
      <c r="I470">
        <v>0.642821156</v>
      </c>
    </row>
    <row r="471" spans="1:9" x14ac:dyDescent="0.3">
      <c r="A471">
        <v>23</v>
      </c>
      <c r="B471">
        <v>2003</v>
      </c>
      <c r="C471">
        <v>1996</v>
      </c>
      <c r="D471" t="s">
        <v>39</v>
      </c>
      <c r="E471" t="s">
        <v>52</v>
      </c>
      <c r="F471" s="1">
        <v>5892466</v>
      </c>
      <c r="G471" s="1">
        <v>3382582</v>
      </c>
      <c r="H471" s="1">
        <v>8444742</v>
      </c>
      <c r="I471">
        <v>0.57405201800000005</v>
      </c>
    </row>
    <row r="472" spans="1:9" x14ac:dyDescent="0.3">
      <c r="A472">
        <v>23</v>
      </c>
      <c r="B472">
        <v>2003</v>
      </c>
      <c r="C472">
        <v>1995</v>
      </c>
      <c r="D472" t="s">
        <v>39</v>
      </c>
      <c r="E472" t="s">
        <v>52</v>
      </c>
      <c r="F472" s="1">
        <v>9376359</v>
      </c>
      <c r="G472" s="1">
        <v>5274200</v>
      </c>
      <c r="H472" s="1">
        <v>8001585</v>
      </c>
      <c r="I472">
        <v>0.56249979299999997</v>
      </c>
    </row>
    <row r="473" spans="1:9" x14ac:dyDescent="0.3">
      <c r="A473">
        <v>23</v>
      </c>
      <c r="B473">
        <v>2003</v>
      </c>
      <c r="C473">
        <v>1994</v>
      </c>
      <c r="D473" t="s">
        <v>39</v>
      </c>
      <c r="E473" t="s">
        <v>52</v>
      </c>
      <c r="F473" s="1">
        <v>8907755</v>
      </c>
      <c r="G473" s="1">
        <v>4696746</v>
      </c>
      <c r="H473" s="1">
        <v>7692041</v>
      </c>
      <c r="I473">
        <v>0.52726483800000001</v>
      </c>
    </row>
    <row r="474" spans="1:9" x14ac:dyDescent="0.3">
      <c r="A474">
        <v>23</v>
      </c>
      <c r="B474">
        <v>2003</v>
      </c>
      <c r="C474">
        <v>1993</v>
      </c>
      <c r="D474" t="s">
        <v>39</v>
      </c>
      <c r="E474" t="s">
        <v>52</v>
      </c>
      <c r="F474" s="1">
        <v>8190609</v>
      </c>
      <c r="G474" s="1">
        <v>3236117</v>
      </c>
      <c r="H474" s="1">
        <v>7743996</v>
      </c>
      <c r="I474">
        <v>0.39510090199999998</v>
      </c>
    </row>
    <row r="475" spans="1:9" x14ac:dyDescent="0.3">
      <c r="A475">
        <v>23</v>
      </c>
      <c r="B475">
        <v>2003</v>
      </c>
      <c r="C475">
        <v>1992</v>
      </c>
      <c r="D475" t="s">
        <v>39</v>
      </c>
      <c r="E475" t="s">
        <v>52</v>
      </c>
      <c r="F475" s="1">
        <v>8771107</v>
      </c>
      <c r="G475" s="1">
        <v>3192319</v>
      </c>
      <c r="H475" s="1">
        <v>7247828</v>
      </c>
      <c r="I475">
        <v>0.36395850600000001</v>
      </c>
    </row>
    <row r="476" spans="1:9" x14ac:dyDescent="0.3">
      <c r="A476">
        <v>23</v>
      </c>
      <c r="B476">
        <v>2003</v>
      </c>
      <c r="C476">
        <v>1991</v>
      </c>
      <c r="D476" t="s">
        <v>39</v>
      </c>
      <c r="E476" t="s">
        <v>52</v>
      </c>
      <c r="F476" s="1">
        <v>6977878</v>
      </c>
      <c r="G476" s="1">
        <v>2115439</v>
      </c>
      <c r="H476" s="1">
        <v>7179614</v>
      </c>
      <c r="I476">
        <v>0.30316365499999998</v>
      </c>
    </row>
    <row r="477" spans="1:9" x14ac:dyDescent="0.3">
      <c r="A477">
        <v>23</v>
      </c>
      <c r="B477">
        <v>2003</v>
      </c>
      <c r="C477">
        <v>1990</v>
      </c>
      <c r="D477" t="s">
        <v>39</v>
      </c>
      <c r="E477" t="s">
        <v>52</v>
      </c>
      <c r="F477" s="1">
        <v>7160575</v>
      </c>
      <c r="G477" s="1">
        <v>2389997</v>
      </c>
      <c r="H477" s="1">
        <v>7414856</v>
      </c>
      <c r="I477">
        <v>0.333771659</v>
      </c>
    </row>
    <row r="478" spans="1:9" x14ac:dyDescent="0.3">
      <c r="A478">
        <v>23</v>
      </c>
      <c r="B478">
        <v>2003</v>
      </c>
      <c r="C478">
        <v>1989</v>
      </c>
      <c r="D478" t="s">
        <v>39</v>
      </c>
      <c r="E478" t="s">
        <v>52</v>
      </c>
      <c r="F478" s="1">
        <v>7360035</v>
      </c>
      <c r="G478" s="1">
        <v>2519344</v>
      </c>
      <c r="H478" s="1">
        <v>7993450</v>
      </c>
      <c r="I478">
        <v>0.34230054599999998</v>
      </c>
    </row>
    <row r="479" spans="1:9" x14ac:dyDescent="0.3">
      <c r="A479">
        <v>23</v>
      </c>
      <c r="B479">
        <v>2003</v>
      </c>
      <c r="C479">
        <v>1988</v>
      </c>
      <c r="D479" t="s">
        <v>39</v>
      </c>
      <c r="E479" t="s">
        <v>52</v>
      </c>
      <c r="F479" s="1">
        <v>8450385</v>
      </c>
      <c r="G479" s="1">
        <v>3270583</v>
      </c>
      <c r="H479" s="1">
        <v>8525353</v>
      </c>
      <c r="I479">
        <v>0.387033609</v>
      </c>
    </row>
    <row r="480" spans="1:9" x14ac:dyDescent="0.3">
      <c r="A480">
        <v>23</v>
      </c>
      <c r="B480">
        <v>2003</v>
      </c>
      <c r="C480">
        <v>1987</v>
      </c>
      <c r="D480" t="s">
        <v>39</v>
      </c>
      <c r="E480" t="s">
        <v>52</v>
      </c>
      <c r="F480" s="1">
        <v>6290266</v>
      </c>
      <c r="G480" s="1">
        <v>1914997</v>
      </c>
      <c r="H480" s="1">
        <v>9777209</v>
      </c>
      <c r="I480">
        <v>0.30443815899999999</v>
      </c>
    </row>
    <row r="481" spans="1:9" x14ac:dyDescent="0.3">
      <c r="A481">
        <v>23</v>
      </c>
      <c r="B481">
        <v>2003</v>
      </c>
      <c r="C481">
        <v>1986</v>
      </c>
      <c r="D481" t="s">
        <v>39</v>
      </c>
      <c r="E481" t="s">
        <v>52</v>
      </c>
      <c r="F481" s="1">
        <v>6636811</v>
      </c>
      <c r="G481" s="1">
        <v>1977396</v>
      </c>
      <c r="H481" s="1">
        <v>11057525</v>
      </c>
      <c r="I481">
        <v>0.29794369599999998</v>
      </c>
    </row>
    <row r="482" spans="1:9" x14ac:dyDescent="0.3">
      <c r="A482">
        <v>23</v>
      </c>
      <c r="B482">
        <v>2003</v>
      </c>
      <c r="C482">
        <v>1985</v>
      </c>
      <c r="D482" t="s">
        <v>39</v>
      </c>
      <c r="E482" t="s">
        <v>52</v>
      </c>
      <c r="F482" s="1">
        <v>8336783</v>
      </c>
      <c r="G482" s="1">
        <v>1985024</v>
      </c>
      <c r="H482" s="1">
        <v>11402180</v>
      </c>
      <c r="I482">
        <v>0.23810431400000001</v>
      </c>
    </row>
    <row r="483" spans="1:9" x14ac:dyDescent="0.3">
      <c r="A483">
        <v>23</v>
      </c>
      <c r="B483">
        <v>2003</v>
      </c>
      <c r="C483">
        <v>1984</v>
      </c>
      <c r="D483" t="s">
        <v>39</v>
      </c>
      <c r="E483" t="s">
        <v>52</v>
      </c>
      <c r="F483" s="1">
        <v>10253005</v>
      </c>
      <c r="G483" s="1">
        <v>2269688</v>
      </c>
      <c r="H483" s="1">
        <v>11619085</v>
      </c>
      <c r="I483">
        <v>0.221368077</v>
      </c>
    </row>
    <row r="484" spans="1:9" x14ac:dyDescent="0.3">
      <c r="A484">
        <v>23</v>
      </c>
      <c r="B484">
        <v>2003</v>
      </c>
      <c r="C484">
        <v>1983</v>
      </c>
      <c r="D484" t="s">
        <v>39</v>
      </c>
      <c r="E484" t="s">
        <v>52</v>
      </c>
      <c r="F484" s="1">
        <v>11109898</v>
      </c>
      <c r="G484" s="1">
        <v>2682747</v>
      </c>
      <c r="H484" s="1">
        <v>11522764</v>
      </c>
      <c r="I484">
        <v>0.24147359400000001</v>
      </c>
    </row>
    <row r="485" spans="1:9" x14ac:dyDescent="0.3">
      <c r="A485">
        <v>23</v>
      </c>
      <c r="B485">
        <v>2003</v>
      </c>
      <c r="C485">
        <v>1982</v>
      </c>
      <c r="D485" t="s">
        <v>39</v>
      </c>
      <c r="E485" t="s">
        <v>52</v>
      </c>
      <c r="F485" s="1">
        <v>12549550</v>
      </c>
      <c r="G485" s="1">
        <v>2334248</v>
      </c>
      <c r="H485" s="1">
        <v>10557154</v>
      </c>
      <c r="I485">
        <v>0.186002526</v>
      </c>
    </row>
    <row r="486" spans="1:9" x14ac:dyDescent="0.3">
      <c r="A486">
        <v>23</v>
      </c>
      <c r="B486">
        <v>2003</v>
      </c>
      <c r="C486">
        <v>1981</v>
      </c>
      <c r="D486" t="s">
        <v>39</v>
      </c>
      <c r="E486" t="s">
        <v>52</v>
      </c>
      <c r="F486" s="1">
        <v>13038389</v>
      </c>
      <c r="G486" s="1">
        <v>2462701</v>
      </c>
      <c r="H486" s="1">
        <v>9123996</v>
      </c>
      <c r="I486">
        <v>0.188880774</v>
      </c>
    </row>
    <row r="487" spans="1:9" x14ac:dyDescent="0.3">
      <c r="A487">
        <v>23</v>
      </c>
      <c r="B487">
        <v>2003</v>
      </c>
      <c r="C487">
        <v>1980</v>
      </c>
      <c r="D487" t="s">
        <v>39</v>
      </c>
      <c r="E487" t="s">
        <v>52</v>
      </c>
      <c r="F487" s="1">
        <v>10060060</v>
      </c>
      <c r="G487" s="1">
        <v>1964419</v>
      </c>
      <c r="H487" s="1">
        <v>8885024</v>
      </c>
      <c r="I487">
        <v>0.19526911399999999</v>
      </c>
    </row>
    <row r="488" spans="1:9" x14ac:dyDescent="0.3">
      <c r="A488">
        <v>23</v>
      </c>
      <c r="B488">
        <v>2003</v>
      </c>
      <c r="C488">
        <v>1979</v>
      </c>
      <c r="D488" t="s">
        <v>39</v>
      </c>
      <c r="E488" t="s">
        <v>52</v>
      </c>
      <c r="F488" s="1">
        <v>11337528</v>
      </c>
      <c r="G488" s="1">
        <v>1983890</v>
      </c>
      <c r="H488" s="1">
        <v>8643719</v>
      </c>
      <c r="I488">
        <v>0.17498435300000001</v>
      </c>
    </row>
    <row r="489" spans="1:9" x14ac:dyDescent="0.3">
      <c r="A489">
        <v>23</v>
      </c>
      <c r="B489">
        <v>2003</v>
      </c>
      <c r="C489">
        <v>1978</v>
      </c>
      <c r="D489" t="s">
        <v>39</v>
      </c>
      <c r="E489" t="s">
        <v>52</v>
      </c>
      <c r="F489" s="1">
        <v>10628294</v>
      </c>
      <c r="G489" s="1">
        <v>1877446</v>
      </c>
      <c r="H489" s="1">
        <v>8114900</v>
      </c>
      <c r="I489">
        <v>0.17664603600000001</v>
      </c>
    </row>
    <row r="490" spans="1:9" x14ac:dyDescent="0.3">
      <c r="A490">
        <v>23</v>
      </c>
      <c r="B490">
        <v>2003</v>
      </c>
      <c r="C490">
        <v>1977</v>
      </c>
      <c r="D490" t="s">
        <v>39</v>
      </c>
      <c r="E490" t="s">
        <v>52</v>
      </c>
      <c r="F490" s="1">
        <v>7721500</v>
      </c>
      <c r="G490" s="1">
        <v>1632092</v>
      </c>
      <c r="H490" s="1">
        <v>8382320</v>
      </c>
      <c r="I490">
        <v>0.21136981199999999</v>
      </c>
    </row>
    <row r="491" spans="1:9" x14ac:dyDescent="0.3">
      <c r="A491">
        <v>23</v>
      </c>
      <c r="B491">
        <v>2003</v>
      </c>
      <c r="C491">
        <v>1976</v>
      </c>
      <c r="D491" t="s">
        <v>39</v>
      </c>
      <c r="E491" t="s">
        <v>52</v>
      </c>
      <c r="F491" s="1">
        <v>5872600</v>
      </c>
      <c r="G491" s="1">
        <v>1087289</v>
      </c>
      <c r="H491" s="1">
        <v>8894900</v>
      </c>
      <c r="I491">
        <v>0.18514610200000001</v>
      </c>
    </row>
    <row r="492" spans="1:9" x14ac:dyDescent="0.3">
      <c r="A492">
        <v>23</v>
      </c>
      <c r="B492">
        <v>2003</v>
      </c>
      <c r="C492">
        <v>1975</v>
      </c>
      <c r="D492" t="s">
        <v>39</v>
      </c>
      <c r="E492" t="s">
        <v>52</v>
      </c>
      <c r="F492" s="1">
        <v>8865200</v>
      </c>
      <c r="G492" s="1">
        <v>1154720</v>
      </c>
      <c r="H492" s="1">
        <v>8540300</v>
      </c>
      <c r="I492">
        <v>0.130253125</v>
      </c>
    </row>
    <row r="493" spans="1:9" x14ac:dyDescent="0.3">
      <c r="A493">
        <v>23</v>
      </c>
      <c r="B493">
        <v>2003</v>
      </c>
      <c r="C493">
        <v>1974</v>
      </c>
      <c r="D493" t="s">
        <v>39</v>
      </c>
      <c r="E493" t="s">
        <v>52</v>
      </c>
      <c r="F493" s="1">
        <v>10131000</v>
      </c>
      <c r="G493" s="1">
        <v>1225878</v>
      </c>
      <c r="H493" s="1">
        <v>7543460</v>
      </c>
      <c r="I493">
        <v>0.121002665</v>
      </c>
    </row>
    <row r="494" spans="1:9" x14ac:dyDescent="0.3">
      <c r="A494">
        <v>23</v>
      </c>
      <c r="B494">
        <v>2003</v>
      </c>
      <c r="C494">
        <v>1973</v>
      </c>
      <c r="D494" t="s">
        <v>39</v>
      </c>
      <c r="E494" t="s">
        <v>52</v>
      </c>
      <c r="F494" s="1">
        <v>7984200</v>
      </c>
      <c r="G494" s="1">
        <v>968650</v>
      </c>
      <c r="H494" s="1">
        <v>6680400</v>
      </c>
      <c r="I494">
        <v>0.121320859</v>
      </c>
    </row>
    <row r="495" spans="1:9" x14ac:dyDescent="0.3">
      <c r="A495">
        <v>23</v>
      </c>
      <c r="B495">
        <v>2003</v>
      </c>
      <c r="C495">
        <v>1972</v>
      </c>
      <c r="D495" t="s">
        <v>39</v>
      </c>
      <c r="E495" t="s">
        <v>52</v>
      </c>
      <c r="F495" s="1">
        <v>9058600</v>
      </c>
      <c r="G495" s="1">
        <v>825202</v>
      </c>
      <c r="H495" s="1">
        <v>6567980</v>
      </c>
      <c r="I495">
        <v>9.1095974999999996E-2</v>
      </c>
    </row>
    <row r="496" spans="1:9" x14ac:dyDescent="0.3">
      <c r="A496">
        <v>23</v>
      </c>
      <c r="B496">
        <v>2003</v>
      </c>
      <c r="C496">
        <v>1971</v>
      </c>
      <c r="D496" t="s">
        <v>39</v>
      </c>
      <c r="E496" t="s">
        <v>52</v>
      </c>
      <c r="F496" s="1">
        <v>8435500</v>
      </c>
      <c r="G496" s="1">
        <v>680107</v>
      </c>
      <c r="H496" s="1">
        <v>6592020</v>
      </c>
      <c r="I496">
        <v>8.0624385000000007E-2</v>
      </c>
    </row>
    <row r="497" spans="1:9" x14ac:dyDescent="0.3">
      <c r="A497">
        <v>23</v>
      </c>
      <c r="B497">
        <v>2003</v>
      </c>
      <c r="C497">
        <v>1970</v>
      </c>
      <c r="D497" t="s">
        <v>39</v>
      </c>
      <c r="E497" t="s">
        <v>52</v>
      </c>
      <c r="F497" s="1">
        <v>7092200</v>
      </c>
      <c r="G497" s="1">
        <v>428231</v>
      </c>
      <c r="H497" s="1">
        <v>7225380</v>
      </c>
      <c r="I497">
        <v>6.0380559E-2</v>
      </c>
    </row>
    <row r="498" spans="1:9" x14ac:dyDescent="0.3">
      <c r="A498">
        <v>23</v>
      </c>
      <c r="B498">
        <v>2003</v>
      </c>
      <c r="C498">
        <v>1969</v>
      </c>
      <c r="D498" t="s">
        <v>39</v>
      </c>
      <c r="E498" t="s">
        <v>52</v>
      </c>
      <c r="F498" s="1">
        <v>5146800</v>
      </c>
      <c r="G498" s="1">
        <v>437587</v>
      </c>
      <c r="H498" s="1">
        <v>8502400</v>
      </c>
      <c r="I498">
        <v>8.5021178000000003E-2</v>
      </c>
    </row>
    <row r="499" spans="1:9" x14ac:dyDescent="0.3">
      <c r="A499">
        <v>23</v>
      </c>
      <c r="B499">
        <v>2003</v>
      </c>
      <c r="C499">
        <v>1968</v>
      </c>
      <c r="D499" t="s">
        <v>39</v>
      </c>
      <c r="E499" t="s">
        <v>52</v>
      </c>
      <c r="F499" s="1">
        <v>3668900</v>
      </c>
      <c r="G499" s="1">
        <v>298153</v>
      </c>
      <c r="H499" s="1">
        <v>10668620</v>
      </c>
      <c r="I499">
        <v>8.1264956999999999E-2</v>
      </c>
    </row>
    <row r="500" spans="1:9" x14ac:dyDescent="0.3">
      <c r="A500">
        <v>23</v>
      </c>
      <c r="B500">
        <v>2003</v>
      </c>
      <c r="C500">
        <v>1967</v>
      </c>
      <c r="D500" t="s">
        <v>39</v>
      </c>
      <c r="E500" t="s">
        <v>52</v>
      </c>
      <c r="F500" s="1">
        <v>8496500</v>
      </c>
      <c r="G500" s="1">
        <v>379963</v>
      </c>
      <c r="H500" s="1">
        <v>11429960</v>
      </c>
      <c r="I500">
        <v>4.4719943999999998E-2</v>
      </c>
    </row>
    <row r="501" spans="1:9" x14ac:dyDescent="0.3">
      <c r="A501">
        <v>23</v>
      </c>
      <c r="B501">
        <v>2003</v>
      </c>
      <c r="C501">
        <v>1966</v>
      </c>
      <c r="D501" t="s">
        <v>39</v>
      </c>
      <c r="E501" t="s">
        <v>52</v>
      </c>
      <c r="F501" s="1">
        <v>8555700</v>
      </c>
      <c r="G501" s="1">
        <v>324767</v>
      </c>
      <c r="H501" s="1">
        <v>12181260</v>
      </c>
      <c r="I501">
        <v>3.7959138000000003E-2</v>
      </c>
    </row>
    <row r="502" spans="1:9" x14ac:dyDescent="0.3">
      <c r="A502">
        <v>23</v>
      </c>
      <c r="B502">
        <v>2003</v>
      </c>
      <c r="C502">
        <v>1965</v>
      </c>
      <c r="D502" t="s">
        <v>39</v>
      </c>
      <c r="E502" t="s">
        <v>52</v>
      </c>
      <c r="F502" s="1">
        <v>10259000</v>
      </c>
      <c r="G502" s="1">
        <v>426047</v>
      </c>
      <c r="H502" s="1">
        <v>13282660</v>
      </c>
      <c r="I502">
        <v>4.1529096000000001E-2</v>
      </c>
    </row>
    <row r="503" spans="1:9" x14ac:dyDescent="0.3">
      <c r="A503">
        <v>23</v>
      </c>
      <c r="B503">
        <v>2003</v>
      </c>
      <c r="C503">
        <v>1964</v>
      </c>
      <c r="D503" t="s">
        <v>39</v>
      </c>
      <c r="E503" t="s">
        <v>52</v>
      </c>
      <c r="F503" s="1">
        <v>11531900</v>
      </c>
      <c r="G503" s="1">
        <v>471819</v>
      </c>
      <c r="H503" s="1">
        <v>13512780</v>
      </c>
      <c r="I503">
        <v>4.0914247000000001E-2</v>
      </c>
    </row>
    <row r="504" spans="1:9" x14ac:dyDescent="0.3">
      <c r="A504">
        <v>23</v>
      </c>
      <c r="B504">
        <v>2003</v>
      </c>
      <c r="C504">
        <v>1963</v>
      </c>
      <c r="D504" t="s">
        <v>39</v>
      </c>
      <c r="E504" t="s">
        <v>52</v>
      </c>
      <c r="F504" s="1">
        <v>14500000</v>
      </c>
      <c r="G504" s="1">
        <v>596071</v>
      </c>
      <c r="H504" s="1">
        <v>12649760</v>
      </c>
      <c r="I504">
        <v>4.1108344999999998E-2</v>
      </c>
    </row>
    <row r="505" spans="1:9" x14ac:dyDescent="0.3">
      <c r="A505">
        <v>23</v>
      </c>
      <c r="B505">
        <v>2003</v>
      </c>
      <c r="C505">
        <v>1962</v>
      </c>
      <c r="D505" t="s">
        <v>39</v>
      </c>
      <c r="E505" t="s">
        <v>52</v>
      </c>
      <c r="F505" s="1">
        <v>12303200</v>
      </c>
      <c r="G505" s="1">
        <v>437357</v>
      </c>
      <c r="H505" s="1">
        <v>11982680</v>
      </c>
      <c r="I505">
        <v>3.5548231E-2</v>
      </c>
    </row>
    <row r="506" spans="1:9" x14ac:dyDescent="0.3">
      <c r="A506">
        <v>23</v>
      </c>
      <c r="B506">
        <v>2003</v>
      </c>
      <c r="C506">
        <v>1961</v>
      </c>
      <c r="D506" t="s">
        <v>39</v>
      </c>
      <c r="E506" t="s">
        <v>52</v>
      </c>
      <c r="F506" s="1">
        <v>12312200</v>
      </c>
      <c r="G506" s="1">
        <v>450158</v>
      </c>
      <c r="H506" s="1">
        <v>11228700</v>
      </c>
      <c r="I506">
        <v>3.6561946999999997E-2</v>
      </c>
    </row>
    <row r="507" spans="1:9" x14ac:dyDescent="0.3">
      <c r="A507">
        <v>23</v>
      </c>
      <c r="B507">
        <v>2003</v>
      </c>
      <c r="C507">
        <v>1960</v>
      </c>
      <c r="D507" t="s">
        <v>39</v>
      </c>
      <c r="E507" t="s">
        <v>52</v>
      </c>
      <c r="F507" s="1">
        <v>15766000</v>
      </c>
      <c r="G507" s="1">
        <v>516755</v>
      </c>
      <c r="H507" s="1">
        <v>10224560</v>
      </c>
      <c r="I507">
        <v>3.2776543999999998E-2</v>
      </c>
    </row>
    <row r="508" spans="1:9" x14ac:dyDescent="0.3">
      <c r="A508">
        <v>23</v>
      </c>
      <c r="B508">
        <v>2003</v>
      </c>
      <c r="C508">
        <v>1959</v>
      </c>
      <c r="D508" t="s">
        <v>39</v>
      </c>
      <c r="E508" t="s">
        <v>52</v>
      </c>
      <c r="F508" s="1">
        <v>12682500</v>
      </c>
      <c r="G508" s="1">
        <v>592814</v>
      </c>
      <c r="H508" s="1">
        <v>9816040</v>
      </c>
      <c r="I508">
        <v>4.6742677000000003E-2</v>
      </c>
    </row>
    <row r="509" spans="1:9" x14ac:dyDescent="0.3">
      <c r="A509">
        <v>23</v>
      </c>
      <c r="B509">
        <v>2003</v>
      </c>
      <c r="C509">
        <v>1958</v>
      </c>
      <c r="D509" t="s">
        <v>39</v>
      </c>
      <c r="E509" t="s">
        <v>52</v>
      </c>
      <c r="F509" s="1">
        <v>10184900</v>
      </c>
      <c r="G509" s="1">
        <v>487007</v>
      </c>
      <c r="H509" s="1">
        <v>9676220</v>
      </c>
      <c r="I509">
        <v>4.7816572000000002E-2</v>
      </c>
    </row>
    <row r="510" spans="1:9" x14ac:dyDescent="0.3">
      <c r="A510">
        <v>23</v>
      </c>
      <c r="B510">
        <v>2003</v>
      </c>
      <c r="C510">
        <v>1957</v>
      </c>
      <c r="D510" t="s">
        <v>39</v>
      </c>
      <c r="E510" t="s">
        <v>52</v>
      </c>
      <c r="F510" s="1">
        <v>8967800</v>
      </c>
      <c r="G510" s="1">
        <v>352659</v>
      </c>
      <c r="H510" s="1">
        <v>9774300</v>
      </c>
      <c r="I510">
        <v>3.9325029999999997E-2</v>
      </c>
    </row>
    <row r="511" spans="1:9" x14ac:dyDescent="0.3">
      <c r="A511">
        <v>23</v>
      </c>
      <c r="B511">
        <v>2003</v>
      </c>
      <c r="C511">
        <v>1956</v>
      </c>
      <c r="D511" t="s">
        <v>39</v>
      </c>
      <c r="E511" t="s">
        <v>52</v>
      </c>
      <c r="F511" s="1">
        <v>8542300</v>
      </c>
      <c r="G511" s="1">
        <v>320848</v>
      </c>
      <c r="H511" s="1">
        <v>9371120</v>
      </c>
      <c r="I511">
        <v>3.7559908000000003E-2</v>
      </c>
    </row>
    <row r="512" spans="1:9" x14ac:dyDescent="0.3">
      <c r="A512">
        <v>23</v>
      </c>
      <c r="B512">
        <v>2003</v>
      </c>
      <c r="C512">
        <v>1955</v>
      </c>
      <c r="D512" t="s">
        <v>39</v>
      </c>
      <c r="E512" t="s">
        <v>52</v>
      </c>
      <c r="F512" s="1">
        <v>10745300</v>
      </c>
      <c r="G512" s="1">
        <v>429812</v>
      </c>
      <c r="H512" s="1">
        <v>8227580</v>
      </c>
      <c r="I512">
        <v>0.04</v>
      </c>
    </row>
    <row r="513" spans="1:11" x14ac:dyDescent="0.3">
      <c r="A513">
        <v>23</v>
      </c>
      <c r="B513">
        <v>2003</v>
      </c>
      <c r="C513">
        <v>1954</v>
      </c>
      <c r="D513" t="s">
        <v>39</v>
      </c>
      <c r="E513" t="s">
        <v>52</v>
      </c>
      <c r="F513" s="1">
        <v>10639900</v>
      </c>
      <c r="G513" s="1">
        <v>425596</v>
      </c>
      <c r="H513" s="1">
        <v>10363547</v>
      </c>
      <c r="I513">
        <v>0.04</v>
      </c>
    </row>
    <row r="514" spans="1:11" x14ac:dyDescent="0.3">
      <c r="A514">
        <v>23</v>
      </c>
      <c r="B514">
        <v>2003</v>
      </c>
      <c r="C514">
        <v>1953</v>
      </c>
      <c r="D514" t="s">
        <v>39</v>
      </c>
      <c r="E514" t="s">
        <v>52</v>
      </c>
      <c r="F514" s="1">
        <v>9485800</v>
      </c>
      <c r="G514" s="1">
        <v>380881</v>
      </c>
      <c r="H514" s="1">
        <v>16381108</v>
      </c>
      <c r="I514">
        <v>4.0152754999999998E-2</v>
      </c>
    </row>
    <row r="515" spans="1:11" x14ac:dyDescent="0.3">
      <c r="A515">
        <v>23</v>
      </c>
      <c r="B515">
        <v>2003</v>
      </c>
      <c r="C515">
        <v>1952</v>
      </c>
      <c r="D515" t="s">
        <v>39</v>
      </c>
      <c r="E515" t="s">
        <v>52</v>
      </c>
      <c r="F515" s="1">
        <v>9458200</v>
      </c>
      <c r="G515" s="1">
        <v>364649</v>
      </c>
      <c r="H515" s="1">
        <v>26671837</v>
      </c>
      <c r="I515">
        <v>3.8553742000000002E-2</v>
      </c>
    </row>
    <row r="516" spans="1:11" x14ac:dyDescent="0.3">
      <c r="A516">
        <v>23</v>
      </c>
      <c r="B516">
        <v>2003</v>
      </c>
      <c r="C516">
        <v>1951</v>
      </c>
      <c r="D516" t="s">
        <v>39</v>
      </c>
      <c r="E516" t="s">
        <v>52</v>
      </c>
      <c r="F516" s="1">
        <v>6526400</v>
      </c>
      <c r="G516" s="1">
        <v>256448</v>
      </c>
      <c r="H516" s="1">
        <v>36410487</v>
      </c>
      <c r="I516">
        <v>3.9293944999999997E-2</v>
      </c>
    </row>
    <row r="517" spans="1:11" x14ac:dyDescent="0.3">
      <c r="A517">
        <v>23</v>
      </c>
      <c r="B517">
        <v>2003</v>
      </c>
      <c r="C517">
        <v>1950</v>
      </c>
      <c r="D517" t="s">
        <v>39</v>
      </c>
      <c r="E517" t="s">
        <v>52</v>
      </c>
      <c r="F517" s="1">
        <v>5027600</v>
      </c>
      <c r="G517" s="1">
        <v>194834</v>
      </c>
      <c r="H517" s="1">
        <v>49543279</v>
      </c>
      <c r="I517">
        <v>3.8752884000000001E-2</v>
      </c>
    </row>
    <row r="518" spans="1:11" x14ac:dyDescent="0.3">
      <c r="A518">
        <v>17</v>
      </c>
      <c r="B518">
        <v>2000</v>
      </c>
      <c r="C518">
        <v>2017</v>
      </c>
      <c r="D518" t="s">
        <v>27</v>
      </c>
      <c r="E518" t="s">
        <v>55</v>
      </c>
      <c r="F518" s="1">
        <v>21319734</v>
      </c>
      <c r="G518" s="1">
        <v>57928755</v>
      </c>
      <c r="H518" s="1">
        <v>62924487</v>
      </c>
      <c r="I518">
        <v>2.717142484</v>
      </c>
      <c r="J518" s="1">
        <v>102985228</v>
      </c>
      <c r="K518">
        <v>190007750.40000001</v>
      </c>
    </row>
    <row r="519" spans="1:11" x14ac:dyDescent="0.3">
      <c r="A519">
        <v>17</v>
      </c>
      <c r="B519">
        <v>2000</v>
      </c>
      <c r="C519">
        <v>2016</v>
      </c>
      <c r="D519" t="s">
        <v>27</v>
      </c>
      <c r="E519" t="s">
        <v>55</v>
      </c>
      <c r="F519" s="1">
        <v>39573607</v>
      </c>
      <c r="G519" s="1">
        <v>105808302</v>
      </c>
      <c r="H519" s="1">
        <v>65819688</v>
      </c>
      <c r="I519">
        <v>2.6737088180000002</v>
      </c>
    </row>
    <row r="520" spans="1:11" x14ac:dyDescent="0.3">
      <c r="A520">
        <v>17</v>
      </c>
      <c r="B520">
        <v>2000</v>
      </c>
      <c r="C520">
        <v>2015</v>
      </c>
      <c r="D520" t="s">
        <v>27</v>
      </c>
      <c r="E520" t="s">
        <v>55</v>
      </c>
      <c r="F520" s="1">
        <v>60911842</v>
      </c>
      <c r="G520" s="1">
        <v>124614335</v>
      </c>
      <c r="H520" s="1">
        <v>63205162</v>
      </c>
      <c r="I520">
        <v>2.0458145889999999</v>
      </c>
    </row>
    <row r="521" spans="1:11" x14ac:dyDescent="0.3">
      <c r="A521">
        <v>17</v>
      </c>
      <c r="B521">
        <v>2000</v>
      </c>
      <c r="C521">
        <v>2014</v>
      </c>
      <c r="D521" t="s">
        <v>27</v>
      </c>
      <c r="E521" t="s">
        <v>55</v>
      </c>
      <c r="F521" s="1">
        <v>55219654</v>
      </c>
      <c r="G521" s="1">
        <v>128451108</v>
      </c>
      <c r="H521" s="1">
        <v>63697958</v>
      </c>
      <c r="I521">
        <v>2.3261845860000001</v>
      </c>
    </row>
    <row r="522" spans="1:11" x14ac:dyDescent="0.3">
      <c r="A522">
        <v>17</v>
      </c>
      <c r="B522">
        <v>2000</v>
      </c>
      <c r="C522">
        <v>2013</v>
      </c>
      <c r="D522" t="s">
        <v>27</v>
      </c>
      <c r="E522" t="s">
        <v>55</v>
      </c>
      <c r="F522" s="1">
        <v>70691558</v>
      </c>
      <c r="G522" s="1">
        <v>161983618</v>
      </c>
      <c r="H522" s="1">
        <v>62048098</v>
      </c>
      <c r="I522">
        <v>2.2914138909999999</v>
      </c>
    </row>
    <row r="523" spans="1:11" x14ac:dyDescent="0.3">
      <c r="A523">
        <v>17</v>
      </c>
      <c r="B523">
        <v>2000</v>
      </c>
      <c r="C523">
        <v>2012</v>
      </c>
      <c r="D523" t="s">
        <v>27</v>
      </c>
      <c r="E523" t="s">
        <v>55</v>
      </c>
      <c r="F523" s="1">
        <v>88225773</v>
      </c>
      <c r="G523" s="1">
        <v>190433965</v>
      </c>
      <c r="H523" s="1">
        <v>51227868</v>
      </c>
      <c r="I523">
        <v>2.1584845170000002</v>
      </c>
    </row>
    <row r="524" spans="1:11" x14ac:dyDescent="0.3">
      <c r="A524">
        <v>17</v>
      </c>
      <c r="B524">
        <v>2000</v>
      </c>
      <c r="C524">
        <v>2011</v>
      </c>
      <c r="D524" t="s">
        <v>27</v>
      </c>
      <c r="E524" t="s">
        <v>55</v>
      </c>
      <c r="F524" s="1">
        <v>54049614</v>
      </c>
      <c r="G524" s="1">
        <v>137252235</v>
      </c>
      <c r="H524" s="1">
        <v>48021822</v>
      </c>
      <c r="I524">
        <v>2.539374934</v>
      </c>
    </row>
    <row r="525" spans="1:11" x14ac:dyDescent="0.3">
      <c r="A525">
        <v>17</v>
      </c>
      <c r="B525">
        <v>2000</v>
      </c>
      <c r="C525">
        <v>2010</v>
      </c>
      <c r="D525" t="s">
        <v>27</v>
      </c>
      <c r="E525" t="s">
        <v>55</v>
      </c>
      <c r="F525" s="1">
        <v>47839212</v>
      </c>
      <c r="G525" s="1">
        <v>62507867</v>
      </c>
      <c r="H525" s="1">
        <v>43426936</v>
      </c>
      <c r="I525">
        <v>1.3066240929999999</v>
      </c>
    </row>
    <row r="526" spans="1:11" x14ac:dyDescent="0.3">
      <c r="A526">
        <v>17</v>
      </c>
      <c r="B526">
        <v>2000</v>
      </c>
      <c r="C526">
        <v>2009</v>
      </c>
      <c r="D526" t="s">
        <v>27</v>
      </c>
      <c r="E526" t="s">
        <v>55</v>
      </c>
      <c r="F526" s="1">
        <v>57683635</v>
      </c>
      <c r="G526" s="1">
        <v>80551200</v>
      </c>
      <c r="H526" s="1">
        <v>36627713</v>
      </c>
      <c r="I526">
        <v>1.396430721</v>
      </c>
    </row>
    <row r="527" spans="1:11" x14ac:dyDescent="0.3">
      <c r="A527">
        <v>17</v>
      </c>
      <c r="B527">
        <v>2000</v>
      </c>
      <c r="C527">
        <v>2008</v>
      </c>
      <c r="D527" t="s">
        <v>27</v>
      </c>
      <c r="E527" t="s">
        <v>55</v>
      </c>
      <c r="F527" s="1">
        <v>62442257</v>
      </c>
      <c r="G527" s="1">
        <v>106296177</v>
      </c>
      <c r="H527" s="1">
        <v>29641390</v>
      </c>
      <c r="I527">
        <v>1.7023115769999999</v>
      </c>
    </row>
    <row r="528" spans="1:11" x14ac:dyDescent="0.3">
      <c r="A528">
        <v>17</v>
      </c>
      <c r="B528">
        <v>2000</v>
      </c>
      <c r="C528">
        <v>2007</v>
      </c>
      <c r="D528" t="s">
        <v>27</v>
      </c>
      <c r="E528" t="s">
        <v>55</v>
      </c>
      <c r="F528" s="1">
        <v>34124621</v>
      </c>
      <c r="G528" s="1">
        <v>50403015</v>
      </c>
      <c r="H528" s="1">
        <v>29203669</v>
      </c>
      <c r="I528">
        <v>1.477027833</v>
      </c>
    </row>
    <row r="529" spans="1:9" x14ac:dyDescent="0.3">
      <c r="A529">
        <v>17</v>
      </c>
      <c r="B529">
        <v>2000</v>
      </c>
      <c r="C529">
        <v>2006</v>
      </c>
      <c r="D529" t="s">
        <v>27</v>
      </c>
      <c r="E529" t="s">
        <v>55</v>
      </c>
      <c r="F529" s="1">
        <v>38019384</v>
      </c>
      <c r="G529" s="1">
        <v>30453809</v>
      </c>
      <c r="H529" s="1">
        <v>26558221</v>
      </c>
      <c r="I529">
        <v>0.80100742800000002</v>
      </c>
    </row>
    <row r="530" spans="1:9" x14ac:dyDescent="0.3">
      <c r="A530">
        <v>17</v>
      </c>
      <c r="B530">
        <v>2000</v>
      </c>
      <c r="C530">
        <v>2005</v>
      </c>
      <c r="D530" t="s">
        <v>27</v>
      </c>
      <c r="E530" t="s">
        <v>55</v>
      </c>
      <c r="F530" s="1">
        <v>24864785</v>
      </c>
      <c r="G530" s="1">
        <v>42760967</v>
      </c>
      <c r="H530" s="1">
        <v>28147374</v>
      </c>
      <c r="I530">
        <v>1.719740066</v>
      </c>
    </row>
    <row r="531" spans="1:9" x14ac:dyDescent="0.3">
      <c r="A531">
        <v>17</v>
      </c>
      <c r="B531">
        <v>2000</v>
      </c>
      <c r="C531">
        <v>2004</v>
      </c>
      <c r="D531" t="s">
        <v>27</v>
      </c>
      <c r="E531" t="s">
        <v>55</v>
      </c>
      <c r="F531" s="1">
        <v>23687517</v>
      </c>
      <c r="G531" s="1">
        <v>48635717</v>
      </c>
      <c r="H531" s="1">
        <v>60009280</v>
      </c>
      <c r="I531">
        <v>2.0532214080000002</v>
      </c>
    </row>
    <row r="532" spans="1:9" x14ac:dyDescent="0.3">
      <c r="A532">
        <v>17</v>
      </c>
      <c r="B532">
        <v>2000</v>
      </c>
      <c r="C532">
        <v>2003</v>
      </c>
      <c r="D532" t="s">
        <v>27</v>
      </c>
      <c r="E532" t="s">
        <v>55</v>
      </c>
      <c r="F532" s="1">
        <v>27510643</v>
      </c>
      <c r="G532" s="1">
        <v>50423551</v>
      </c>
      <c r="H532" s="1">
        <v>102593882</v>
      </c>
      <c r="I532">
        <v>1.8328743169999999</v>
      </c>
    </row>
    <row r="533" spans="1:9" x14ac:dyDescent="0.3">
      <c r="A533">
        <v>17</v>
      </c>
      <c r="B533">
        <v>2000</v>
      </c>
      <c r="C533">
        <v>2002</v>
      </c>
      <c r="D533" t="s">
        <v>27</v>
      </c>
      <c r="E533" t="s">
        <v>55</v>
      </c>
      <c r="F533" s="1">
        <v>31936016</v>
      </c>
      <c r="G533" s="1">
        <v>43976897</v>
      </c>
      <c r="H533" s="1">
        <v>119642615</v>
      </c>
      <c r="I533">
        <v>1.377031406</v>
      </c>
    </row>
    <row r="534" spans="1:9" x14ac:dyDescent="0.3">
      <c r="A534">
        <v>17</v>
      </c>
      <c r="B534">
        <v>2000</v>
      </c>
      <c r="C534">
        <v>2001</v>
      </c>
      <c r="D534" t="s">
        <v>27</v>
      </c>
      <c r="E534" t="s">
        <v>55</v>
      </c>
      <c r="F534" s="1">
        <v>24792145</v>
      </c>
      <c r="G534" s="1">
        <v>38319216</v>
      </c>
      <c r="H534" s="1">
        <v>127556818</v>
      </c>
      <c r="I534">
        <v>1.545619227</v>
      </c>
    </row>
    <row r="535" spans="1:9" x14ac:dyDescent="0.3">
      <c r="A535">
        <v>17</v>
      </c>
      <c r="B535">
        <v>2000</v>
      </c>
      <c r="C535">
        <v>2000</v>
      </c>
      <c r="D535" t="s">
        <v>27</v>
      </c>
      <c r="E535" t="s">
        <v>55</v>
      </c>
      <c r="F535" s="1">
        <v>32810551</v>
      </c>
      <c r="G535" s="1">
        <v>60535468</v>
      </c>
      <c r="H535" s="1">
        <v>135795779</v>
      </c>
      <c r="I535">
        <v>1.845000043</v>
      </c>
    </row>
    <row r="536" spans="1:9" x14ac:dyDescent="0.3">
      <c r="A536">
        <v>17</v>
      </c>
      <c r="B536">
        <v>2000</v>
      </c>
      <c r="C536">
        <v>1999</v>
      </c>
      <c r="D536" t="s">
        <v>27</v>
      </c>
      <c r="E536" t="s">
        <v>55</v>
      </c>
      <c r="F536" s="1">
        <v>182997046</v>
      </c>
      <c r="G536" s="1">
        <v>161037400</v>
      </c>
      <c r="H536" s="1">
        <v>128794961</v>
      </c>
      <c r="I536">
        <v>0.87999999699999998</v>
      </c>
    </row>
    <row r="537" spans="1:9" x14ac:dyDescent="0.3">
      <c r="A537">
        <v>17</v>
      </c>
      <c r="B537">
        <v>2000</v>
      </c>
      <c r="C537">
        <v>1998</v>
      </c>
      <c r="D537" t="s">
        <v>27</v>
      </c>
      <c r="E537" t="s">
        <v>55</v>
      </c>
      <c r="F537" s="1">
        <v>240433650</v>
      </c>
      <c r="G537" s="1">
        <v>135847412</v>
      </c>
      <c r="H537" s="1">
        <v>126550841</v>
      </c>
      <c r="I537">
        <v>0.56500998099999999</v>
      </c>
    </row>
    <row r="538" spans="1:9" x14ac:dyDescent="0.3">
      <c r="A538">
        <v>17</v>
      </c>
      <c r="B538">
        <v>2000</v>
      </c>
      <c r="C538">
        <v>1997</v>
      </c>
      <c r="D538" t="s">
        <v>27</v>
      </c>
      <c r="E538" t="s">
        <v>55</v>
      </c>
      <c r="F538" s="1">
        <v>117179683</v>
      </c>
      <c r="G538" s="1">
        <v>92337590</v>
      </c>
      <c r="H538" s="1">
        <v>165710140</v>
      </c>
      <c r="I538">
        <v>0.78799999799999998</v>
      </c>
    </row>
    <row r="539" spans="1:9" x14ac:dyDescent="0.3">
      <c r="A539">
        <v>17</v>
      </c>
      <c r="B539">
        <v>2000</v>
      </c>
      <c r="C539">
        <v>1996</v>
      </c>
      <c r="D539" t="s">
        <v>27</v>
      </c>
      <c r="E539" t="s">
        <v>55</v>
      </c>
      <c r="F539" s="1">
        <v>64363158</v>
      </c>
      <c r="G539" s="1">
        <v>87949038</v>
      </c>
      <c r="H539" s="1">
        <v>217874155</v>
      </c>
      <c r="I539">
        <v>1.366450012</v>
      </c>
    </row>
    <row r="540" spans="1:9" x14ac:dyDescent="0.3">
      <c r="A540">
        <v>17</v>
      </c>
      <c r="B540">
        <v>2000</v>
      </c>
      <c r="C540">
        <v>1995</v>
      </c>
      <c r="D540" t="s">
        <v>27</v>
      </c>
      <c r="E540" t="s">
        <v>55</v>
      </c>
      <c r="F540" s="1">
        <v>74005359</v>
      </c>
      <c r="G540" s="1">
        <v>174488599</v>
      </c>
      <c r="H540" s="1">
        <v>235078021</v>
      </c>
      <c r="I540">
        <v>2.3577832920000001</v>
      </c>
    </row>
    <row r="541" spans="1:9" x14ac:dyDescent="0.3">
      <c r="A541">
        <v>17</v>
      </c>
      <c r="B541">
        <v>2000</v>
      </c>
      <c r="C541">
        <v>1994</v>
      </c>
      <c r="D541" t="s">
        <v>27</v>
      </c>
      <c r="E541" t="s">
        <v>55</v>
      </c>
      <c r="F541" s="1">
        <v>147992955</v>
      </c>
      <c r="G541" s="1">
        <v>199346511</v>
      </c>
      <c r="H541" s="1">
        <v>235008471</v>
      </c>
      <c r="I541">
        <v>1.3470000040000001</v>
      </c>
    </row>
    <row r="542" spans="1:9" x14ac:dyDescent="0.3">
      <c r="A542">
        <v>17</v>
      </c>
      <c r="B542">
        <v>2000</v>
      </c>
      <c r="C542">
        <v>1993</v>
      </c>
      <c r="D542" t="s">
        <v>27</v>
      </c>
      <c r="E542" t="s">
        <v>55</v>
      </c>
      <c r="F542" s="1">
        <v>229213048</v>
      </c>
      <c r="G542" s="1">
        <v>173055858</v>
      </c>
      <c r="H542" s="1">
        <v>215329402</v>
      </c>
      <c r="I542">
        <v>0.75500002899999996</v>
      </c>
    </row>
    <row r="543" spans="1:9" x14ac:dyDescent="0.3">
      <c r="A543">
        <v>17</v>
      </c>
      <c r="B543">
        <v>2000</v>
      </c>
      <c r="C543">
        <v>1992</v>
      </c>
      <c r="D543" t="s">
        <v>27</v>
      </c>
      <c r="E543" t="s">
        <v>55</v>
      </c>
      <c r="F543" s="1">
        <v>312976182</v>
      </c>
      <c r="G543" s="1">
        <v>160164650</v>
      </c>
      <c r="H543" s="1">
        <v>172919154</v>
      </c>
      <c r="I543">
        <v>0.51174708899999999</v>
      </c>
    </row>
    <row r="544" spans="1:9" x14ac:dyDescent="0.3">
      <c r="A544">
        <v>17</v>
      </c>
      <c r="B544">
        <v>2000</v>
      </c>
      <c r="C544">
        <v>1991</v>
      </c>
      <c r="D544" t="s">
        <v>27</v>
      </c>
      <c r="E544" t="s">
        <v>55</v>
      </c>
      <c r="F544" s="1">
        <v>325183233</v>
      </c>
      <c r="G544" s="1">
        <v>164468126</v>
      </c>
      <c r="H544" s="1">
        <v>127199054</v>
      </c>
      <c r="I544">
        <v>0.505770622</v>
      </c>
    </row>
    <row r="545" spans="1:9" x14ac:dyDescent="0.3">
      <c r="A545">
        <v>17</v>
      </c>
      <c r="B545">
        <v>2000</v>
      </c>
      <c r="C545">
        <v>1990</v>
      </c>
      <c r="D545" t="s">
        <v>27</v>
      </c>
      <c r="E545" t="s">
        <v>55</v>
      </c>
      <c r="F545" s="1">
        <v>160024686</v>
      </c>
      <c r="G545" s="1">
        <v>100015433</v>
      </c>
      <c r="H545" s="1">
        <v>108184568</v>
      </c>
      <c r="I545">
        <v>0.62500002700000001</v>
      </c>
    </row>
    <row r="546" spans="1:9" x14ac:dyDescent="0.3">
      <c r="A546">
        <v>17</v>
      </c>
      <c r="B546">
        <v>2000</v>
      </c>
      <c r="C546">
        <v>1989</v>
      </c>
      <c r="D546" t="s">
        <v>27</v>
      </c>
      <c r="E546" t="s">
        <v>55</v>
      </c>
      <c r="F546" s="1">
        <v>147645204</v>
      </c>
      <c r="G546" s="1">
        <v>117968365</v>
      </c>
      <c r="H546" s="1">
        <v>83858393</v>
      </c>
      <c r="I546">
        <v>0.79899896400000003</v>
      </c>
    </row>
    <row r="547" spans="1:9" x14ac:dyDescent="0.3">
      <c r="A547">
        <v>17</v>
      </c>
      <c r="B547">
        <v>2000</v>
      </c>
      <c r="C547">
        <v>1988</v>
      </c>
      <c r="D547" t="s">
        <v>27</v>
      </c>
      <c r="E547" t="s">
        <v>55</v>
      </c>
      <c r="F547" s="1">
        <v>130817707</v>
      </c>
      <c r="G547" s="1">
        <v>109232789</v>
      </c>
      <c r="H547" s="1">
        <v>62656876</v>
      </c>
      <c r="I547">
        <v>0.83500002799999995</v>
      </c>
    </row>
    <row r="548" spans="1:9" x14ac:dyDescent="0.3">
      <c r="A548">
        <v>17</v>
      </c>
      <c r="B548">
        <v>2000</v>
      </c>
      <c r="C548">
        <v>1987</v>
      </c>
      <c r="D548" t="s">
        <v>27</v>
      </c>
      <c r="E548" t="s">
        <v>55</v>
      </c>
      <c r="F548" s="1">
        <v>100924939</v>
      </c>
      <c r="G548" s="1">
        <v>74886305</v>
      </c>
      <c r="H548" s="1">
        <v>48137662</v>
      </c>
      <c r="I548">
        <v>0.74200000300000002</v>
      </c>
    </row>
    <row r="549" spans="1:9" x14ac:dyDescent="0.3">
      <c r="A549">
        <v>17</v>
      </c>
      <c r="B549">
        <v>2000</v>
      </c>
      <c r="C549">
        <v>1986</v>
      </c>
      <c r="D549" t="s">
        <v>27</v>
      </c>
      <c r="E549" t="s">
        <v>55</v>
      </c>
      <c r="F549" s="1">
        <v>96582736</v>
      </c>
      <c r="G549" s="1">
        <v>52830757</v>
      </c>
      <c r="H549" s="1">
        <v>37193044</v>
      </c>
      <c r="I549">
        <v>0.54700000400000004</v>
      </c>
    </row>
    <row r="550" spans="1:9" x14ac:dyDescent="0.3">
      <c r="A550">
        <v>17</v>
      </c>
      <c r="B550">
        <v>2000</v>
      </c>
      <c r="C550">
        <v>1985</v>
      </c>
      <c r="D550" t="s">
        <v>27</v>
      </c>
      <c r="E550" t="s">
        <v>55</v>
      </c>
      <c r="F550" s="1">
        <v>64952252</v>
      </c>
      <c r="G550" s="1">
        <v>22089480</v>
      </c>
      <c r="H550" s="1">
        <v>24851954</v>
      </c>
      <c r="I550">
        <v>0.34008797699999999</v>
      </c>
    </row>
    <row r="551" spans="1:9" x14ac:dyDescent="0.3">
      <c r="A551">
        <v>17</v>
      </c>
      <c r="B551">
        <v>2000</v>
      </c>
      <c r="C551">
        <v>1984</v>
      </c>
      <c r="D551" t="s">
        <v>27</v>
      </c>
      <c r="E551" t="s">
        <v>55</v>
      </c>
      <c r="F551" s="1">
        <v>26014330</v>
      </c>
      <c r="G551" s="1">
        <v>7804299</v>
      </c>
      <c r="H551" s="1">
        <v>24561360</v>
      </c>
      <c r="I551">
        <v>0.3</v>
      </c>
    </row>
    <row r="552" spans="1:9" x14ac:dyDescent="0.3">
      <c r="A552">
        <v>17</v>
      </c>
      <c r="B552">
        <v>2000</v>
      </c>
      <c r="C552">
        <v>1983</v>
      </c>
      <c r="D552" t="s">
        <v>27</v>
      </c>
      <c r="E552" t="s">
        <v>55</v>
      </c>
      <c r="F552" s="1">
        <v>24810124</v>
      </c>
      <c r="G552" s="1">
        <v>9217997</v>
      </c>
      <c r="H552" s="1">
        <v>24478438</v>
      </c>
      <c r="I552">
        <v>0.371541754</v>
      </c>
    </row>
    <row r="553" spans="1:9" x14ac:dyDescent="0.3">
      <c r="A553">
        <v>17</v>
      </c>
      <c r="B553">
        <v>2000</v>
      </c>
      <c r="C553">
        <v>1982</v>
      </c>
      <c r="D553" t="s">
        <v>27</v>
      </c>
      <c r="E553" t="s">
        <v>55</v>
      </c>
      <c r="F553" s="1">
        <v>28328870</v>
      </c>
      <c r="G553" s="1">
        <v>17067382</v>
      </c>
      <c r="H553" s="1">
        <v>22553222</v>
      </c>
      <c r="I553">
        <v>0.60247309500000001</v>
      </c>
    </row>
    <row r="554" spans="1:9" x14ac:dyDescent="0.3">
      <c r="A554">
        <v>17</v>
      </c>
      <c r="B554">
        <v>2000</v>
      </c>
      <c r="C554">
        <v>1981</v>
      </c>
      <c r="D554" t="s">
        <v>27</v>
      </c>
      <c r="E554" t="s">
        <v>55</v>
      </c>
      <c r="F554" s="1">
        <v>41859644</v>
      </c>
      <c r="G554" s="1">
        <v>11050946</v>
      </c>
      <c r="H554" s="1">
        <v>3246800</v>
      </c>
      <c r="I554">
        <v>0.26400000000000001</v>
      </c>
    </row>
    <row r="555" spans="1:9" x14ac:dyDescent="0.3">
      <c r="A555">
        <v>17</v>
      </c>
      <c r="B555">
        <v>2000</v>
      </c>
      <c r="C555">
        <v>1968</v>
      </c>
      <c r="D555" t="s">
        <v>27</v>
      </c>
      <c r="E555" t="s">
        <v>55</v>
      </c>
      <c r="F555" s="1">
        <v>3246800</v>
      </c>
      <c r="G555" s="1">
        <v>323590</v>
      </c>
      <c r="H555" t="e">
        <v>#DIV/0!</v>
      </c>
      <c r="I555">
        <v>9.9664285000000005E-2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9410-2419-457C-8897-F4174D5EB557}">
  <dimension ref="A1:G8"/>
  <sheetViews>
    <sheetView workbookViewId="0">
      <selection activeCell="H1" sqref="H1:J1048576"/>
    </sheetView>
  </sheetViews>
  <sheetFormatPr defaultColWidth="8.77734375" defaultRowHeight="14.4" x14ac:dyDescent="0.3"/>
  <cols>
    <col min="1" max="1" width="13.44140625" style="36" bestFit="1" customWidth="1"/>
    <col min="2" max="2" width="13.21875" style="72" bestFit="1" customWidth="1"/>
    <col min="3" max="3" width="17.21875" style="36" bestFit="1" customWidth="1"/>
    <col min="4" max="4" width="14.33203125" style="72" bestFit="1" customWidth="1"/>
    <col min="5" max="5" width="16.33203125" style="36" bestFit="1" customWidth="1"/>
    <col min="6" max="6" width="12.5546875" style="36" customWidth="1"/>
    <col min="7" max="7" width="19.6640625" style="72" customWidth="1"/>
    <col min="8" max="8" width="14.109375" style="36" bestFit="1" customWidth="1"/>
    <col min="9" max="9" width="15.6640625" style="36" bestFit="1" customWidth="1"/>
    <col min="10" max="10" width="19.21875" style="36" bestFit="1" customWidth="1"/>
    <col min="11" max="16384" width="8.77734375" style="36"/>
  </cols>
  <sheetData>
    <row r="1" spans="1:7" ht="15.6" x14ac:dyDescent="0.3">
      <c r="A1" s="67" t="s">
        <v>3</v>
      </c>
      <c r="B1" s="71" t="s">
        <v>6</v>
      </c>
      <c r="C1" s="67" t="s">
        <v>4</v>
      </c>
      <c r="D1" s="73" t="s">
        <v>112</v>
      </c>
      <c r="E1" s="66" t="s">
        <v>113</v>
      </c>
      <c r="F1" s="66" t="s">
        <v>114</v>
      </c>
      <c r="G1" s="73" t="s">
        <v>115</v>
      </c>
    </row>
    <row r="2" spans="1:7" ht="28.8" x14ac:dyDescent="0.3">
      <c r="A2" s="68">
        <v>86</v>
      </c>
      <c r="B2" s="70" t="s">
        <v>107</v>
      </c>
      <c r="C2" s="68">
        <v>2018</v>
      </c>
      <c r="D2" s="70" t="s">
        <v>108</v>
      </c>
      <c r="E2" s="69" t="s">
        <v>109</v>
      </c>
      <c r="F2" s="70" t="s">
        <v>110</v>
      </c>
      <c r="G2" s="70" t="s">
        <v>111</v>
      </c>
    </row>
    <row r="3" spans="1:7" ht="28.8" x14ac:dyDescent="0.3">
      <c r="A3" s="68">
        <v>74</v>
      </c>
      <c r="B3" s="70" t="s">
        <v>116</v>
      </c>
      <c r="C3" s="68" t="s">
        <v>21</v>
      </c>
      <c r="D3" s="70" t="s">
        <v>108</v>
      </c>
      <c r="E3" s="69" t="s">
        <v>109</v>
      </c>
      <c r="F3" s="70" t="s">
        <v>110</v>
      </c>
      <c r="G3" s="70" t="s">
        <v>117</v>
      </c>
    </row>
    <row r="4" spans="1:7" ht="86.4" x14ac:dyDescent="0.3">
      <c r="A4" s="68">
        <v>73</v>
      </c>
      <c r="B4" s="70" t="s">
        <v>118</v>
      </c>
      <c r="C4" s="68">
        <v>2015</v>
      </c>
      <c r="D4" s="70" t="s">
        <v>119</v>
      </c>
      <c r="E4" s="69" t="s">
        <v>109</v>
      </c>
      <c r="F4" s="70"/>
      <c r="G4" s="70" t="s">
        <v>120</v>
      </c>
    </row>
    <row r="5" spans="1:7" ht="28.8" x14ac:dyDescent="0.3">
      <c r="A5" s="68">
        <v>70</v>
      </c>
      <c r="B5" s="70" t="s">
        <v>107</v>
      </c>
      <c r="C5" s="68">
        <v>2016</v>
      </c>
      <c r="D5" s="70" t="s">
        <v>108</v>
      </c>
      <c r="E5" s="69" t="s">
        <v>109</v>
      </c>
      <c r="F5" s="70" t="s">
        <v>121</v>
      </c>
      <c r="G5" s="70" t="s">
        <v>122</v>
      </c>
    </row>
    <row r="6" spans="1:7" ht="57.6" x14ac:dyDescent="0.3">
      <c r="A6" s="68">
        <v>68</v>
      </c>
      <c r="B6" s="70" t="s">
        <v>118</v>
      </c>
      <c r="C6" s="68">
        <v>2015</v>
      </c>
      <c r="D6" s="70" t="s">
        <v>123</v>
      </c>
      <c r="E6" s="69" t="s">
        <v>109</v>
      </c>
      <c r="F6" s="70" t="s">
        <v>124</v>
      </c>
      <c r="G6" s="70" t="s">
        <v>125</v>
      </c>
    </row>
    <row r="7" spans="1:7" ht="28.8" x14ac:dyDescent="0.3">
      <c r="A7" s="68">
        <v>65</v>
      </c>
      <c r="B7" s="70" t="s">
        <v>118</v>
      </c>
      <c r="C7" s="68">
        <v>2014</v>
      </c>
      <c r="D7" s="70" t="s">
        <v>126</v>
      </c>
      <c r="E7" s="69" t="s">
        <v>109</v>
      </c>
      <c r="F7" s="70" t="s">
        <v>127</v>
      </c>
      <c r="G7" s="70" t="s">
        <v>128</v>
      </c>
    </row>
    <row r="8" spans="1:7" x14ac:dyDescent="0.3">
      <c r="A8" s="68">
        <v>38</v>
      </c>
      <c r="B8" s="70" t="s">
        <v>118</v>
      </c>
      <c r="C8" s="68" t="s">
        <v>129</v>
      </c>
      <c r="D8" s="70" t="s">
        <v>126</v>
      </c>
      <c r="E8" s="69" t="s">
        <v>109</v>
      </c>
      <c r="F8" s="70" t="s">
        <v>127</v>
      </c>
      <c r="G8" s="70" t="s">
        <v>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BB1F-8CFA-44E5-8BA4-5E461D0E8156}">
  <dimension ref="A1:R18"/>
  <sheetViews>
    <sheetView tabSelected="1" workbookViewId="0">
      <selection activeCell="H27" sqref="H27"/>
    </sheetView>
  </sheetViews>
  <sheetFormatPr defaultRowHeight="14.4" x14ac:dyDescent="0.3"/>
  <cols>
    <col min="1" max="1" width="13.44140625" bestFit="1" customWidth="1"/>
    <col min="2" max="2" width="13.21875" bestFit="1" customWidth="1"/>
    <col min="3" max="3" width="13.21875" customWidth="1"/>
    <col min="4" max="4" width="24.44140625" customWidth="1"/>
    <col min="5" max="5" width="14.88671875" customWidth="1"/>
    <col min="6" max="6" width="10.44140625" customWidth="1"/>
  </cols>
  <sheetData>
    <row r="1" spans="1:18" ht="15.6" x14ac:dyDescent="0.3">
      <c r="A1" s="11" t="s">
        <v>3</v>
      </c>
      <c r="B1" s="11" t="s">
        <v>4</v>
      </c>
      <c r="C1" s="11" t="s">
        <v>93</v>
      </c>
      <c r="D1" s="11" t="s">
        <v>91</v>
      </c>
      <c r="E1" s="11" t="s">
        <v>131</v>
      </c>
      <c r="F1" s="11" t="s">
        <v>134</v>
      </c>
      <c r="G1" s="94"/>
      <c r="H1" s="94"/>
      <c r="I1" s="94"/>
      <c r="J1" s="94"/>
      <c r="K1" s="94"/>
      <c r="L1" s="94"/>
      <c r="M1" s="94"/>
      <c r="N1" s="94"/>
      <c r="Q1" s="31"/>
      <c r="R1" s="10"/>
    </row>
    <row r="2" spans="1:18" ht="13.05" customHeight="1" x14ac:dyDescent="0.3">
      <c r="A2">
        <v>89</v>
      </c>
      <c r="B2">
        <v>2019</v>
      </c>
      <c r="C2" t="s">
        <v>95</v>
      </c>
      <c r="D2" t="s">
        <v>92</v>
      </c>
      <c r="E2" t="s">
        <v>132</v>
      </c>
      <c r="F2" t="s">
        <v>138</v>
      </c>
      <c r="G2" s="13"/>
      <c r="H2" s="13"/>
      <c r="I2" s="13"/>
      <c r="J2" s="13"/>
      <c r="K2" s="13"/>
      <c r="L2" s="13"/>
      <c r="M2" s="13"/>
      <c r="N2" s="13"/>
    </row>
    <row r="3" spans="1:18" x14ac:dyDescent="0.3">
      <c r="A3">
        <v>86</v>
      </c>
      <c r="B3">
        <v>2018</v>
      </c>
      <c r="C3" t="s">
        <v>96</v>
      </c>
      <c r="D3" t="s">
        <v>97</v>
      </c>
      <c r="E3" t="s">
        <v>133</v>
      </c>
      <c r="F3" t="s">
        <v>138</v>
      </c>
      <c r="G3" s="13"/>
      <c r="H3" s="13"/>
      <c r="I3" s="13"/>
      <c r="J3" s="13"/>
      <c r="K3" s="13"/>
      <c r="L3" s="13"/>
      <c r="M3" s="13"/>
      <c r="N3" s="13"/>
    </row>
    <row r="4" spans="1:18" x14ac:dyDescent="0.3">
      <c r="A4">
        <v>70</v>
      </c>
      <c r="B4">
        <v>2016</v>
      </c>
      <c r="C4" t="s">
        <v>96</v>
      </c>
      <c r="D4" t="s">
        <v>97</v>
      </c>
      <c r="E4" t="s">
        <v>133</v>
      </c>
      <c r="F4" t="s">
        <v>138</v>
      </c>
      <c r="G4" s="13"/>
      <c r="H4" s="13"/>
      <c r="I4" s="13"/>
      <c r="J4" s="13"/>
      <c r="K4" s="13"/>
      <c r="L4" s="13"/>
      <c r="M4" s="13"/>
      <c r="N4" s="13"/>
    </row>
    <row r="5" spans="1:18" x14ac:dyDescent="0.3">
      <c r="A5">
        <v>66</v>
      </c>
      <c r="B5">
        <v>2019</v>
      </c>
      <c r="C5" t="s">
        <v>104</v>
      </c>
      <c r="D5" t="s">
        <v>100</v>
      </c>
      <c r="E5" t="s">
        <v>132</v>
      </c>
      <c r="F5" s="74" t="s">
        <v>138</v>
      </c>
      <c r="G5" s="13"/>
      <c r="H5" s="13"/>
      <c r="I5" s="13"/>
      <c r="J5" s="13"/>
      <c r="K5" s="13"/>
      <c r="L5" s="13"/>
      <c r="M5" s="13"/>
      <c r="N5" s="13"/>
    </row>
    <row r="6" spans="1:18" x14ac:dyDescent="0.3">
      <c r="A6">
        <v>65</v>
      </c>
      <c r="B6">
        <v>2014</v>
      </c>
      <c r="C6" t="s">
        <v>94</v>
      </c>
      <c r="D6" t="s">
        <v>98</v>
      </c>
      <c r="E6" t="s">
        <v>133</v>
      </c>
      <c r="F6" t="s">
        <v>138</v>
      </c>
    </row>
    <row r="7" spans="1:18" x14ac:dyDescent="0.3">
      <c r="A7">
        <v>50</v>
      </c>
      <c r="B7" t="s">
        <v>99</v>
      </c>
      <c r="C7" t="s">
        <v>96</v>
      </c>
      <c r="D7" t="s">
        <v>100</v>
      </c>
      <c r="E7" t="s">
        <v>132</v>
      </c>
      <c r="F7" s="74" t="s">
        <v>138</v>
      </c>
    </row>
    <row r="8" spans="1:18" x14ac:dyDescent="0.3">
      <c r="A8">
        <v>47</v>
      </c>
      <c r="B8" t="s">
        <v>101</v>
      </c>
      <c r="C8" t="s">
        <v>94</v>
      </c>
      <c r="D8" t="s">
        <v>98</v>
      </c>
      <c r="E8" t="s">
        <v>143</v>
      </c>
      <c r="F8" t="s">
        <v>138</v>
      </c>
    </row>
    <row r="9" spans="1:18" x14ac:dyDescent="0.3">
      <c r="A9">
        <v>38</v>
      </c>
      <c r="B9" t="s">
        <v>99</v>
      </c>
      <c r="C9" t="s">
        <v>94</v>
      </c>
      <c r="D9" t="s">
        <v>98</v>
      </c>
      <c r="E9" t="s">
        <v>143</v>
      </c>
      <c r="F9" s="74" t="s">
        <v>138</v>
      </c>
    </row>
    <row r="10" spans="1:18" x14ac:dyDescent="0.3">
      <c r="A10">
        <v>1</v>
      </c>
      <c r="B10">
        <v>1989</v>
      </c>
      <c r="C10" t="s">
        <v>186</v>
      </c>
      <c r="D10" t="s">
        <v>187</v>
      </c>
      <c r="E10" t="s">
        <v>132</v>
      </c>
      <c r="F10" s="74" t="s">
        <v>138</v>
      </c>
    </row>
    <row r="17" spans="5:7" x14ac:dyDescent="0.3">
      <c r="E17" s="13"/>
      <c r="F17" s="13"/>
      <c r="G17" s="13"/>
    </row>
    <row r="18" spans="5:7" x14ac:dyDescent="0.3">
      <c r="E18" s="13"/>
      <c r="F18" s="13"/>
      <c r="G18" s="13"/>
    </row>
  </sheetData>
  <sortState xmlns:xlrd2="http://schemas.microsoft.com/office/spreadsheetml/2017/richdata2" ref="A2:E20">
    <sortCondition descending="1" ref="A2:A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5F9D-9AB6-4BD2-A388-C84380338EDD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economic_estimate_11.19.19</vt:lpstr>
      <vt:lpstr>Tribal</vt:lpstr>
      <vt:lpstr>Missing_est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v.r.saccomanno</dc:creator>
  <cp:lastModifiedBy>TNC Staff</cp:lastModifiedBy>
  <dcterms:created xsi:type="dcterms:W3CDTF">2019-11-22T16:52:32Z</dcterms:created>
  <dcterms:modified xsi:type="dcterms:W3CDTF">2020-01-24T23:34:51Z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bf66d1714bdc4460bc40644b0bf37fb1</vt:lpwstr>
  </property>
</Properties>
</file>