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r.saccomanno\Box\GitHub\federal-fish-disasters\"/>
    </mc:Choice>
  </mc:AlternateContent>
  <xr:revisionPtr revIDLastSave="0" documentId="8_{8D42B03B-28A9-4C17-B354-F43184E4C7A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economic_estimate" sheetId="1" r:id="rId1"/>
    <sheet name="Tribal" sheetId="5" r:id="rId2"/>
    <sheet name="Missing_est" sheetId="3" r:id="rId3"/>
    <sheet name="Summary" sheetId="7" r:id="rId4"/>
    <sheet name="ESRI_MAPINFO_SHEET" sheetId="6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4" i="1" l="1"/>
  <c r="K304" i="1" s="1"/>
  <c r="M304" i="1" l="1"/>
  <c r="H123" i="1"/>
  <c r="I117" i="1"/>
  <c r="I123" i="1"/>
  <c r="I199" i="1"/>
  <c r="H199" i="1"/>
  <c r="H206" i="1"/>
  <c r="J207" i="1" s="1"/>
  <c r="J199" i="1" l="1"/>
  <c r="J200" i="1"/>
  <c r="M200" i="1"/>
  <c r="N200" i="1" s="1"/>
  <c r="K200" i="1"/>
  <c r="L200" i="1" s="1"/>
  <c r="K199" i="1"/>
  <c r="L199" i="1" s="1"/>
  <c r="M124" i="1"/>
  <c r="N124" i="1" s="1"/>
  <c r="M123" i="1"/>
  <c r="K124" i="1"/>
  <c r="L124" i="1" s="1"/>
  <c r="K123" i="1"/>
  <c r="L123" i="1" s="1"/>
  <c r="J124" i="1"/>
  <c r="J123" i="1"/>
  <c r="D70" i="7" l="1"/>
  <c r="C70" i="7"/>
  <c r="D57" i="7"/>
  <c r="C57" i="7"/>
  <c r="D52" i="7"/>
  <c r="C52" i="7"/>
  <c r="C48" i="7"/>
  <c r="C47" i="7"/>
  <c r="D47" i="7"/>
  <c r="D31" i="7"/>
  <c r="C31" i="7"/>
  <c r="D23" i="7"/>
  <c r="C23" i="7"/>
  <c r="D16" i="7"/>
  <c r="C16" i="7"/>
  <c r="D15" i="7"/>
  <c r="C15" i="7"/>
  <c r="C4" i="7"/>
  <c r="R12" i="1"/>
  <c r="R19" i="1" s="1"/>
  <c r="G149" i="1" l="1"/>
  <c r="G148" i="1"/>
  <c r="G147" i="1"/>
  <c r="G146" i="1"/>
  <c r="G145" i="1"/>
  <c r="I144" i="1" s="1"/>
  <c r="G144" i="1"/>
  <c r="K144" i="1" s="1"/>
  <c r="L144" i="1" s="1"/>
  <c r="H81" i="1"/>
  <c r="G90" i="1"/>
  <c r="I89" i="1" s="1"/>
  <c r="G89" i="1"/>
  <c r="M87" i="1"/>
  <c r="N87" i="1" s="1"/>
  <c r="H87" i="1"/>
  <c r="G67" i="1"/>
  <c r="I66" i="1" s="1"/>
  <c r="G66" i="1"/>
  <c r="G63" i="1"/>
  <c r="G65" i="1"/>
  <c r="I63" i="1" s="1"/>
  <c r="G64" i="1"/>
  <c r="M89" i="1" l="1"/>
  <c r="N89" i="1" s="1"/>
  <c r="M144" i="1"/>
  <c r="N144" i="1" s="1"/>
  <c r="K89" i="1"/>
  <c r="L89" i="1" s="1"/>
  <c r="M64" i="1"/>
  <c r="N64" i="1" s="1"/>
  <c r="K64" i="1"/>
  <c r="L64" i="1" s="1"/>
  <c r="K63" i="1"/>
  <c r="L63" i="1" s="1"/>
  <c r="K66" i="1"/>
  <c r="L66" i="1" s="1"/>
  <c r="M66" i="1"/>
  <c r="N66" i="1" s="1"/>
  <c r="M63" i="1"/>
  <c r="N63" i="1" s="1"/>
  <c r="I206" i="1"/>
  <c r="I91" i="1"/>
  <c r="K92" i="1" s="1"/>
  <c r="L92" i="1" s="1"/>
  <c r="H91" i="1"/>
  <c r="J92" i="1" s="1"/>
  <c r="I68" i="1"/>
  <c r="K69" i="1" s="1"/>
  <c r="L69" i="1" s="1"/>
  <c r="H68" i="1"/>
  <c r="J68" i="1" s="1"/>
  <c r="I12" i="1"/>
  <c r="H12" i="1"/>
  <c r="J13" i="1" s="1"/>
  <c r="I175" i="1"/>
  <c r="K175" i="1" s="1"/>
  <c r="L175" i="1" s="1"/>
  <c r="H175" i="1"/>
  <c r="J175" i="1" s="1"/>
  <c r="M110" i="1"/>
  <c r="N110" i="1" s="1"/>
  <c r="K110" i="1"/>
  <c r="L110" i="1" s="1"/>
  <c r="H111" i="1"/>
  <c r="J111" i="1" s="1"/>
  <c r="I111" i="1"/>
  <c r="M111" i="1" s="1"/>
  <c r="N111" i="1" s="1"/>
  <c r="H117" i="1"/>
  <c r="J117" i="1" s="1"/>
  <c r="M117" i="1"/>
  <c r="N117" i="1" s="1"/>
  <c r="K117" i="1"/>
  <c r="L117" i="1" s="1"/>
  <c r="N123" i="1"/>
  <c r="N129" i="1" s="1"/>
  <c r="N62" i="1"/>
  <c r="N150" i="1"/>
  <c r="M175" i="1"/>
  <c r="N175" i="1" s="1"/>
  <c r="I298" i="1"/>
  <c r="K298" i="1" s="1"/>
  <c r="L298" i="1" s="1"/>
  <c r="H298" i="1"/>
  <c r="J298" i="1" s="1"/>
  <c r="I6" i="1"/>
  <c r="M6" i="1" s="1"/>
  <c r="N6" i="1" s="1"/>
  <c r="H6" i="1"/>
  <c r="J6" i="1" s="1"/>
  <c r="I157" i="1"/>
  <c r="M157" i="1" s="1"/>
  <c r="N157" i="1" s="1"/>
  <c r="H157" i="1"/>
  <c r="J157" i="1" s="1"/>
  <c r="H169" i="1"/>
  <c r="J169" i="1" s="1"/>
  <c r="I169" i="1"/>
  <c r="K169" i="1" s="1"/>
  <c r="L169" i="1" s="1"/>
  <c r="G217" i="1"/>
  <c r="G213" i="1"/>
  <c r="G214" i="1"/>
  <c r="G215" i="1"/>
  <c r="G216" i="1"/>
  <c r="G218" i="1"/>
  <c r="I232" i="1"/>
  <c r="M232" i="1" s="1"/>
  <c r="N232" i="1" s="1"/>
  <c r="H232" i="1"/>
  <c r="J232" i="1" s="1"/>
  <c r="I220" i="1"/>
  <c r="M220" i="1" s="1"/>
  <c r="N220" i="1" s="1"/>
  <c r="H220" i="1"/>
  <c r="J220" i="1" s="1"/>
  <c r="I226" i="1"/>
  <c r="M226" i="1" s="1"/>
  <c r="N226" i="1" s="1"/>
  <c r="H226" i="1"/>
  <c r="J226" i="1" s="1"/>
  <c r="I247" i="1"/>
  <c r="M247" i="1" s="1"/>
  <c r="N247" i="1" s="1"/>
  <c r="H247" i="1"/>
  <c r="J247" i="1" s="1"/>
  <c r="N280" i="1"/>
  <c r="M169" i="1"/>
  <c r="N169" i="1" s="1"/>
  <c r="K247" i="1"/>
  <c r="L247" i="1" s="1"/>
  <c r="N56" i="1"/>
  <c r="I360" i="1"/>
  <c r="K360" i="1" s="1"/>
  <c r="L360" i="1" s="1"/>
  <c r="H360" i="1"/>
  <c r="J360" i="1" s="1"/>
  <c r="I352" i="1"/>
  <c r="M353" i="1" s="1"/>
  <c r="N353" i="1" s="1"/>
  <c r="H352" i="1"/>
  <c r="J352" i="1" s="1"/>
  <c r="H346" i="1"/>
  <c r="J346" i="1" s="1"/>
  <c r="I346" i="1"/>
  <c r="K346" i="1" s="1"/>
  <c r="L346" i="1" s="1"/>
  <c r="I340" i="1"/>
  <c r="K340" i="1" s="1"/>
  <c r="L340" i="1" s="1"/>
  <c r="M340" i="1"/>
  <c r="N340" i="1" s="1"/>
  <c r="H340" i="1"/>
  <c r="J340" i="1" s="1"/>
  <c r="I334" i="1"/>
  <c r="M334" i="1" s="1"/>
  <c r="N334" i="1" s="1"/>
  <c r="H334" i="1"/>
  <c r="J334" i="1" s="1"/>
  <c r="I328" i="1"/>
  <c r="M328" i="1" s="1"/>
  <c r="N328" i="1" s="1"/>
  <c r="H328" i="1"/>
  <c r="J328" i="1" s="1"/>
  <c r="I322" i="1"/>
  <c r="M322" i="1" s="1"/>
  <c r="N322" i="1" s="1"/>
  <c r="H322" i="1"/>
  <c r="J322" i="1" s="1"/>
  <c r="I316" i="1"/>
  <c r="M316" i="1" s="1"/>
  <c r="N316" i="1" s="1"/>
  <c r="H316" i="1"/>
  <c r="J316" i="1" s="1"/>
  <c r="I310" i="1"/>
  <c r="M310" i="1" s="1"/>
  <c r="N310" i="1" s="1"/>
  <c r="H310" i="1"/>
  <c r="J310" i="1" s="1"/>
  <c r="N304" i="1"/>
  <c r="H304" i="1"/>
  <c r="J304" i="1" s="1"/>
  <c r="H292" i="1"/>
  <c r="J292" i="1" s="1"/>
  <c r="I292" i="1"/>
  <c r="K292" i="1" s="1"/>
  <c r="L292" i="1" s="1"/>
  <c r="I286" i="1"/>
  <c r="K286" i="1" s="1"/>
  <c r="L286" i="1" s="1"/>
  <c r="H286" i="1"/>
  <c r="J286" i="1"/>
  <c r="H274" i="1"/>
  <c r="J274" i="1" s="1"/>
  <c r="I274" i="1"/>
  <c r="K274" i="1" s="1"/>
  <c r="L274" i="1" s="1"/>
  <c r="H259" i="1"/>
  <c r="J259" i="1" s="1"/>
  <c r="I259" i="1"/>
  <c r="M259" i="1" s="1"/>
  <c r="N259" i="1" s="1"/>
  <c r="I253" i="1"/>
  <c r="K253" i="1" s="1"/>
  <c r="L253" i="1" s="1"/>
  <c r="H253" i="1"/>
  <c r="J253" i="1" s="1"/>
  <c r="I265" i="1"/>
  <c r="K267" i="1" s="1"/>
  <c r="L267" i="1" s="1"/>
  <c r="H265" i="1"/>
  <c r="J265" i="1" s="1"/>
  <c r="I238" i="1"/>
  <c r="K239" i="1" s="1"/>
  <c r="L239" i="1" s="1"/>
  <c r="H238" i="1"/>
  <c r="J240" i="1" s="1"/>
  <c r="M199" i="1"/>
  <c r="N199" i="1" s="1"/>
  <c r="N205" i="1" s="1"/>
  <c r="I193" i="1"/>
  <c r="M193" i="1" s="1"/>
  <c r="N193" i="1" s="1"/>
  <c r="H193" i="1"/>
  <c r="J193" i="1" s="1"/>
  <c r="I187" i="1"/>
  <c r="K187" i="1" s="1"/>
  <c r="L187" i="1" s="1"/>
  <c r="H187" i="1"/>
  <c r="J187" i="1" s="1"/>
  <c r="I181" i="1"/>
  <c r="K181" i="1" s="1"/>
  <c r="L181" i="1" s="1"/>
  <c r="H181" i="1"/>
  <c r="J181" i="1"/>
  <c r="I163" i="1"/>
  <c r="K163" i="1" s="1"/>
  <c r="L163" i="1" s="1"/>
  <c r="H163" i="1"/>
  <c r="J163" i="1" s="1"/>
  <c r="I151" i="1"/>
  <c r="M151" i="1" s="1"/>
  <c r="N151" i="1" s="1"/>
  <c r="H151" i="1"/>
  <c r="J151" i="1" s="1"/>
  <c r="I138" i="1"/>
  <c r="M138" i="1" s="1"/>
  <c r="N138" i="1" s="1"/>
  <c r="H138" i="1"/>
  <c r="J138" i="1" s="1"/>
  <c r="I130" i="1"/>
  <c r="H130" i="1"/>
  <c r="J132" i="1" s="1"/>
  <c r="I104" i="1"/>
  <c r="M104" i="1" s="1"/>
  <c r="N104" i="1" s="1"/>
  <c r="H104" i="1"/>
  <c r="J104" i="1" s="1"/>
  <c r="I98" i="1"/>
  <c r="K98" i="1" s="1"/>
  <c r="L98" i="1" s="1"/>
  <c r="H98" i="1"/>
  <c r="J98" i="1" s="1"/>
  <c r="I81" i="1"/>
  <c r="K81" i="1" s="1"/>
  <c r="L81" i="1" s="1"/>
  <c r="J81" i="1"/>
  <c r="I75" i="1"/>
  <c r="M75" i="1" s="1"/>
  <c r="N75" i="1" s="1"/>
  <c r="H75" i="1"/>
  <c r="J75" i="1" s="1"/>
  <c r="I50" i="1"/>
  <c r="K50" i="1" s="1"/>
  <c r="L50" i="1" s="1"/>
  <c r="H50" i="1"/>
  <c r="J50" i="1" s="1"/>
  <c r="I43" i="1"/>
  <c r="M43" i="1" s="1"/>
  <c r="N43" i="1" s="1"/>
  <c r="H43" i="1"/>
  <c r="J43" i="1" s="1"/>
  <c r="I31" i="1"/>
  <c r="K31" i="1" s="1"/>
  <c r="L31" i="1" s="1"/>
  <c r="H31" i="1"/>
  <c r="J31" i="1" s="1"/>
  <c r="I25" i="1"/>
  <c r="K25" i="1" s="1"/>
  <c r="L25" i="1" s="1"/>
  <c r="H25" i="1"/>
  <c r="J25" i="1" s="1"/>
  <c r="I19" i="1"/>
  <c r="M19" i="1" s="1"/>
  <c r="N19" i="1" s="1"/>
  <c r="H19" i="1"/>
  <c r="J19" i="1" s="1"/>
  <c r="K12" i="1"/>
  <c r="L12" i="1" s="1"/>
  <c r="H56" i="1"/>
  <c r="F42" i="1"/>
  <c r="F41" i="1"/>
  <c r="F40" i="1"/>
  <c r="F39" i="1"/>
  <c r="F38" i="1"/>
  <c r="G42" i="1"/>
  <c r="G41" i="1"/>
  <c r="G40" i="1"/>
  <c r="G39" i="1"/>
  <c r="G38" i="1"/>
  <c r="G37" i="1"/>
  <c r="F37" i="1"/>
  <c r="M49" i="1"/>
  <c r="N49" i="1" s="1"/>
  <c r="K334" i="1"/>
  <c r="L334" i="1" s="1"/>
  <c r="K151" i="1"/>
  <c r="L151" i="1" s="1"/>
  <c r="L304" i="1"/>
  <c r="K310" i="1"/>
  <c r="L310" i="1" s="1"/>
  <c r="K193" i="1"/>
  <c r="L193" i="1" s="1"/>
  <c r="K43" i="1"/>
  <c r="L43" i="1" s="1"/>
  <c r="N65" i="1" l="1"/>
  <c r="K232" i="1"/>
  <c r="L232" i="1" s="1"/>
  <c r="M132" i="1"/>
  <c r="N132" i="1" s="1"/>
  <c r="M130" i="1"/>
  <c r="N130" i="1" s="1"/>
  <c r="M131" i="1"/>
  <c r="K207" i="1"/>
  <c r="L207" i="1" s="1"/>
  <c r="M206" i="1"/>
  <c r="N206" i="1" s="1"/>
  <c r="M13" i="1"/>
  <c r="N13" i="1" s="1"/>
  <c r="K13" i="1"/>
  <c r="L13" i="1" s="1"/>
  <c r="K322" i="1"/>
  <c r="L322" i="1" s="1"/>
  <c r="K104" i="1"/>
  <c r="L104" i="1" s="1"/>
  <c r="J69" i="1"/>
  <c r="M360" i="1"/>
  <c r="N360" i="1" s="1"/>
  <c r="M253" i="1"/>
  <c r="N253" i="1" s="1"/>
  <c r="M50" i="1"/>
  <c r="N50" i="1" s="1"/>
  <c r="K138" i="1"/>
  <c r="L138" i="1" s="1"/>
  <c r="K316" i="1"/>
  <c r="L316" i="1" s="1"/>
  <c r="M81" i="1"/>
  <c r="N81" i="1" s="1"/>
  <c r="M163" i="1"/>
  <c r="N163" i="1" s="1"/>
  <c r="K6" i="1"/>
  <c r="L6" i="1" s="1"/>
  <c r="M298" i="1"/>
  <c r="N298" i="1" s="1"/>
  <c r="I213" i="1"/>
  <c r="M214" i="1" s="1"/>
  <c r="N214" i="1" s="1"/>
  <c r="M286" i="1"/>
  <c r="N286" i="1" s="1"/>
  <c r="M25" i="1"/>
  <c r="N25" i="1" s="1"/>
  <c r="H37" i="1"/>
  <c r="J37" i="1" s="1"/>
  <c r="M31" i="1"/>
  <c r="N31" i="1" s="1"/>
  <c r="M187" i="1"/>
  <c r="N187" i="1" s="1"/>
  <c r="M265" i="1"/>
  <c r="N265" i="1" s="1"/>
  <c r="K19" i="1"/>
  <c r="L19" i="1" s="1"/>
  <c r="K214" i="1"/>
  <c r="L214" i="1" s="1"/>
  <c r="K132" i="1"/>
  <c r="L132" i="1" s="1"/>
  <c r="J267" i="1"/>
  <c r="K265" i="1"/>
  <c r="L265" i="1" s="1"/>
  <c r="I37" i="1"/>
  <c r="K37" i="1" s="1"/>
  <c r="L37" i="1" s="1"/>
  <c r="K259" i="1"/>
  <c r="L259" i="1" s="1"/>
  <c r="K157" i="1"/>
  <c r="L157" i="1" s="1"/>
  <c r="K266" i="1"/>
  <c r="L266" i="1" s="1"/>
  <c r="K238" i="1"/>
  <c r="L238" i="1" s="1"/>
  <c r="M266" i="1"/>
  <c r="N266" i="1" s="1"/>
  <c r="M346" i="1"/>
  <c r="N346" i="1" s="1"/>
  <c r="M181" i="1"/>
  <c r="N181" i="1" s="1"/>
  <c r="K111" i="1"/>
  <c r="L111" i="1" s="1"/>
  <c r="M12" i="1"/>
  <c r="N12" i="1" s="1"/>
  <c r="M91" i="1"/>
  <c r="N91" i="1" s="1"/>
  <c r="M238" i="1"/>
  <c r="N238" i="1" s="1"/>
  <c r="M267" i="1"/>
  <c r="N267" i="1" s="1"/>
  <c r="M274" i="1"/>
  <c r="N274" i="1" s="1"/>
  <c r="J131" i="1"/>
  <c r="M240" i="1"/>
  <c r="N240" i="1" s="1"/>
  <c r="K352" i="1"/>
  <c r="L352" i="1" s="1"/>
  <c r="K220" i="1"/>
  <c r="L220" i="1" s="1"/>
  <c r="K131" i="1"/>
  <c r="L131" i="1" s="1"/>
  <c r="J266" i="1"/>
  <c r="M352" i="1"/>
  <c r="N352" i="1" s="1"/>
  <c r="M92" i="1"/>
  <c r="N92" i="1" s="1"/>
  <c r="M207" i="1"/>
  <c r="N207" i="1" s="1"/>
  <c r="J12" i="1"/>
  <c r="K91" i="1"/>
  <c r="L91" i="1" s="1"/>
  <c r="N131" i="1"/>
  <c r="K206" i="1"/>
  <c r="L206" i="1" s="1"/>
  <c r="M98" i="1"/>
  <c r="N98" i="1" s="1"/>
  <c r="K75" i="1"/>
  <c r="L75" i="1" s="1"/>
  <c r="K328" i="1"/>
  <c r="L328" i="1" s="1"/>
  <c r="M68" i="1"/>
  <c r="N68" i="1" s="1"/>
  <c r="K130" i="1"/>
  <c r="L130" i="1" s="1"/>
  <c r="K240" i="1"/>
  <c r="L240" i="1" s="1"/>
  <c r="J353" i="1"/>
  <c r="M354" i="1"/>
  <c r="N354" i="1" s="1"/>
  <c r="M69" i="1"/>
  <c r="N69" i="1" s="1"/>
  <c r="J238" i="1"/>
  <c r="K353" i="1"/>
  <c r="L353" i="1" s="1"/>
  <c r="K68" i="1"/>
  <c r="L68" i="1" s="1"/>
  <c r="J91" i="1"/>
  <c r="J206" i="1"/>
  <c r="J239" i="1"/>
  <c r="K354" i="1"/>
  <c r="L354" i="1" s="1"/>
  <c r="M292" i="1"/>
  <c r="N292" i="1" s="1"/>
  <c r="K226" i="1"/>
  <c r="L226" i="1" s="1"/>
  <c r="J130" i="1"/>
  <c r="M239" i="1"/>
  <c r="N239" i="1" s="1"/>
  <c r="J354" i="1"/>
  <c r="R9" i="1" l="1"/>
  <c r="M213" i="1"/>
  <c r="N213" i="1" s="1"/>
  <c r="N219" i="1" s="1"/>
  <c r="N74" i="1"/>
  <c r="N359" i="1"/>
  <c r="N246" i="1"/>
  <c r="N97" i="1"/>
  <c r="N18" i="1"/>
  <c r="N137" i="1"/>
  <c r="N273" i="1"/>
  <c r="N212" i="1"/>
  <c r="K213" i="1"/>
  <c r="L213" i="1" s="1"/>
  <c r="M37" i="1"/>
  <c r="N37" i="1" s="1"/>
  <c r="S6" i="1" l="1"/>
  <c r="T7" i="1"/>
  <c r="T6" i="1"/>
  <c r="R6" i="1"/>
  <c r="R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tc={4B740E17-2A1F-4772-BB8C-BF1B22DB2D36}</author>
    <author>tc={5618D2EE-836C-4C26-B11D-19CBEC4AA8FF}</author>
    <author>tc={2B54977F-3DC1-45F7-A507-E96A13B10B7E}</author>
    <author>tc={4A64515E-22B5-48E3-BE36-9DEDC6ED997D}</author>
    <author>tc={6331224E-71D0-4C18-A8C5-C880DCB1287A}</author>
    <author>tc={4FCA40A7-F7B2-4820-83D7-B38413349532}</author>
    <author>tc={35AB7E0A-6BAD-479E-BF67-6FA85536DE8B}</author>
    <author>tc={CA2417E6-D14C-4271-AD20-E31922A58869}</author>
    <author>tc={4A721708-92D4-4874-AAAE-E96CE0CC945F}</author>
    <author>tc={7DD6A034-2C69-403F-9B6F-51C67A70590F}</author>
    <author>tc={B5222520-A64C-4AB4-8D17-E029B3CC372C}</author>
    <author>tc={894A471B-FD03-4199-9211-3E271EAFB4BE}</author>
    <author>tc={1D61D79B-747A-4EAB-AE3F-6808F188B3E7}</author>
    <author>tc={933FB0AF-83A3-4CAC-B858-B6C863BE2926}</author>
    <author>tc={CE8DC620-885E-4207-9560-1739914401CD}</author>
    <author>tc={E9D6DE67-47A9-4E44-A93E-E4BAEC5C8A47}</author>
  </authors>
  <commentList>
    <comment ref="A4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loss data was isolated from the request letter, not hand caclulated. Did not provide previous year estimates</t>
      </text>
    </comment>
    <comment ref="A5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Revenue loss data taken from the request letter, read "direct financial imact" but doesn't clarify if it is only revenue</t>
      </text>
    </comment>
    <comment ref="A62" authorId="2" shapeId="0" xr:uid="{2B54977F-3DC1-45F7-A507-E96A13B10B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NOAA's analysis via a press release; high confidence</t>
      </text>
    </comment>
    <comment ref="A63" authorId="3" shapeId="0" xr:uid="{4A64515E-22B5-48E3-BE36-9DEDC6ED99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regionally specific (Klamath River Fall Chinook), request estimates were used for OR and CA (not for tribal). These included ex-vessl value and 5-year average. Medium confidence.</t>
      </text>
    </comment>
    <comment ref="A66" authorId="4" shapeId="0" xr:uid="{6331224E-71D0-4C18-A8C5-C880DCB128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confidence data; there were only numbers for 3 out of 7 impacted tribes; of these 3, estimates and averages
 were inconsistent.</t>
      </text>
    </comment>
    <comment ref="A87" authorId="5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taken from request letter; not 5-year historical data provided, however they state "direct economic estimate based on ex-vessel value". Medium confidence.</t>
      </text>
    </comment>
    <comment ref="A89" authorId="6" shapeId="0" xr:uid="{35AB7E0A-6BAD-479E-BF67-6FA85536DE8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request letter. No econ est from Squaxin or Nisqually; econ est from Port Gamble or S'Klallam. Low confidence</t>
      </text>
    </comment>
    <comment ref="B98" authorId="7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state wide and doesn’t isolate Willapa and Grays</t>
      </text>
    </comment>
    <comment ref="A110" authorId="8" shapeId="0" xr:uid="{4A721708-92D4-4874-AAAE-E96CE0CC945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PR; high confidence</t>
      </text>
    </comment>
    <comment ref="A150" authorId="9" shapeId="0" xr:uid="{7DD6A034-2C69-403F-9B6F-51C67A70590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the federal registrer; high confidence</t>
      </text>
    </comment>
    <comment ref="A163" authorId="10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have got all regional "shellfish"</t>
      </text>
    </comment>
    <comment ref="A206" authorId="11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B238" authorId="12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B253" authorId="13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capture just Bering Sea.</t>
      </text>
    </comment>
    <comment ref="A280" authorId="14" shapeId="0" xr:uid="{CE8DC620-885E-4207-9560-1739914401C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 from request letter for both "Indian and non-Indian" losses; they do not break down data, but the do specify thatthe econ estimate is in "direct benefits". Medium confidence</t>
      </text>
    </comment>
    <comment ref="B286" authorId="1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Hand-selected specific species</t>
      </text>
    </comment>
  </commentList>
</comments>
</file>

<file path=xl/sharedStrings.xml><?xml version="1.0" encoding="utf-8"?>
<sst xmlns="http://schemas.openxmlformats.org/spreadsheetml/2006/main" count="1359" uniqueCount="201">
  <si>
    <t>Net increase in revenue</t>
  </si>
  <si>
    <t>Meet 35% decrease in revenue threshold</t>
  </si>
  <si>
    <t>Low confidence in data/estimate (see associated comment)</t>
  </si>
  <si>
    <t>disaster_num</t>
  </si>
  <si>
    <t>disaster_year</t>
  </si>
  <si>
    <t>year</t>
  </si>
  <si>
    <t>state</t>
  </si>
  <si>
    <t>AFS_name</t>
  </si>
  <si>
    <t>pounds</t>
  </si>
  <si>
    <t>dollars</t>
  </si>
  <si>
    <t>5_yr_avg_pounds</t>
  </si>
  <si>
    <t>5_yr_avg_value</t>
  </si>
  <si>
    <t>prct_dif_pounds</t>
  </si>
  <si>
    <t>prct_dif_value</t>
  </si>
  <si>
    <t>prct_decr_value</t>
  </si>
  <si>
    <t>dollar_diff_nominal</t>
  </si>
  <si>
    <t>dollar_diff_real ($2019)</t>
  </si>
  <si>
    <t>Confidence in data (H, M or L)</t>
  </si>
  <si>
    <t>Data source(s)/ notes</t>
  </si>
  <si>
    <t>AVERAGE PERCENT CHANGE (includes all disaster)</t>
  </si>
  <si>
    <t>MEDIAN PERCENT CHANGE (includes all disaster)</t>
  </si>
  <si>
    <t>AVERAGE PERCENT CHANGE (loss disasters only)</t>
  </si>
  <si>
    <t>2017-2019</t>
  </si>
  <si>
    <t>CALIFORNIA</t>
  </si>
  <si>
    <t>SARDINE, PACIFIC</t>
  </si>
  <si>
    <t xml:space="preserve">Medium </t>
  </si>
  <si>
    <t>NOAA -we do not have 2018 or 2019 data</t>
  </si>
  <si>
    <t>TOTAL REVENUE LOSS (loss only)</t>
  </si>
  <si>
    <t>Number of disasters with a net decrease in revenue</t>
  </si>
  <si>
    <t>2016-2017</t>
  </si>
  <si>
    <t>RED SEA URCHIN</t>
  </si>
  <si>
    <t>High</t>
  </si>
  <si>
    <t>CDFW, PacFIN</t>
  </si>
  <si>
    <t>Number of disasters with a net increase in revenue</t>
  </si>
  <si>
    <t>Percent of disasters with a net decrease in revenue</t>
  </si>
  <si>
    <t>2016-2018</t>
  </si>
  <si>
    <t>TOTAL</t>
  </si>
  <si>
    <t>ALASKA (TRIBAL)</t>
  </si>
  <si>
    <t>SALMON, SOCKEYE</t>
  </si>
  <si>
    <t>Medium</t>
  </si>
  <si>
    <t>Data is from the request letter, but it is thorough</t>
  </si>
  <si>
    <t>NORTH CAROLINA</t>
  </si>
  <si>
    <t>ALL FISH</t>
  </si>
  <si>
    <t>2018 data not available through NOAA; data is from NC Division of Marine Fisheries</t>
  </si>
  <si>
    <t>-</t>
  </si>
  <si>
    <t>FLORIDA</t>
  </si>
  <si>
    <t>Florida Fish and Wildlife Conservation Commission</t>
  </si>
  <si>
    <t>GEORGIA, S CAROLINA</t>
  </si>
  <si>
    <t>PENAEID SHRIMP</t>
  </si>
  <si>
    <t>Georgia Department of Natural Resources/Coastal Resources Division and NCDENR</t>
  </si>
  <si>
    <t>ALASKA</t>
  </si>
  <si>
    <t>PACIFIC COD</t>
  </si>
  <si>
    <t>ADFG -for only the gulf</t>
  </si>
  <si>
    <t>WASHINGTON (TRIBAL)</t>
  </si>
  <si>
    <t>SALMON, COHO &amp; CHINOOK</t>
  </si>
  <si>
    <t>Low</t>
  </si>
  <si>
    <t>Request letter</t>
  </si>
  <si>
    <t>TEXAS</t>
  </si>
  <si>
    <t>NOAA</t>
  </si>
  <si>
    <t>COHO SALMON</t>
  </si>
  <si>
    <t>Revenue loss data from determination letter - unclear if "economic loss" is only langings</t>
  </si>
  <si>
    <t>FL, PR, USVI</t>
  </si>
  <si>
    <t>NOAA Press Release</t>
  </si>
  <si>
    <t>OR, CA</t>
  </si>
  <si>
    <t>SALMON, CHINOOK</t>
  </si>
  <si>
    <t>Data from OR and CA request letter because regionally specific; no tribal data</t>
  </si>
  <si>
    <t>2011-2015</t>
  </si>
  <si>
    <t>SALMON, COHO &amp; Pink</t>
  </si>
  <si>
    <t>Data taken from 3 out of 7 request letters and extrapolated out</t>
  </si>
  <si>
    <t>2010-2014</t>
  </si>
  <si>
    <t>2015-2016</t>
  </si>
  <si>
    <t>SALMON, PINK</t>
  </si>
  <si>
    <t>NOAA; includes the Yukon management area in landings and exvessel</t>
  </si>
  <si>
    <t>WASHINGTON</t>
  </si>
  <si>
    <t>SALMON, TROLL</t>
  </si>
  <si>
    <t>PFMC 2018 Review of Ocean Salmon Fisheries</t>
  </si>
  <si>
    <t>CRAB, DUNGENESS</t>
  </si>
  <si>
    <t>Request letter; did not provide numbers for 5-year revenue, but did specify direct loss from ex-vessel revenue</t>
  </si>
  <si>
    <t>2005-2014</t>
  </si>
  <si>
    <t>WASHINGTON, TRIBAL</t>
  </si>
  <si>
    <t>SALMON, COHO, CHINOOK, CHUM</t>
  </si>
  <si>
    <t>Request letter. No economic est from Squaxin or Nisqually; econ est from Port Gamble or S'Klallam.</t>
  </si>
  <si>
    <t>CRAB, DUNGENESS AND ROCK</t>
  </si>
  <si>
    <t>CDFW and value from PacFIN</t>
  </si>
  <si>
    <t>SALMON, COHO</t>
  </si>
  <si>
    <t>NOAA; data is state wide and doesn’t isolate Willapa and Grays. No tribal esitmate</t>
  </si>
  <si>
    <t>GEORGIA</t>
  </si>
  <si>
    <t>SHRIMP, WHITE</t>
  </si>
  <si>
    <t>NOAA press release</t>
  </si>
  <si>
    <t>NEW YORK AND NEW JERSEY</t>
  </si>
  <si>
    <t>Oyster, Eastern</t>
  </si>
  <si>
    <t xml:space="preserve"> FFWCC - Commercial Fisheries Landings Summaries report creator</t>
  </si>
  <si>
    <t>2011-2012</t>
  </si>
  <si>
    <t>ADFG -isolated by region but not tribal</t>
  </si>
  <si>
    <t>2011-2013</t>
  </si>
  <si>
    <t>MA, ME, NH, CT, RI, and NY</t>
  </si>
  <si>
    <t>GROUNDFISH</t>
  </si>
  <si>
    <t>NOAA- in house species selection</t>
  </si>
  <si>
    <t>MISSISSIPPI</t>
  </si>
  <si>
    <t>OREGON</t>
  </si>
  <si>
    <t>SALMON</t>
  </si>
  <si>
    <t>ODFW for all ports south of cape Falcon: Bandon, Brookings, Charleston, Depoe Bay, Garbaldi, Gold Beach, Florence, Nehalem, Netarts Bay, Newport, Pacific City, Port Orford, Siletz Bay, Waldport, Winchester Bay, Yachatz</t>
  </si>
  <si>
    <t>America Samoa</t>
  </si>
  <si>
    <t>BOTTOMFISH</t>
  </si>
  <si>
    <t>Federal Register</t>
  </si>
  <si>
    <t>LA, MS, AL, and FL</t>
  </si>
  <si>
    <t>ALASKA, YUKON</t>
  </si>
  <si>
    <t>ADFG - isloated by region</t>
  </si>
  <si>
    <t>MAINE</t>
  </si>
  <si>
    <t>SHELLFISH</t>
  </si>
  <si>
    <t>ME, MA, NH</t>
  </si>
  <si>
    <t>LOUISIANA</t>
  </si>
  <si>
    <t>VIRGINIA, MARYLAND</t>
  </si>
  <si>
    <t>CRAB, BLUE</t>
  </si>
  <si>
    <t>NOAA - do not isloate Chesepeake Bay</t>
  </si>
  <si>
    <t>WA, OR, CA</t>
  </si>
  <si>
    <t>West Coast Salmon</t>
  </si>
  <si>
    <t>NOAA; includes "rainbow trout" for steelhead. Did not isolate tribal</t>
  </si>
  <si>
    <t>CRAB, SNOW</t>
  </si>
  <si>
    <t>ADFG - does not islote just Bering Sea; wholesale value</t>
  </si>
  <si>
    <t>Total</t>
  </si>
  <si>
    <t>2005-2006</t>
  </si>
  <si>
    <t>ADFG - does not islote just Bering Sea</t>
  </si>
  <si>
    <t>SWFSC technical report on the Klamath</t>
  </si>
  <si>
    <t>AL, MS, FL, LA</t>
  </si>
  <si>
    <t>ALL FISHERIES</t>
  </si>
  <si>
    <t>NOAA - in-house species selection</t>
  </si>
  <si>
    <t>MASSACHUSETTS</t>
  </si>
  <si>
    <t>2000-2003</t>
  </si>
  <si>
    <t xml:space="preserve">CRAB, BLUE </t>
  </si>
  <si>
    <t>1997-2000</t>
  </si>
  <si>
    <t>ADFG</t>
  </si>
  <si>
    <t>1999-2001</t>
  </si>
  <si>
    <t>WASHINGTON + TRIBAL</t>
  </si>
  <si>
    <t>SALMON,SOCKEYE</t>
  </si>
  <si>
    <t>Request letter - specifies loss to " treay Indian" and "non-Indian" communities as "direct benefits" assumed to be total over multi-year period</t>
  </si>
  <si>
    <t>Blue crab, white shrimp, oyester,scallop,flounder,snapper,Grouper</t>
  </si>
  <si>
    <t>NEW YORK, CT</t>
  </si>
  <si>
    <t>LOBSTER, AMERICAN</t>
  </si>
  <si>
    <t>CA, OR, WA</t>
  </si>
  <si>
    <t>GROUNDFISH, MULTISPECIES</t>
  </si>
  <si>
    <t>PacFIN Commercial Groundfish Catch Report for All Gear Types and All Areas</t>
  </si>
  <si>
    <t>STONE CRAB, SPINY LOBSTER</t>
  </si>
  <si>
    <t>LA, MS</t>
  </si>
  <si>
    <t>SHRIMO, BROWN</t>
  </si>
  <si>
    <t>ALASKA, BRISTOL BAY &amp; KUSKOKWIM</t>
  </si>
  <si>
    <t>MA, ME, CT, RI, NH</t>
  </si>
  <si>
    <t>NOAA - no American Plaice</t>
  </si>
  <si>
    <t>AL, FL, MI, TA, LA</t>
  </si>
  <si>
    <t>1992-1994</t>
  </si>
  <si>
    <t>TOTal</t>
  </si>
  <si>
    <t>MA</t>
  </si>
  <si>
    <t>Species</t>
  </si>
  <si>
    <t>Region</t>
  </si>
  <si>
    <t>Area</t>
  </si>
  <si>
    <t>Tribe</t>
  </si>
  <si>
    <t>California</t>
  </si>
  <si>
    <t>Chinook Salmon</t>
  </si>
  <si>
    <t>West Coast Region</t>
  </si>
  <si>
    <t>Klamath River Fall</t>
  </si>
  <si>
    <t>Tribal (Yurok)</t>
  </si>
  <si>
    <t>Oregon and California</t>
  </si>
  <si>
    <t>Tribal (Yurok &amp; Hoopa)</t>
  </si>
  <si>
    <t>Washington</t>
  </si>
  <si>
    <t>Coho and Pink Salmon</t>
  </si>
  <si>
    <t>Tribal (Hoh, Stillaguamish, Nooksak, Muckleshoot, Quileute, Upper Skagit, Suquamish)</t>
  </si>
  <si>
    <t>Klamath River</t>
  </si>
  <si>
    <t>Tribal (Yurok) / Commercial</t>
  </si>
  <si>
    <t xml:space="preserve">Coho, Chinook, Chum </t>
  </si>
  <si>
    <t xml:space="preserve">South Puget Sound </t>
  </si>
  <si>
    <t>Tribal (Nisqually, Squaxin Island, Port Gamble S'Klallam, Jamestown S'Klallam)</t>
  </si>
  <si>
    <t>Sockeye Salmon</t>
  </si>
  <si>
    <t>Fraser River</t>
  </si>
  <si>
    <t>Tribal (Elwha, Makah, Swinomish Tribes)</t>
  </si>
  <si>
    <t>2007 (continuation)</t>
  </si>
  <si>
    <t>Commercial</t>
  </si>
  <si>
    <t>State</t>
  </si>
  <si>
    <t>Fishery</t>
  </si>
  <si>
    <t>Management</t>
  </si>
  <si>
    <t>LA, MS,AL</t>
  </si>
  <si>
    <t>Oyster, crab, shrimp, finfish</t>
  </si>
  <si>
    <t>Federal</t>
  </si>
  <si>
    <t>CA</t>
  </si>
  <si>
    <t>Chinook</t>
  </si>
  <si>
    <t>Tribal</t>
  </si>
  <si>
    <t>WA</t>
  </si>
  <si>
    <t>Sockeye</t>
  </si>
  <si>
    <t>contin</t>
  </si>
  <si>
    <t>Salmon</t>
  </si>
  <si>
    <t>2002-2009</t>
  </si>
  <si>
    <t>Federal, Tribal</t>
  </si>
  <si>
    <t>SouthEast</t>
  </si>
  <si>
    <t>All fisheries</t>
  </si>
  <si>
    <t>Disaster Number</t>
  </si>
  <si>
    <t>Number of years</t>
  </si>
  <si>
    <t>Revenue loss (US$ 2019)</t>
  </si>
  <si>
    <t>Revencue change ( %)</t>
  </si>
  <si>
    <t>Data or No Data</t>
  </si>
  <si>
    <t>Data</t>
  </si>
  <si>
    <t>No Data</t>
  </si>
  <si>
    <t>(-)26.7135% and (-)16.4367%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</si>
</sst>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%"/>
    <numFmt numFmtId="166" formatCode="&quot;$&quot;#,##0"/>
    <numFmt numFmtId="167" formatCode="0.000%"/>
    <numFmt numFmtId="168" formatCode="&quot;$&quot;#,##0.00"/>
    <numFmt numFmtId="169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3">
    <xf numFmtId="0" fontId="0" fillId="0" borderId="0" xfId="0"/>
    <xf numFmtId="10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8" fillId="0" borderId="10" xfId="0" applyFont="1" applyBorder="1"/>
    <xf numFmtId="0" fontId="0" fillId="34" borderId="10" xfId="0" applyFill="1" applyBorder="1"/>
    <xf numFmtId="0" fontId="0" fillId="0" borderId="0" xfId="0" applyBorder="1"/>
    <xf numFmtId="3" fontId="0" fillId="0" borderId="0" xfId="0" applyNumberFormat="1" applyBorder="1"/>
    <xf numFmtId="0" fontId="0" fillId="33" borderId="10" xfId="0" applyFill="1" applyBorder="1"/>
    <xf numFmtId="44" fontId="0" fillId="0" borderId="0" xfId="2" applyFont="1"/>
    <xf numFmtId="0" fontId="0" fillId="0" borderId="0" xfId="0" applyFill="1" applyBorder="1"/>
    <xf numFmtId="0" fontId="0" fillId="0" borderId="10" xfId="0" applyFill="1" applyBorder="1"/>
    <xf numFmtId="0" fontId="0" fillId="0" borderId="0" xfId="1" applyNumberFormat="1" applyFont="1"/>
    <xf numFmtId="164" fontId="0" fillId="0" borderId="0" xfId="3" applyNumberFormat="1" applyFont="1" applyBorder="1"/>
    <xf numFmtId="164" fontId="0" fillId="0" borderId="0" xfId="0" applyNumberFormat="1" applyBorder="1"/>
    <xf numFmtId="44" fontId="0" fillId="0" borderId="0" xfId="2" applyFont="1" applyBorder="1"/>
    <xf numFmtId="0" fontId="0" fillId="34" borderId="0" xfId="0" applyFill="1" applyBorder="1"/>
    <xf numFmtId="0" fontId="0" fillId="0" borderId="11" xfId="0" applyFill="1" applyBorder="1"/>
    <xf numFmtId="0" fontId="0" fillId="0" borderId="11" xfId="0" applyBorder="1"/>
    <xf numFmtId="3" fontId="0" fillId="0" borderId="11" xfId="0" applyNumberFormat="1" applyBorder="1"/>
    <xf numFmtId="44" fontId="0" fillId="0" borderId="11" xfId="2" applyFont="1" applyBorder="1"/>
    <xf numFmtId="0" fontId="0" fillId="35" borderId="11" xfId="0" applyFill="1" applyBorder="1"/>
    <xf numFmtId="0" fontId="0" fillId="35" borderId="0" xfId="0" applyFill="1" applyBorder="1"/>
    <xf numFmtId="0" fontId="0" fillId="35" borderId="10" xfId="0" applyFill="1" applyBorder="1"/>
    <xf numFmtId="0" fontId="16" fillId="0" borderId="0" xfId="0" applyFont="1" applyAlignment="1">
      <alignment wrapText="1"/>
    </xf>
    <xf numFmtId="0" fontId="0" fillId="36" borderId="0" xfId="0" applyFill="1"/>
    <xf numFmtId="0" fontId="0" fillId="36" borderId="10" xfId="0" applyFill="1" applyBorder="1"/>
    <xf numFmtId="44" fontId="0" fillId="0" borderId="0" xfId="0" applyNumberFormat="1"/>
    <xf numFmtId="0" fontId="0" fillId="36" borderId="0" xfId="0" applyFill="1" applyBorder="1"/>
    <xf numFmtId="0" fontId="0" fillId="0" borderId="0" xfId="0" applyFill="1"/>
    <xf numFmtId="44" fontId="0" fillId="0" borderId="0" xfId="0" applyNumberFormat="1" applyFill="1" applyBorder="1"/>
    <xf numFmtId="44" fontId="0" fillId="0" borderId="0" xfId="0" applyNumberFormat="1" applyBorder="1"/>
    <xf numFmtId="0" fontId="0" fillId="33" borderId="0" xfId="0" applyFill="1" applyBorder="1"/>
    <xf numFmtId="165" fontId="0" fillId="0" borderId="0" xfId="3" applyNumberFormat="1" applyFont="1" applyBorder="1"/>
    <xf numFmtId="166" fontId="0" fillId="0" borderId="0" xfId="0" applyNumberFormat="1"/>
    <xf numFmtId="44" fontId="14" fillId="0" borderId="0" xfId="0" applyNumberFormat="1" applyFont="1" applyBorder="1"/>
    <xf numFmtId="9" fontId="0" fillId="0" borderId="0" xfId="3" applyFont="1"/>
    <xf numFmtId="3" fontId="0" fillId="0" borderId="10" xfId="0" applyNumberFormat="1" applyFill="1" applyBorder="1"/>
    <xf numFmtId="44" fontId="0" fillId="0" borderId="10" xfId="2" applyFont="1" applyFill="1" applyBorder="1"/>
    <xf numFmtId="44" fontId="0" fillId="0" borderId="10" xfId="0" applyNumberFormat="1" applyFill="1" applyBorder="1"/>
    <xf numFmtId="0" fontId="0" fillId="37" borderId="10" xfId="0" applyFill="1" applyBorder="1"/>
    <xf numFmtId="9" fontId="0" fillId="0" borderId="10" xfId="0" applyNumberFormat="1" applyFill="1" applyBorder="1"/>
    <xf numFmtId="0" fontId="0" fillId="37" borderId="11" xfId="0" applyFill="1" applyBorder="1"/>
    <xf numFmtId="44" fontId="0" fillId="0" borderId="11" xfId="0" applyNumberFormat="1" applyBorder="1"/>
    <xf numFmtId="43" fontId="0" fillId="0" borderId="11" xfId="1" applyFont="1" applyBorder="1"/>
    <xf numFmtId="9" fontId="0" fillId="0" borderId="11" xfId="3" applyFont="1" applyBorder="1"/>
    <xf numFmtId="0" fontId="0" fillId="34" borderId="11" xfId="0" applyFill="1" applyBorder="1"/>
    <xf numFmtId="9" fontId="0" fillId="0" borderId="11" xfId="0" applyNumberFormat="1" applyBorder="1"/>
    <xf numFmtId="44" fontId="14" fillId="0" borderId="0" xfId="2" applyFont="1" applyFill="1" applyBorder="1"/>
    <xf numFmtId="44" fontId="14" fillId="0" borderId="0" xfId="2" applyFont="1" applyFill="1"/>
    <xf numFmtId="43" fontId="0" fillId="0" borderId="10" xfId="1" applyFont="1" applyBorder="1"/>
    <xf numFmtId="10" fontId="0" fillId="0" borderId="0" xfId="3" applyNumberFormat="1" applyFont="1" applyBorder="1"/>
    <xf numFmtId="10" fontId="0" fillId="0" borderId="0" xfId="3" applyNumberFormat="1" applyFont="1"/>
    <xf numFmtId="165" fontId="0" fillId="0" borderId="0" xfId="3" applyNumberFormat="1" applyFont="1"/>
    <xf numFmtId="165" fontId="0" fillId="0" borderId="0" xfId="0" applyNumberFormat="1"/>
    <xf numFmtId="44" fontId="14" fillId="0" borderId="0" xfId="2" applyFont="1" applyBorder="1"/>
    <xf numFmtId="167" fontId="0" fillId="0" borderId="0" xfId="0" applyNumberFormat="1" applyBorder="1"/>
    <xf numFmtId="167" fontId="0" fillId="0" borderId="0" xfId="0" applyNumberFormat="1"/>
    <xf numFmtId="164" fontId="0" fillId="0" borderId="0" xfId="0" applyNumberFormat="1"/>
    <xf numFmtId="0" fontId="18" fillId="0" borderId="0" xfId="0" applyFont="1" applyFill="1" applyBorder="1"/>
    <xf numFmtId="0" fontId="18" fillId="0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8" fillId="0" borderId="1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0" xfId="0"/>
    <xf numFmtId="3" fontId="0" fillId="0" borderId="0" xfId="0" applyNumberFormat="1"/>
    <xf numFmtId="43" fontId="0" fillId="0" borderId="0" xfId="1" applyFont="1" applyBorder="1"/>
    <xf numFmtId="44" fontId="0" fillId="0" borderId="10" xfId="2" applyFont="1" applyBorder="1"/>
    <xf numFmtId="44" fontId="0" fillId="0" borderId="10" xfId="0" applyNumberFormat="1" applyBorder="1"/>
    <xf numFmtId="43" fontId="0" fillId="0" borderId="0" xfId="0" applyNumberFormat="1" applyBorder="1"/>
    <xf numFmtId="3" fontId="0" fillId="0" borderId="0" xfId="0" applyNumberFormat="1" applyFill="1" applyBorder="1"/>
    <xf numFmtId="164" fontId="0" fillId="0" borderId="0" xfId="3" applyNumberFormat="1" applyFont="1" applyFill="1" applyBorder="1"/>
    <xf numFmtId="164" fontId="0" fillId="0" borderId="0" xfId="0" applyNumberFormat="1" applyFill="1" applyBorder="1"/>
    <xf numFmtId="44" fontId="0" fillId="0" borderId="0" xfId="2" applyFont="1" applyFill="1" applyBorder="1"/>
    <xf numFmtId="8" fontId="0" fillId="0" borderId="0" xfId="0" applyNumberFormat="1" applyFill="1"/>
    <xf numFmtId="168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19" fillId="0" borderId="1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0" xfId="0" applyFont="1" applyBorder="1"/>
    <xf numFmtId="44" fontId="0" fillId="0" borderId="0" xfId="2" applyFont="1" applyAlignment="1">
      <alignment vertical="center" wrapText="1"/>
    </xf>
    <xf numFmtId="44" fontId="14" fillId="0" borderId="0" xfId="2" applyFont="1" applyAlignment="1">
      <alignment vertical="center" wrapText="1"/>
    </xf>
    <xf numFmtId="0" fontId="14" fillId="0" borderId="0" xfId="0" applyFont="1"/>
    <xf numFmtId="165" fontId="0" fillId="0" borderId="0" xfId="3" applyNumberFormat="1" applyFont="1" applyAlignment="1">
      <alignment vertical="center" wrapText="1"/>
    </xf>
    <xf numFmtId="165" fontId="14" fillId="0" borderId="0" xfId="3" applyNumberFormat="1" applyFont="1" applyAlignment="1">
      <alignment vertical="center" wrapText="1"/>
    </xf>
    <xf numFmtId="8" fontId="0" fillId="0" borderId="10" xfId="0" applyNumberFormat="1" applyBorder="1"/>
    <xf numFmtId="9" fontId="0" fillId="0" borderId="0" xfId="3" applyFont="1" applyBorder="1"/>
    <xf numFmtId="169" fontId="0" fillId="0" borderId="10" xfId="1" applyNumberFormat="1" applyFont="1" applyBorder="1"/>
    <xf numFmtId="169" fontId="0" fillId="0" borderId="0" xfId="0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4A6912B-458B-4603-87E8-0373339EC276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enna Saccomanno" id="{964B3390-0EE2-4753-9E9E-CADBAC19F7AC}" userId="S::v.r.saccomanno@TNC.ORG::ef04f4cf-51ed-4e94-ae2d-4d52df00ea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9" dT="2019-11-22T17:32:46.70" personId="{964B3390-0EE2-4753-9E9E-CADBAC19F7AC}" id="{4B740E17-2A1F-4772-BB8C-BF1B22DB2D36}">
    <text>Revenue loss data was isolated from the request letter, not hand caclulated. Did not provide previous year estimates</text>
  </threadedComment>
  <threadedComment ref="A56" dT="2019-11-22T18:03:17.02" personId="{964B3390-0EE2-4753-9E9E-CADBAC19F7AC}" id="{5618D2EE-836C-4C26-B11D-19CBEC4AA8FF}">
    <text>Revenue loss data taken from the request letter, read "direct financial imact" but doesn't clarify if it is only revenue</text>
  </threadedComment>
  <threadedComment ref="A62" dT="2019-12-17T18:03:04.00" personId="{964B3390-0EE2-4753-9E9E-CADBAC19F7AC}" id="{2B54977F-3DC1-45F7-A507-E96A13B10B7E}">
    <text>Data from NOAA's analysis via a press release; high confidence</text>
  </threadedComment>
  <threadedComment ref="A63" dT="2019-12-28T00:54:19.89" personId="{964B3390-0EE2-4753-9E9E-CADBAC19F7AC}" id="{4A64515E-22B5-48E3-BE36-9DEDC6ED997D}">
    <text>Because regionally specific (Klamath River Fall Chinook), request estimates were used for OR and CA (not for tribal). These included ex-vessl value and 5-year average. Medium confidence.</text>
  </threadedComment>
  <threadedComment ref="A66" dT="2019-12-28T01:19:19.14" personId="{964B3390-0EE2-4753-9E9E-CADBAC19F7AC}" id="{6331224E-71D0-4C18-A8C5-C880DCB1287A}">
    <text>low confidence data; there were only numbers for 3 out of 7 impacted tribes; of these 3, estimates and averages
 were inconsistent.</text>
  </threadedComment>
  <threadedComment ref="A87" dT="2019-11-23T01:04:05.45" personId="{964B3390-0EE2-4753-9E9E-CADBAC19F7AC}" id="{4FCA40A7-F7B2-4820-83D7-B38413349532}">
    <text>Data taken from request letter; not 5-year historical data provided, however they state "direct economic estimate based on ex-vessel value". Medium confidence.</text>
  </threadedComment>
  <threadedComment ref="A89" dT="2019-12-31T20:01:41.04" personId="{964B3390-0EE2-4753-9E9E-CADBAC19F7AC}" id="{35AB7E0A-6BAD-479E-BF67-6FA85536DE8B}">
    <text>Used request letter. No econ est from Squaxin or Nisqually; econ est from Port Gamble or S'Klallam. Low confidence</text>
  </threadedComment>
  <threadedComment ref="B98" dT="2019-11-23T01:05:15.03" personId="{964B3390-0EE2-4753-9E9E-CADBAC19F7AC}" id="{CA2417E6-D14C-4271-AD20-E31922A58869}">
    <text>Data is state wide and doesn’t isolate Willapa and Grays</text>
  </threadedComment>
  <threadedComment ref="A110" dT="2019-12-28T00:24:40.02" personId="{964B3390-0EE2-4753-9E9E-CADBAC19F7AC}" id="{4A721708-92D4-4874-AAAE-E96CE0CC945F}">
    <text>From PR; high confidence</text>
  </threadedComment>
  <threadedComment ref="A150" dT="2019-12-28T00:25:15.89" personId="{964B3390-0EE2-4753-9E9E-CADBAC19F7AC}" id="{7DD6A034-2C69-403F-9B6F-51C67A70590F}">
    <text>Data from the federal registrer; high confidence</text>
  </threadedComment>
  <threadedComment ref="A163" dT="2019-11-23T01:06:11.23" personId="{964B3390-0EE2-4753-9E9E-CADBAC19F7AC}" id="{B5222520-A64C-4AB4-8D17-E029B3CC372C}">
    <text>May not have got all regional "shellfish"</text>
  </threadedComment>
  <threadedComment ref="A206" dT="2019-11-23T01:07:04.62" personId="{964B3390-0EE2-4753-9E9E-CADBAC19F7AC}" id="{894A471B-FD03-4199-9211-3E271EAFB4BE}">
    <text>Doesn't capture just Bering Sea.</text>
  </threadedComment>
  <threadedComment ref="B238" dT="2019-11-23T01:08:13.57" personId="{964B3390-0EE2-4753-9E9E-CADBAC19F7AC}" id="{1D61D79B-747A-4EAB-AE3F-6808F188B3E7}">
    <text>Doesn't capture just Bering Sea.</text>
  </threadedComment>
  <threadedComment ref="B253" dT="2019-11-23T01:08:40.05" personId="{964B3390-0EE2-4753-9E9E-CADBAC19F7AC}" id="{933FB0AF-83A3-4CAC-B858-B6C863BE2926}">
    <text>Doesn't capture just Bering Sea.</text>
  </threadedComment>
  <threadedComment ref="A280" dT="2019-12-31T21:46:53.87" personId="{964B3390-0EE2-4753-9E9E-CADBAC19F7AC}" id="{CE8DC620-885E-4207-9560-1739914401CD}">
    <text>Estimates from request letter for both "Indian and non-Indian" losses; they do not break down data, but the do specify thatthe econ estimate is in "direct benefits". Medium confidence</text>
  </threadedComment>
  <threadedComment ref="B286" dT="2019-11-23T01:10:29.59" personId="{964B3390-0EE2-4753-9E9E-CADBAC19F7AC}" id="{E9D6DE67-47A9-4E44-A93E-E4BAEC5C8A47}">
    <text>Hand-selected specific species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6"/>
  <sheetViews>
    <sheetView tabSelected="1" topLeftCell="A298" zoomScaleNormal="100" workbookViewId="0">
      <pane xSplit="1" topLeftCell="B1" activePane="topRight" state="frozen"/>
      <selection pane="topRight" activeCell="F304" sqref="F304:N304"/>
    </sheetView>
  </sheetViews>
  <sheetFormatPr defaultRowHeight="14.4" x14ac:dyDescent="0.3"/>
  <cols>
    <col min="1" max="1" width="14.6640625" customWidth="1"/>
    <col min="2" max="2" width="18.44140625" customWidth="1"/>
    <col min="3" max="3" width="15.33203125" customWidth="1"/>
    <col min="4" max="4" width="16.33203125" customWidth="1"/>
    <col min="5" max="5" width="22.33203125" customWidth="1"/>
    <col min="6" max="6" width="16.109375" customWidth="1"/>
    <col min="7" max="7" width="17.33203125" customWidth="1"/>
    <col min="8" max="8" width="16.6640625" customWidth="1"/>
    <col min="9" max="9" width="15.6640625" customWidth="1"/>
    <col min="10" max="10" width="17.6640625" customWidth="1"/>
    <col min="11" max="11" width="16.5546875" customWidth="1"/>
    <col min="12" max="12" width="15.6640625" customWidth="1"/>
    <col min="13" max="13" width="24.109375" customWidth="1"/>
    <col min="14" max="14" width="23.88671875" customWidth="1"/>
    <col min="15" max="16" width="22.6640625" style="85" customWidth="1"/>
    <col min="17" max="17" width="8.88671875" style="73"/>
    <col min="18" max="18" width="26.88671875" customWidth="1"/>
    <col min="19" max="19" width="15.44140625" customWidth="1"/>
    <col min="20" max="20" width="9.6640625" bestFit="1" customWidth="1"/>
    <col min="21" max="21" width="16.44140625" bestFit="1" customWidth="1"/>
  </cols>
  <sheetData>
    <row r="1" spans="1:21" x14ac:dyDescent="0.3">
      <c r="A1" s="6"/>
      <c r="B1" s="73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R1" s="73"/>
      <c r="S1" s="73"/>
      <c r="T1" s="73"/>
      <c r="U1" s="73"/>
    </row>
    <row r="2" spans="1:21" x14ac:dyDescent="0.3">
      <c r="A2" s="7"/>
      <c r="B2" s="73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R2" s="73"/>
      <c r="S2" s="73"/>
      <c r="T2" s="73"/>
      <c r="U2" s="73"/>
    </row>
    <row r="3" spans="1:21" x14ac:dyDescent="0.3">
      <c r="A3" s="8"/>
      <c r="B3" s="73" t="s">
        <v>2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R3" s="73"/>
      <c r="S3" s="73"/>
      <c r="T3" s="73"/>
      <c r="U3" s="73"/>
    </row>
    <row r="5" spans="1:21" ht="72" x14ac:dyDescent="0.3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70" t="s">
        <v>17</v>
      </c>
      <c r="P5" s="70" t="s">
        <v>18</v>
      </c>
      <c r="R5" s="30" t="s">
        <v>19</v>
      </c>
      <c r="S5" s="30" t="s">
        <v>20</v>
      </c>
      <c r="T5" s="9" t="s">
        <v>21</v>
      </c>
      <c r="U5" s="73"/>
    </row>
    <row r="6" spans="1:21" ht="28.8" x14ac:dyDescent="0.3">
      <c r="A6" s="7">
        <v>90</v>
      </c>
      <c r="B6" s="73" t="s">
        <v>22</v>
      </c>
      <c r="C6" s="73">
        <v>2017</v>
      </c>
      <c r="D6" s="73" t="s">
        <v>23</v>
      </c>
      <c r="E6" s="73" t="s">
        <v>24</v>
      </c>
      <c r="F6" s="74">
        <v>952837</v>
      </c>
      <c r="G6" s="74">
        <v>61453</v>
      </c>
      <c r="H6" s="13">
        <f>AVERAGE(F7:F11)</f>
        <v>17646925</v>
      </c>
      <c r="I6" s="13">
        <f>AVERAGE(G7:G11)</f>
        <v>1653089</v>
      </c>
      <c r="J6" s="19">
        <f>F6/H6</f>
        <v>5.3994506125004782E-2</v>
      </c>
      <c r="K6" s="19">
        <f>G6/I6</f>
        <v>3.7174646979079774E-2</v>
      </c>
      <c r="L6" s="20">
        <f>K6-1</f>
        <v>-0.9628253530209202</v>
      </c>
      <c r="M6" s="21">
        <f>I6-G6</f>
        <v>1591636</v>
      </c>
      <c r="N6" s="21">
        <f>M6*1.06</f>
        <v>1687134.1600000001</v>
      </c>
      <c r="O6" s="85" t="s">
        <v>25</v>
      </c>
      <c r="P6" s="85" t="s">
        <v>26</v>
      </c>
      <c r="R6" s="1">
        <f>AVERAGE(L6,L12,L13,L19,L25,L31,L37,L43,L50,L68,L69,L75,L81,L91,L92,L104,L98,L110,L111,L117,L123,L124,L131,L132,L150,L157,L169,L200,L213, L214, L220,L226,L247,L130,L138,L151,L163,L175,L181,L187,L193,L199,L206,L207,L238,L240,L239,L253,L259,L265,L266,L267,L274,L286,L292,L298,L304,L310,L316,L322,L328,L232,L334,L340,L346,L352,L353,L354,L360,L63,L64,L66,L89,L144,)</f>
        <v>-0.31170272299422336</v>
      </c>
      <c r="S6" s="1">
        <f>MEDIAN(L6,L12,L19,L25,L31,L37,L43,L68,L75,L81,L91,L98,L104,L50,L111,L117,L123,L130,L138,L151,L157,L163,L169,L181,L187,L193,L199,L206,L213,L220,L226,L232,L238,L247,L253,L259,L265,L274,L286,L292,L298,L304,L310,L316,L322,L328,L334,L340,L346,L352,L360,L353,L354,L266,L267,L239,L240,L207,L175,L150,L131,L132,L110,L92,L69,L13,L63,L64,L66,L144)</f>
        <v>-0.3832877240414726</v>
      </c>
      <c r="T6" s="64">
        <f>AVERAGE(L6,L12,L13,L19,L25,L31,L37,L43,L63,L64,L66,L68,L69,L75,L81,L89,L91,L92,L98,L104,L110,L123,L124,L130,L131,L132, L144,L150,L151,L157,L163,L169,L193,L206,L207,L213,L214,L220,L226,L238,L239,L240,L247,L253,L259,L265,L266,L267,L274,L292,L298,L304,L310,L316,L328,L334,L340,L352,L353,L354,L360)</f>
        <v>-0.47089336429754614</v>
      </c>
      <c r="U6" s="73"/>
    </row>
    <row r="7" spans="1:21" x14ac:dyDescent="0.3">
      <c r="A7" s="7">
        <v>90</v>
      </c>
      <c r="B7" s="73" t="s">
        <v>22</v>
      </c>
      <c r="C7" s="73">
        <v>2016</v>
      </c>
      <c r="D7" s="73" t="s">
        <v>23</v>
      </c>
      <c r="E7" s="73" t="s">
        <v>24</v>
      </c>
      <c r="F7" s="74">
        <v>954160</v>
      </c>
      <c r="G7" s="74">
        <v>95657</v>
      </c>
      <c r="H7" s="73"/>
      <c r="I7" s="73"/>
      <c r="J7" s="73"/>
      <c r="K7" s="73"/>
      <c r="L7" s="73"/>
      <c r="M7" s="73"/>
      <c r="N7" s="73"/>
      <c r="R7" s="1">
        <f>STDEV(L6,L12,L13,L19,L25,L31,L37,L43,L50,L68,L69,L75,L81,L91,L92,L104,L98,L110,L111,L117,L123,L124,L131,L132,L150,L157,L169,L200,L213, L214, L220,L226,L247,L130,L138,L151,L163,L175,L181,L187,L193,L199,L206,L207,L238,L240,L239,L253,L259,L265,L266,L267,L274,L286,L292,L298,L304,L310,L316,L322,L328,L232,L334,L340,L346,L352,L353,L354,L360,L63,L64,L66,L89,L144)</f>
        <v>0.54455518415334747</v>
      </c>
      <c r="S7" s="73"/>
      <c r="T7" s="73">
        <f>STDEV(L6,L12,L13,L19,L25,L31,L37,L43,L63,L64,L66,L68,L69,L75,L81,L89,L91,L92,L98,L104,L110,L123,L124,L130,L131,L132, L144,L150,L151,L157,L163,L169,L193,L206,L207,L213,L214,L220,L226,L238,L239,L240,L247,L253,L259,L265,L266,L267,L274,L292,L298,L304,L310,L316,L328,L334,L340,L352,L353,L354,L360)</f>
        <v>0.34066143956437178</v>
      </c>
      <c r="U7" s="73"/>
    </row>
    <row r="8" spans="1:21" x14ac:dyDescent="0.3">
      <c r="A8" s="7">
        <v>90</v>
      </c>
      <c r="B8" s="73" t="s">
        <v>22</v>
      </c>
      <c r="C8" s="73">
        <v>2015</v>
      </c>
      <c r="D8" s="73" t="s">
        <v>23</v>
      </c>
      <c r="E8" s="73" t="s">
        <v>24</v>
      </c>
      <c r="F8" s="74">
        <v>3750940</v>
      </c>
      <c r="G8" s="74">
        <v>343148</v>
      </c>
      <c r="H8" s="73"/>
      <c r="I8" s="73"/>
      <c r="J8" s="73"/>
      <c r="K8" s="73"/>
      <c r="L8" s="73"/>
      <c r="M8" s="73"/>
      <c r="N8" s="73"/>
      <c r="R8" s="9" t="s">
        <v>27</v>
      </c>
      <c r="S8" s="73"/>
      <c r="T8" s="73"/>
      <c r="U8" s="73"/>
    </row>
    <row r="9" spans="1:21" x14ac:dyDescent="0.3">
      <c r="A9" s="7">
        <v>90</v>
      </c>
      <c r="B9" s="73" t="s">
        <v>22</v>
      </c>
      <c r="C9" s="73">
        <v>2014</v>
      </c>
      <c r="D9" s="73" t="s">
        <v>23</v>
      </c>
      <c r="E9" s="73" t="s">
        <v>24</v>
      </c>
      <c r="F9" s="74">
        <v>17132543</v>
      </c>
      <c r="G9" s="74">
        <v>2003074</v>
      </c>
      <c r="H9" s="73"/>
      <c r="I9" s="73"/>
      <c r="J9" s="73"/>
      <c r="K9" s="73"/>
      <c r="L9" s="73"/>
      <c r="M9" s="73"/>
      <c r="N9" s="73"/>
      <c r="R9" s="33">
        <f>SUM(N6,N12,N13,N19,N25,N31,N37,N43,N49,N56,N62,N68,N69,N75,N81,N87,N92,N98,N104,N110,N123,N124, N130,N131,N150,N151, N157, N163,N169,N193, N207, N213,N220, N226,N238,N239,N240,N247, N253,N259,N265,N266,N267,N274,N292,N298, N304,N310,N316, N280, N328,N334,N340,N352,N353,N354,N360,N63,N64,N66,N89,N144,)</f>
        <v>3226605151.8413744</v>
      </c>
      <c r="S9" s="73"/>
      <c r="T9" s="73"/>
      <c r="U9" s="33"/>
    </row>
    <row r="10" spans="1:21" x14ac:dyDescent="0.3">
      <c r="A10" s="7">
        <v>90</v>
      </c>
      <c r="B10" s="73" t="s">
        <v>22</v>
      </c>
      <c r="C10" s="73">
        <v>2013</v>
      </c>
      <c r="D10" s="73" t="s">
        <v>23</v>
      </c>
      <c r="E10" s="73" t="s">
        <v>24</v>
      </c>
      <c r="F10" s="74">
        <v>15594380</v>
      </c>
      <c r="G10" s="74">
        <v>1502104</v>
      </c>
      <c r="H10" s="73"/>
      <c r="I10" s="73"/>
      <c r="J10" s="73"/>
      <c r="K10" s="73"/>
      <c r="L10" s="73"/>
      <c r="M10" s="73"/>
      <c r="N10" s="73"/>
      <c r="R10" s="73"/>
      <c r="S10" s="73"/>
      <c r="T10" s="73"/>
      <c r="U10" s="73"/>
    </row>
    <row r="11" spans="1:21" x14ac:dyDescent="0.3">
      <c r="A11" s="11">
        <v>90</v>
      </c>
      <c r="B11" s="4" t="s">
        <v>22</v>
      </c>
      <c r="C11" s="4">
        <v>2012</v>
      </c>
      <c r="D11" s="4" t="s">
        <v>23</v>
      </c>
      <c r="E11" s="4" t="s">
        <v>24</v>
      </c>
      <c r="F11" s="5">
        <v>50802602</v>
      </c>
      <c r="G11" s="5">
        <v>4321462</v>
      </c>
      <c r="H11" s="4"/>
      <c r="I11" s="4"/>
      <c r="J11" s="4"/>
      <c r="K11" s="4"/>
      <c r="L11" s="4"/>
      <c r="M11" s="4"/>
      <c r="N11" s="4"/>
      <c r="O11" s="87"/>
      <c r="P11" s="87"/>
      <c r="R11" s="9" t="s">
        <v>28</v>
      </c>
      <c r="S11" s="73"/>
      <c r="T11" s="73"/>
      <c r="U11" s="73"/>
    </row>
    <row r="12" spans="1:21" x14ac:dyDescent="0.3">
      <c r="A12" s="73">
        <v>87</v>
      </c>
      <c r="B12" s="73" t="s">
        <v>29</v>
      </c>
      <c r="C12" s="73">
        <v>2017</v>
      </c>
      <c r="D12" s="73" t="s">
        <v>23</v>
      </c>
      <c r="E12" s="73" t="s">
        <v>30</v>
      </c>
      <c r="F12" s="74">
        <v>4181723.2159999995</v>
      </c>
      <c r="G12" s="74">
        <v>6372771</v>
      </c>
      <c r="H12" s="13">
        <f>AVERAGE(F14:F18)</f>
        <v>11718922.1644</v>
      </c>
      <c r="I12" s="13">
        <f>AVERAGE(G13:G18)</f>
        <v>8695693</v>
      </c>
      <c r="J12" s="39">
        <f>F12/H12</f>
        <v>0.35683513870442202</v>
      </c>
      <c r="K12" s="39">
        <f>G12/I12</f>
        <v>0.73286522419777245</v>
      </c>
      <c r="L12" s="20">
        <f>K12-1</f>
        <v>-0.26713477580222755</v>
      </c>
      <c r="M12" s="21">
        <f>I12-G12</f>
        <v>2322922</v>
      </c>
      <c r="N12" s="21">
        <f>M12*1.06</f>
        <v>2462297.3200000003</v>
      </c>
      <c r="O12" s="85" t="s">
        <v>31</v>
      </c>
      <c r="P12" s="85" t="s">
        <v>32</v>
      </c>
      <c r="R12" s="73">
        <f>63-R15</f>
        <v>51</v>
      </c>
      <c r="S12" s="73"/>
      <c r="T12" s="73"/>
      <c r="U12" s="73"/>
    </row>
    <row r="13" spans="1:21" x14ac:dyDescent="0.3">
      <c r="A13" s="73">
        <v>87</v>
      </c>
      <c r="B13" s="73" t="s">
        <v>29</v>
      </c>
      <c r="C13" s="73">
        <v>2016</v>
      </c>
      <c r="D13" s="73" t="s">
        <v>23</v>
      </c>
      <c r="E13" s="73" t="s">
        <v>30</v>
      </c>
      <c r="F13" s="74">
        <v>5883248.9319999991</v>
      </c>
      <c r="G13" s="74">
        <v>7266407</v>
      </c>
      <c r="H13" s="73"/>
      <c r="I13" s="73"/>
      <c r="J13" s="59">
        <f>F13/H12</f>
        <v>0.50202986669475991</v>
      </c>
      <c r="K13" s="59">
        <f>G13/I12</f>
        <v>0.83563288170362038</v>
      </c>
      <c r="L13" s="20">
        <f>K13-1</f>
        <v>-0.16436711829637962</v>
      </c>
      <c r="M13" s="74">
        <f>I12-G13</f>
        <v>1429286</v>
      </c>
      <c r="N13" s="15">
        <f>M13*1.09</f>
        <v>1557921.7400000002</v>
      </c>
      <c r="R13" s="73"/>
      <c r="S13" s="73"/>
      <c r="T13" s="73"/>
      <c r="U13" s="73"/>
    </row>
    <row r="14" spans="1:21" x14ac:dyDescent="0.3">
      <c r="A14" s="73">
        <v>87</v>
      </c>
      <c r="B14" s="73" t="s">
        <v>29</v>
      </c>
      <c r="C14" s="73">
        <v>2015</v>
      </c>
      <c r="D14" s="73" t="s">
        <v>23</v>
      </c>
      <c r="E14" s="73" t="s">
        <v>30</v>
      </c>
      <c r="F14" s="74">
        <v>8480952.6779999994</v>
      </c>
      <c r="G14" s="74">
        <v>7307988</v>
      </c>
      <c r="H14" s="73"/>
      <c r="I14" s="73"/>
      <c r="J14" s="73"/>
      <c r="K14" s="73"/>
      <c r="L14" s="73"/>
      <c r="M14" s="73"/>
      <c r="N14" s="73"/>
      <c r="R14" s="9" t="s">
        <v>33</v>
      </c>
      <c r="S14" s="73"/>
      <c r="T14" s="73"/>
      <c r="U14" s="73"/>
    </row>
    <row r="15" spans="1:21" x14ac:dyDescent="0.3">
      <c r="A15" s="73">
        <v>87</v>
      </c>
      <c r="B15" s="73" t="s">
        <v>29</v>
      </c>
      <c r="C15" s="73">
        <v>2014</v>
      </c>
      <c r="D15" s="73" t="s">
        <v>23</v>
      </c>
      <c r="E15" s="73" t="s">
        <v>30</v>
      </c>
      <c r="F15" s="74">
        <v>12501297.709999999</v>
      </c>
      <c r="G15" s="74">
        <v>9681958</v>
      </c>
      <c r="H15" s="73"/>
      <c r="I15" s="73"/>
      <c r="J15" s="73"/>
      <c r="K15" s="73"/>
      <c r="L15" s="73"/>
      <c r="M15" s="73"/>
      <c r="N15" s="73"/>
      <c r="R15" s="73">
        <v>12</v>
      </c>
      <c r="S15" s="73"/>
      <c r="T15" s="73"/>
      <c r="U15" s="73"/>
    </row>
    <row r="16" spans="1:21" x14ac:dyDescent="0.3">
      <c r="A16" s="73">
        <v>87</v>
      </c>
      <c r="B16" s="73" t="s">
        <v>29</v>
      </c>
      <c r="C16" s="73">
        <v>2013</v>
      </c>
      <c r="D16" s="73" t="s">
        <v>23</v>
      </c>
      <c r="E16" s="73" t="s">
        <v>30</v>
      </c>
      <c r="F16" s="74">
        <v>13932757.476</v>
      </c>
      <c r="G16" s="74">
        <v>10728739</v>
      </c>
      <c r="H16" s="73"/>
      <c r="I16" s="73"/>
      <c r="J16" s="73"/>
      <c r="K16" s="73"/>
      <c r="L16" s="73"/>
      <c r="M16" s="73"/>
      <c r="N16" s="73"/>
      <c r="R16" s="73"/>
      <c r="S16" s="73"/>
      <c r="T16" s="73"/>
      <c r="U16" s="73"/>
    </row>
    <row r="17" spans="1:18" x14ac:dyDescent="0.3">
      <c r="A17" s="12">
        <v>87</v>
      </c>
      <c r="B17" s="12" t="s">
        <v>29</v>
      </c>
      <c r="C17" s="12">
        <v>2012</v>
      </c>
      <c r="D17" s="12" t="s">
        <v>23</v>
      </c>
      <c r="E17" s="12" t="s">
        <v>30</v>
      </c>
      <c r="F17" s="13">
        <v>12114827.823999999</v>
      </c>
      <c r="G17" s="13">
        <v>8997322</v>
      </c>
      <c r="H17" s="12"/>
      <c r="I17" s="12"/>
      <c r="J17" s="12"/>
      <c r="K17" s="12"/>
      <c r="L17" s="12"/>
      <c r="M17" s="12"/>
      <c r="N17" s="12"/>
      <c r="R17" s="9" t="s">
        <v>34</v>
      </c>
    </row>
    <row r="18" spans="1:18" x14ac:dyDescent="0.3">
      <c r="A18" s="4">
        <v>87</v>
      </c>
      <c r="B18" s="4" t="s">
        <v>35</v>
      </c>
      <c r="C18" s="4">
        <v>2011</v>
      </c>
      <c r="D18" s="4" t="s">
        <v>23</v>
      </c>
      <c r="E18" s="4" t="s">
        <v>30</v>
      </c>
      <c r="F18" s="56">
        <v>11564775.134</v>
      </c>
      <c r="G18" s="56">
        <v>8191744</v>
      </c>
      <c r="H18" s="4"/>
      <c r="I18" s="4"/>
      <c r="J18" s="4"/>
      <c r="K18" s="4"/>
      <c r="L18" s="4"/>
      <c r="M18" s="4" t="s">
        <v>36</v>
      </c>
      <c r="N18" s="77">
        <f>N12+N13</f>
        <v>4020219.0600000005</v>
      </c>
      <c r="O18" s="87"/>
      <c r="P18" s="87"/>
      <c r="R18" s="9"/>
    </row>
    <row r="19" spans="1:18" ht="48.6" customHeight="1" x14ac:dyDescent="0.3">
      <c r="A19" s="22">
        <v>85</v>
      </c>
      <c r="B19" s="12">
        <v>2018</v>
      </c>
      <c r="C19" s="73">
        <v>2018</v>
      </c>
      <c r="D19" s="16" t="s">
        <v>37</v>
      </c>
      <c r="E19" s="16" t="s">
        <v>38</v>
      </c>
      <c r="F19" s="73">
        <v>593</v>
      </c>
      <c r="G19" s="73">
        <v>859</v>
      </c>
      <c r="H19" s="13">
        <f>AVERAGE(F20:F24)</f>
        <v>8672067.5999999996</v>
      </c>
      <c r="I19" s="13">
        <f>AVERAGE(G20:G24)</f>
        <v>12294953.4</v>
      </c>
      <c r="J19" s="19">
        <f>F19/H19</f>
        <v>6.8380463270373959E-5</v>
      </c>
      <c r="K19" s="19">
        <f>G19/I19</f>
        <v>6.9866063908790408E-5</v>
      </c>
      <c r="L19" s="20">
        <f>K19-1</f>
        <v>-0.9999301339360912</v>
      </c>
      <c r="M19" s="21">
        <f>I19-G19</f>
        <v>12294094.4</v>
      </c>
      <c r="N19" s="21">
        <f>M19*1.04</f>
        <v>12785858.176000001</v>
      </c>
      <c r="O19" s="89" t="s">
        <v>39</v>
      </c>
      <c r="P19" s="89" t="s">
        <v>40</v>
      </c>
      <c r="R19" s="42">
        <f>R12/63</f>
        <v>0.80952380952380953</v>
      </c>
    </row>
    <row r="20" spans="1:18" x14ac:dyDescent="0.3">
      <c r="A20" s="22">
        <v>85</v>
      </c>
      <c r="B20" s="12">
        <v>2018</v>
      </c>
      <c r="C20" s="73">
        <v>2017</v>
      </c>
      <c r="D20" s="16" t="s">
        <v>37</v>
      </c>
      <c r="E20" s="16" t="s">
        <v>38</v>
      </c>
      <c r="F20" s="74">
        <v>5478561</v>
      </c>
      <c r="G20" s="74">
        <v>7265365</v>
      </c>
      <c r="H20" s="12"/>
      <c r="I20" s="12"/>
      <c r="J20" s="12"/>
      <c r="K20" s="12"/>
      <c r="L20" s="12"/>
      <c r="M20" s="12"/>
      <c r="N20" s="12"/>
      <c r="R20" s="73"/>
    </row>
    <row r="21" spans="1:18" x14ac:dyDescent="0.3">
      <c r="A21" s="22">
        <v>85</v>
      </c>
      <c r="B21" s="12">
        <v>2018</v>
      </c>
      <c r="C21" s="73">
        <v>2016</v>
      </c>
      <c r="D21" s="16" t="s">
        <v>37</v>
      </c>
      <c r="E21" s="16" t="s">
        <v>38</v>
      </c>
      <c r="F21" s="74">
        <v>8211690</v>
      </c>
      <c r="G21" s="74">
        <v>9755160</v>
      </c>
      <c r="H21" s="12"/>
      <c r="I21" s="12"/>
      <c r="J21" s="12"/>
      <c r="K21" s="12"/>
      <c r="L21" s="12"/>
      <c r="M21" s="12"/>
      <c r="N21" s="12"/>
      <c r="R21" s="73"/>
    </row>
    <row r="22" spans="1:18" x14ac:dyDescent="0.3">
      <c r="A22" s="22">
        <v>85</v>
      </c>
      <c r="B22" s="16">
        <v>2018</v>
      </c>
      <c r="C22" s="73">
        <v>2015</v>
      </c>
      <c r="D22" s="16" t="s">
        <v>37</v>
      </c>
      <c r="E22" s="16" t="s">
        <v>38</v>
      </c>
      <c r="F22" s="74">
        <v>8479027</v>
      </c>
      <c r="G22" s="74">
        <v>7275105</v>
      </c>
      <c r="H22" s="12"/>
      <c r="I22" s="12"/>
      <c r="J22" s="12"/>
      <c r="K22" s="12"/>
      <c r="L22" s="12"/>
      <c r="M22" s="12"/>
      <c r="N22" s="12"/>
      <c r="R22" s="73"/>
    </row>
    <row r="23" spans="1:18" x14ac:dyDescent="0.3">
      <c r="A23" s="22">
        <v>85</v>
      </c>
      <c r="B23" s="16">
        <v>2018</v>
      </c>
      <c r="C23" s="73">
        <v>2014</v>
      </c>
      <c r="D23" s="16" t="s">
        <v>37</v>
      </c>
      <c r="E23" s="16" t="s">
        <v>38</v>
      </c>
      <c r="F23" s="74">
        <v>4120247</v>
      </c>
      <c r="G23" s="18">
        <v>6963428</v>
      </c>
      <c r="H23" s="12"/>
      <c r="I23" s="12"/>
      <c r="J23" s="12"/>
      <c r="K23" s="12"/>
      <c r="L23" s="12"/>
      <c r="M23" s="12"/>
      <c r="N23" s="12"/>
      <c r="R23" s="73"/>
    </row>
    <row r="24" spans="1:18" x14ac:dyDescent="0.3">
      <c r="A24" s="11">
        <v>85</v>
      </c>
      <c r="B24" s="4">
        <v>2018</v>
      </c>
      <c r="C24" s="4">
        <v>2013</v>
      </c>
      <c r="D24" s="17" t="s">
        <v>37</v>
      </c>
      <c r="E24" s="17" t="s">
        <v>38</v>
      </c>
      <c r="F24" s="5">
        <v>17070813</v>
      </c>
      <c r="G24" s="5">
        <v>30215709</v>
      </c>
      <c r="H24" s="4"/>
      <c r="I24" s="4"/>
      <c r="J24" s="4"/>
      <c r="K24" s="4"/>
      <c r="L24" s="4"/>
      <c r="M24" s="4"/>
      <c r="N24" s="4"/>
      <c r="O24" s="87"/>
      <c r="P24" s="87"/>
      <c r="R24" s="73"/>
    </row>
    <row r="25" spans="1:18" ht="81" customHeight="1" x14ac:dyDescent="0.3">
      <c r="A25" s="73">
        <v>84</v>
      </c>
      <c r="B25" s="73">
        <v>2018</v>
      </c>
      <c r="C25" s="73">
        <v>2018</v>
      </c>
      <c r="D25" s="73" t="s">
        <v>41</v>
      </c>
      <c r="E25" s="73" t="s">
        <v>42</v>
      </c>
      <c r="F25" s="74">
        <v>45800000</v>
      </c>
      <c r="G25" s="74">
        <v>77900000</v>
      </c>
      <c r="H25" s="13">
        <f>AVERAGE(F26:F30)</f>
        <v>60500000</v>
      </c>
      <c r="I25" s="13">
        <f>AVERAGE(G26:G30)</f>
        <v>94825000</v>
      </c>
      <c r="J25" s="19">
        <f>F25/H25</f>
        <v>0.75702479338842976</v>
      </c>
      <c r="K25" s="19">
        <f>G25/I25</f>
        <v>0.82151331399947269</v>
      </c>
      <c r="L25" s="20">
        <f>K25-1</f>
        <v>-0.17848668600052731</v>
      </c>
      <c r="M25" s="21">
        <f>I25-G25</f>
        <v>16925000</v>
      </c>
      <c r="N25" s="2">
        <f>M25*1.04</f>
        <v>17602000</v>
      </c>
      <c r="O25" s="85" t="s">
        <v>25</v>
      </c>
      <c r="P25" s="85" t="s">
        <v>43</v>
      </c>
      <c r="R25" s="73"/>
    </row>
    <row r="26" spans="1:18" x14ac:dyDescent="0.3">
      <c r="A26" s="73">
        <v>84</v>
      </c>
      <c r="B26" s="73">
        <v>2018</v>
      </c>
      <c r="C26" s="73">
        <v>2017</v>
      </c>
      <c r="D26" s="73" t="s">
        <v>41</v>
      </c>
      <c r="E26" s="73" t="s">
        <v>42</v>
      </c>
      <c r="F26" s="74">
        <v>54300000</v>
      </c>
      <c r="G26" s="74">
        <v>96500000</v>
      </c>
      <c r="H26" s="73"/>
      <c r="I26" s="73"/>
      <c r="J26" s="73"/>
      <c r="K26" s="73"/>
      <c r="L26" s="73"/>
      <c r="M26" s="73"/>
      <c r="N26" s="73"/>
      <c r="R26" s="73"/>
    </row>
    <row r="27" spans="1:18" x14ac:dyDescent="0.3">
      <c r="A27" s="73">
        <v>84</v>
      </c>
      <c r="B27" s="73">
        <v>2018</v>
      </c>
      <c r="C27" s="73">
        <v>2016</v>
      </c>
      <c r="D27" s="73" t="s">
        <v>41</v>
      </c>
      <c r="E27" s="73" t="s">
        <v>42</v>
      </c>
      <c r="F27" s="74">
        <v>60000000</v>
      </c>
      <c r="G27" s="74">
        <v>94000000</v>
      </c>
      <c r="H27" s="73"/>
      <c r="I27" s="73"/>
      <c r="J27" s="73"/>
      <c r="K27" s="73"/>
      <c r="L27" s="73"/>
      <c r="M27" s="73"/>
      <c r="N27" s="73"/>
      <c r="R27" s="73"/>
    </row>
    <row r="28" spans="1:18" x14ac:dyDescent="0.3">
      <c r="A28" s="73">
        <v>84</v>
      </c>
      <c r="B28" s="73">
        <v>2018</v>
      </c>
      <c r="C28" s="73">
        <v>2015</v>
      </c>
      <c r="D28" s="73" t="s">
        <v>41</v>
      </c>
      <c r="E28" s="73" t="s">
        <v>42</v>
      </c>
      <c r="F28" s="74">
        <v>66000000</v>
      </c>
      <c r="G28" s="74">
        <v>95000000</v>
      </c>
      <c r="H28" s="73"/>
      <c r="I28" s="73"/>
      <c r="J28" s="73"/>
      <c r="K28" s="73"/>
      <c r="L28" s="73"/>
      <c r="M28" s="73"/>
      <c r="N28" s="73"/>
      <c r="R28" s="73"/>
    </row>
    <row r="29" spans="1:18" x14ac:dyDescent="0.3">
      <c r="A29" s="73">
        <v>84</v>
      </c>
      <c r="B29" s="73">
        <v>2018</v>
      </c>
      <c r="C29" s="73">
        <v>2014</v>
      </c>
      <c r="D29" s="73" t="s">
        <v>41</v>
      </c>
      <c r="E29" s="73" t="s">
        <v>42</v>
      </c>
      <c r="F29" s="74">
        <v>61700000</v>
      </c>
      <c r="G29" s="74">
        <v>93800000</v>
      </c>
      <c r="H29" s="73"/>
      <c r="I29" s="73"/>
      <c r="J29" s="73"/>
      <c r="K29" s="73"/>
      <c r="L29" s="73"/>
      <c r="M29" s="73"/>
      <c r="N29" s="73"/>
      <c r="R29" s="73"/>
    </row>
    <row r="30" spans="1:18" x14ac:dyDescent="0.3">
      <c r="A30" s="4">
        <v>84</v>
      </c>
      <c r="B30" s="4">
        <v>2018</v>
      </c>
      <c r="C30" s="4">
        <v>2013</v>
      </c>
      <c r="D30" s="4" t="s">
        <v>41</v>
      </c>
      <c r="E30" s="4" t="s">
        <v>42</v>
      </c>
      <c r="F30" s="4" t="s">
        <v>44</v>
      </c>
      <c r="G30" s="4" t="s">
        <v>44</v>
      </c>
      <c r="H30" s="4"/>
      <c r="I30" s="4"/>
      <c r="J30" s="4"/>
      <c r="K30" s="4"/>
      <c r="L30" s="4"/>
      <c r="M30" s="4"/>
      <c r="N30" s="4"/>
      <c r="O30" s="87"/>
      <c r="P30" s="87"/>
      <c r="R30" s="73"/>
    </row>
    <row r="31" spans="1:18" ht="46.2" customHeight="1" x14ac:dyDescent="0.3">
      <c r="A31" s="73">
        <v>83</v>
      </c>
      <c r="B31" s="73">
        <v>2018</v>
      </c>
      <c r="C31" s="73">
        <v>2018</v>
      </c>
      <c r="D31" s="73" t="s">
        <v>45</v>
      </c>
      <c r="E31" s="73" t="s">
        <v>42</v>
      </c>
      <c r="F31" s="74">
        <v>80728743</v>
      </c>
      <c r="G31" s="74">
        <v>227285094</v>
      </c>
      <c r="H31" s="13">
        <f>AVERAGE(F32:F36)</f>
        <v>88504348.799999997</v>
      </c>
      <c r="I31" s="13">
        <f>AVERAGE(G32:G36)</f>
        <v>240244750.40000001</v>
      </c>
      <c r="J31" s="19">
        <f>F31/H31</f>
        <v>0.91214436459420623</v>
      </c>
      <c r="K31" s="19">
        <f>G31/I31</f>
        <v>0.94605644294652602</v>
      </c>
      <c r="L31" s="20">
        <f>K31-1</f>
        <v>-5.3943557053473978E-2</v>
      </c>
      <c r="M31" s="21">
        <f>I31-G31</f>
        <v>12959656.400000006</v>
      </c>
      <c r="N31" s="2">
        <f>M31*1.04</f>
        <v>13478042.656000007</v>
      </c>
      <c r="O31" s="85" t="s">
        <v>31</v>
      </c>
      <c r="P31" s="85" t="s">
        <v>46</v>
      </c>
      <c r="R31" s="73"/>
    </row>
    <row r="32" spans="1:18" x14ac:dyDescent="0.3">
      <c r="A32" s="73">
        <v>83</v>
      </c>
      <c r="B32" s="73">
        <v>2018</v>
      </c>
      <c r="C32" s="73">
        <v>2017</v>
      </c>
      <c r="D32" s="73" t="s">
        <v>45</v>
      </c>
      <c r="E32" s="73" t="s">
        <v>42</v>
      </c>
      <c r="F32" s="74">
        <v>89450115</v>
      </c>
      <c r="G32" s="74">
        <v>233526439</v>
      </c>
      <c r="H32" s="73"/>
      <c r="I32" s="73"/>
      <c r="J32" s="73"/>
      <c r="K32" s="73"/>
      <c r="L32" s="73"/>
      <c r="M32" s="73"/>
      <c r="N32" s="73"/>
      <c r="R32" s="73"/>
    </row>
    <row r="33" spans="1:16" x14ac:dyDescent="0.3">
      <c r="A33" s="73">
        <v>83</v>
      </c>
      <c r="B33" s="73">
        <v>2018</v>
      </c>
      <c r="C33" s="73">
        <v>2016</v>
      </c>
      <c r="D33" s="73" t="s">
        <v>45</v>
      </c>
      <c r="E33" s="73" t="s">
        <v>42</v>
      </c>
      <c r="F33" s="74">
        <v>86589449</v>
      </c>
      <c r="G33" s="74">
        <v>231781226</v>
      </c>
      <c r="H33" s="73"/>
      <c r="I33" s="73"/>
      <c r="J33" s="73"/>
      <c r="K33" s="73"/>
      <c r="L33" s="73"/>
      <c r="M33" s="73"/>
      <c r="N33" s="73"/>
    </row>
    <row r="34" spans="1:16" x14ac:dyDescent="0.3">
      <c r="A34" s="73">
        <v>83</v>
      </c>
      <c r="B34" s="73">
        <v>2018</v>
      </c>
      <c r="C34" s="73">
        <v>2015</v>
      </c>
      <c r="D34" s="73" t="s">
        <v>45</v>
      </c>
      <c r="E34" s="73" t="s">
        <v>42</v>
      </c>
      <c r="F34" s="74">
        <v>85093806</v>
      </c>
      <c r="G34" s="74">
        <v>243820736</v>
      </c>
      <c r="H34" s="73"/>
      <c r="I34" s="73"/>
      <c r="J34" s="73"/>
      <c r="K34" s="73"/>
      <c r="L34" s="73"/>
      <c r="M34" s="73"/>
      <c r="N34" s="73"/>
    </row>
    <row r="35" spans="1:16" x14ac:dyDescent="0.3">
      <c r="A35" s="73">
        <v>83</v>
      </c>
      <c r="B35" s="73">
        <v>2018</v>
      </c>
      <c r="C35" s="73">
        <v>2014</v>
      </c>
      <c r="D35" s="73" t="s">
        <v>45</v>
      </c>
      <c r="E35" s="73" t="s">
        <v>42</v>
      </c>
      <c r="F35" s="74">
        <v>94599058</v>
      </c>
      <c r="G35" s="74">
        <v>261058174</v>
      </c>
      <c r="H35" s="73"/>
      <c r="I35" s="73"/>
      <c r="J35" s="73"/>
      <c r="K35" s="73"/>
      <c r="L35" s="73"/>
      <c r="M35" s="73"/>
      <c r="N35" s="73"/>
    </row>
    <row r="36" spans="1:16" x14ac:dyDescent="0.3">
      <c r="A36" s="4">
        <v>83</v>
      </c>
      <c r="B36" s="4">
        <v>2018</v>
      </c>
      <c r="C36" s="4">
        <v>2013</v>
      </c>
      <c r="D36" s="4" t="s">
        <v>45</v>
      </c>
      <c r="E36" s="4" t="s">
        <v>42</v>
      </c>
      <c r="F36" s="5">
        <v>86789316</v>
      </c>
      <c r="G36" s="5">
        <v>231037177</v>
      </c>
      <c r="H36" s="4"/>
      <c r="I36" s="4"/>
      <c r="J36" s="4"/>
      <c r="K36" s="4"/>
      <c r="L36" s="4"/>
      <c r="M36" s="4"/>
      <c r="N36" s="4"/>
      <c r="O36" s="87"/>
      <c r="P36" s="87"/>
    </row>
    <row r="37" spans="1:16" ht="72" x14ac:dyDescent="0.3">
      <c r="A37" s="16">
        <v>82</v>
      </c>
      <c r="B37" s="16">
        <v>2018</v>
      </c>
      <c r="C37" s="73">
        <v>2018</v>
      </c>
      <c r="D37" s="16" t="s">
        <v>47</v>
      </c>
      <c r="E37" s="16" t="s">
        <v>48</v>
      </c>
      <c r="F37" s="73">
        <f>1884201+9729526</f>
        <v>11613727</v>
      </c>
      <c r="G37" s="73">
        <f>8584748+20047148</f>
        <v>28631896</v>
      </c>
      <c r="H37" s="13">
        <f>AVERAGE(F38:F42)</f>
        <v>11088788</v>
      </c>
      <c r="I37" s="13">
        <f>AVERAGE(G38:G42)</f>
        <v>29009604.600000001</v>
      </c>
      <c r="J37" s="19">
        <f>F37/H37</f>
        <v>1.0473396190819051</v>
      </c>
      <c r="K37" s="19">
        <f>G37/I37</f>
        <v>0.98697987769195583</v>
      </c>
      <c r="L37" s="20">
        <f>K37-1</f>
        <v>-1.3020122308044169E-2</v>
      </c>
      <c r="M37" s="21">
        <f>I37-G37</f>
        <v>377708.60000000149</v>
      </c>
      <c r="N37" s="2">
        <f>M37*1.04</f>
        <v>392816.94400000159</v>
      </c>
      <c r="O37" s="85" t="s">
        <v>31</v>
      </c>
      <c r="P37" s="85" t="s">
        <v>49</v>
      </c>
    </row>
    <row r="38" spans="1:16" x14ac:dyDescent="0.3">
      <c r="A38" s="16">
        <v>82</v>
      </c>
      <c r="B38" s="16">
        <v>2018</v>
      </c>
      <c r="C38" s="73">
        <v>2017</v>
      </c>
      <c r="D38" s="16" t="s">
        <v>47</v>
      </c>
      <c r="E38" s="16" t="s">
        <v>48</v>
      </c>
      <c r="F38" s="73">
        <f>13905392+2030641</f>
        <v>15936033</v>
      </c>
      <c r="G38" s="73">
        <f>29631076+8636198</f>
        <v>38267274</v>
      </c>
      <c r="H38" s="73"/>
      <c r="I38" s="73"/>
      <c r="J38" s="73"/>
      <c r="K38" s="73"/>
      <c r="L38" s="73"/>
      <c r="M38" s="73"/>
      <c r="N38" s="73"/>
    </row>
    <row r="39" spans="1:16" x14ac:dyDescent="0.3">
      <c r="A39" s="16">
        <v>82</v>
      </c>
      <c r="B39" s="16">
        <v>2018</v>
      </c>
      <c r="C39" s="73">
        <v>2016</v>
      </c>
      <c r="D39" s="16" t="s">
        <v>47</v>
      </c>
      <c r="E39" s="16" t="s">
        <v>48</v>
      </c>
      <c r="F39" s="73">
        <f>13195269+2067888</f>
        <v>15263157</v>
      </c>
      <c r="G39" s="73">
        <f>28247232+8329065</f>
        <v>36576297</v>
      </c>
      <c r="H39" s="73"/>
      <c r="I39" s="73"/>
      <c r="J39" s="73"/>
      <c r="K39" s="73"/>
      <c r="L39" s="73"/>
      <c r="M39" s="73"/>
      <c r="N39" s="73"/>
    </row>
    <row r="40" spans="1:16" x14ac:dyDescent="0.3">
      <c r="A40" s="16">
        <v>82</v>
      </c>
      <c r="B40" s="16">
        <v>2018</v>
      </c>
      <c r="C40" s="73">
        <v>2015</v>
      </c>
      <c r="D40" s="16" t="s">
        <v>47</v>
      </c>
      <c r="E40" s="16" t="s">
        <v>48</v>
      </c>
      <c r="F40" s="73">
        <f>9116730+2464472</f>
        <v>11581202</v>
      </c>
      <c r="G40" s="73">
        <f>16879782+9961507</f>
        <v>26841289</v>
      </c>
      <c r="H40" s="73"/>
      <c r="I40" s="73"/>
      <c r="J40" s="73"/>
      <c r="K40" s="73"/>
      <c r="L40" s="73"/>
      <c r="M40" s="73"/>
      <c r="N40" s="73"/>
    </row>
    <row r="41" spans="1:16" x14ac:dyDescent="0.3">
      <c r="A41" s="16">
        <v>82</v>
      </c>
      <c r="B41" s="16">
        <v>2018</v>
      </c>
      <c r="C41" s="73">
        <v>2014</v>
      </c>
      <c r="D41" s="16" t="s">
        <v>47</v>
      </c>
      <c r="E41" s="16" t="s">
        <v>48</v>
      </c>
      <c r="F41" s="73">
        <f>4690933+1806827</f>
        <v>6497760</v>
      </c>
      <c r="G41" s="73">
        <f>14145407+10406721</f>
        <v>24552128</v>
      </c>
      <c r="H41" s="73"/>
      <c r="I41" s="73"/>
      <c r="J41" s="73"/>
      <c r="K41" s="73"/>
      <c r="L41" s="73"/>
      <c r="M41" s="73"/>
      <c r="N41" s="73"/>
    </row>
    <row r="42" spans="1:16" x14ac:dyDescent="0.3">
      <c r="A42" s="17">
        <v>82</v>
      </c>
      <c r="B42" s="17">
        <v>2018</v>
      </c>
      <c r="C42" s="4">
        <v>2013</v>
      </c>
      <c r="D42" s="17" t="s">
        <v>47</v>
      </c>
      <c r="E42" s="17" t="s">
        <v>48</v>
      </c>
      <c r="F42" s="4">
        <f>4858885+1306903</f>
        <v>6165788</v>
      </c>
      <c r="G42" s="4">
        <f>12944880+5866155</f>
        <v>18811035</v>
      </c>
      <c r="H42" s="4"/>
      <c r="I42" s="4"/>
      <c r="J42" s="4"/>
      <c r="K42" s="4"/>
      <c r="L42" s="4"/>
      <c r="M42" s="4"/>
      <c r="N42" s="4"/>
      <c r="O42" s="87"/>
      <c r="P42" s="87"/>
    </row>
    <row r="43" spans="1:16" x14ac:dyDescent="0.3">
      <c r="A43" s="7">
        <v>81</v>
      </c>
      <c r="B43" s="73">
        <v>2018</v>
      </c>
      <c r="C43" s="73">
        <v>2018</v>
      </c>
      <c r="D43" s="73" t="s">
        <v>50</v>
      </c>
      <c r="E43" s="73" t="s">
        <v>51</v>
      </c>
      <c r="F43" s="74">
        <v>1931204</v>
      </c>
      <c r="G43" s="74">
        <v>791794</v>
      </c>
      <c r="H43" s="13">
        <f>AVERAGE(F44:F48)</f>
        <v>7097796.4000000004</v>
      </c>
      <c r="I43" s="13">
        <f>AVERAGE(G44:G48)</f>
        <v>2008671.6</v>
      </c>
      <c r="J43" s="19">
        <f>F43/H43</f>
        <v>0.27208500936995034</v>
      </c>
      <c r="K43" s="19">
        <f>G43/I43</f>
        <v>0.39418788018907619</v>
      </c>
      <c r="L43" s="20">
        <f>K43-1</f>
        <v>-0.60581211981092387</v>
      </c>
      <c r="M43" s="21">
        <f>I43-G43</f>
        <v>1216877.6000000001</v>
      </c>
      <c r="N43" s="2">
        <f>M43*1.04</f>
        <v>1265552.7040000001</v>
      </c>
      <c r="O43" s="85" t="s">
        <v>31</v>
      </c>
      <c r="P43" s="85" t="s">
        <v>52</v>
      </c>
    </row>
    <row r="44" spans="1:16" x14ac:dyDescent="0.3">
      <c r="A44" s="7">
        <v>81</v>
      </c>
      <c r="B44" s="73">
        <v>2018</v>
      </c>
      <c r="C44" s="73">
        <v>2017</v>
      </c>
      <c r="D44" s="73" t="s">
        <v>50</v>
      </c>
      <c r="E44" s="73" t="s">
        <v>51</v>
      </c>
      <c r="F44" s="74">
        <v>4407285</v>
      </c>
      <c r="G44" s="74">
        <v>1410331</v>
      </c>
      <c r="H44" s="73"/>
      <c r="I44" s="73"/>
      <c r="J44" s="73"/>
      <c r="K44" s="73"/>
      <c r="L44" s="73"/>
      <c r="M44" s="73"/>
      <c r="N44" s="73"/>
    </row>
    <row r="45" spans="1:16" x14ac:dyDescent="0.3">
      <c r="A45" s="7">
        <v>81</v>
      </c>
      <c r="B45" s="73">
        <v>2018</v>
      </c>
      <c r="C45" s="73">
        <v>2016</v>
      </c>
      <c r="D45" s="73" t="s">
        <v>50</v>
      </c>
      <c r="E45" s="73" t="s">
        <v>51</v>
      </c>
      <c r="F45" s="74">
        <v>7921976</v>
      </c>
      <c r="G45" s="74">
        <v>2218153</v>
      </c>
      <c r="H45" s="73"/>
      <c r="I45" s="73"/>
      <c r="J45" s="73"/>
      <c r="K45" s="73"/>
      <c r="L45" s="73"/>
      <c r="M45" s="73"/>
      <c r="N45" s="73"/>
    </row>
    <row r="46" spans="1:16" x14ac:dyDescent="0.3">
      <c r="A46" s="7">
        <v>81</v>
      </c>
      <c r="B46" s="73">
        <v>2018</v>
      </c>
      <c r="C46" s="73">
        <v>2015</v>
      </c>
      <c r="D46" s="73" t="s">
        <v>50</v>
      </c>
      <c r="E46" s="73" t="s">
        <v>51</v>
      </c>
      <c r="F46" s="74">
        <v>9266050</v>
      </c>
      <c r="G46" s="74">
        <v>2594494</v>
      </c>
      <c r="H46" s="73"/>
      <c r="I46" s="73"/>
      <c r="J46" s="73"/>
      <c r="K46" s="73"/>
      <c r="L46" s="73"/>
      <c r="M46" s="73"/>
      <c r="N46" s="73"/>
    </row>
    <row r="47" spans="1:16" x14ac:dyDescent="0.3">
      <c r="A47" s="7">
        <v>81</v>
      </c>
      <c r="B47" s="73">
        <v>2018</v>
      </c>
      <c r="C47" s="73">
        <v>2014</v>
      </c>
      <c r="D47" s="73" t="s">
        <v>50</v>
      </c>
      <c r="E47" s="73" t="s">
        <v>51</v>
      </c>
      <c r="F47" s="74">
        <v>6934184</v>
      </c>
      <c r="G47" s="74">
        <v>2010913</v>
      </c>
      <c r="H47" s="73"/>
      <c r="I47" s="73"/>
      <c r="J47" s="73"/>
      <c r="K47" s="73"/>
      <c r="L47" s="73"/>
      <c r="M47" s="73"/>
      <c r="N47" s="73"/>
    </row>
    <row r="48" spans="1:16" x14ac:dyDescent="0.3">
      <c r="A48" s="11">
        <v>81</v>
      </c>
      <c r="B48" s="4">
        <v>2018</v>
      </c>
      <c r="C48" s="4">
        <v>2013</v>
      </c>
      <c r="D48" s="4" t="s">
        <v>50</v>
      </c>
      <c r="E48" s="4" t="s">
        <v>51</v>
      </c>
      <c r="F48" s="5">
        <v>6959487</v>
      </c>
      <c r="G48" s="5">
        <v>1809467</v>
      </c>
      <c r="H48" s="4"/>
      <c r="I48" s="4"/>
      <c r="J48" s="4"/>
      <c r="K48" s="4"/>
      <c r="L48" s="4"/>
      <c r="M48" s="4"/>
      <c r="N48" s="4"/>
      <c r="O48" s="87"/>
      <c r="P48" s="87"/>
    </row>
    <row r="49" spans="1:16" x14ac:dyDescent="0.3">
      <c r="A49" s="27">
        <v>80</v>
      </c>
      <c r="B49" s="23">
        <v>2016</v>
      </c>
      <c r="C49" s="24"/>
      <c r="D49" s="23" t="s">
        <v>53</v>
      </c>
      <c r="E49" s="23" t="s">
        <v>54</v>
      </c>
      <c r="F49" s="25" t="s">
        <v>44</v>
      </c>
      <c r="G49" s="25" t="s">
        <v>44</v>
      </c>
      <c r="H49" s="24" t="s">
        <v>44</v>
      </c>
      <c r="I49" s="24" t="s">
        <v>44</v>
      </c>
      <c r="J49" s="24" t="s">
        <v>44</v>
      </c>
      <c r="K49" s="24" t="s">
        <v>44</v>
      </c>
      <c r="L49" s="24" t="s">
        <v>44</v>
      </c>
      <c r="M49" s="26">
        <f>343694+1218338</f>
        <v>1562032</v>
      </c>
      <c r="N49" s="26">
        <f>M49*1.09</f>
        <v>1702614.8800000001</v>
      </c>
      <c r="O49" s="88" t="s">
        <v>55</v>
      </c>
      <c r="P49" s="88" t="s">
        <v>56</v>
      </c>
    </row>
    <row r="50" spans="1:16" x14ac:dyDescent="0.3">
      <c r="A50" s="6">
        <v>79</v>
      </c>
      <c r="B50" s="73">
        <v>2017</v>
      </c>
      <c r="C50" s="73">
        <v>2017</v>
      </c>
      <c r="D50" s="73" t="s">
        <v>57</v>
      </c>
      <c r="E50" s="73" t="s">
        <v>42</v>
      </c>
      <c r="F50" s="74">
        <v>90671904</v>
      </c>
      <c r="G50" s="74">
        <v>230643922</v>
      </c>
      <c r="H50" s="13">
        <f>AVERAGE(F51:F55)</f>
        <v>83051949.599999994</v>
      </c>
      <c r="I50" s="13">
        <f>AVERAGE(G51:G55)</f>
        <v>222561297.19999999</v>
      </c>
      <c r="J50" s="19">
        <f>F50/H50</f>
        <v>1.0917492537706786</v>
      </c>
      <c r="K50" s="19">
        <f>G50/I50</f>
        <v>1.0363163986806598</v>
      </c>
      <c r="L50" s="20">
        <f>K50-1</f>
        <v>3.6316398680659834E-2</v>
      </c>
      <c r="M50" s="21">
        <f>I50-G50</f>
        <v>-8082624.8000000119</v>
      </c>
      <c r="N50" s="2">
        <f>M50*1.06</f>
        <v>-8567582.2880000137</v>
      </c>
      <c r="O50" s="85" t="s">
        <v>31</v>
      </c>
      <c r="P50" s="85" t="s">
        <v>58</v>
      </c>
    </row>
    <row r="51" spans="1:16" x14ac:dyDescent="0.3">
      <c r="A51" s="6">
        <v>79</v>
      </c>
      <c r="B51" s="73">
        <v>2017</v>
      </c>
      <c r="C51" s="73">
        <v>2016</v>
      </c>
      <c r="D51" s="73" t="s">
        <v>57</v>
      </c>
      <c r="E51" s="73" t="s">
        <v>42</v>
      </c>
      <c r="F51" s="74">
        <v>79357471</v>
      </c>
      <c r="G51" s="74">
        <v>205117011</v>
      </c>
      <c r="H51" s="73"/>
      <c r="I51" s="73"/>
      <c r="J51" s="73"/>
      <c r="K51" s="73"/>
      <c r="L51" s="73"/>
      <c r="M51" s="73"/>
      <c r="N51" s="73"/>
    </row>
    <row r="52" spans="1:16" x14ac:dyDescent="0.3">
      <c r="A52" s="6">
        <v>79</v>
      </c>
      <c r="B52" s="73">
        <v>2017</v>
      </c>
      <c r="C52" s="73">
        <v>2015</v>
      </c>
      <c r="D52" s="73" t="s">
        <v>57</v>
      </c>
      <c r="E52" s="73" t="s">
        <v>42</v>
      </c>
      <c r="F52" s="74">
        <v>84200599</v>
      </c>
      <c r="G52" s="74">
        <v>180375728</v>
      </c>
      <c r="H52" s="73"/>
      <c r="I52" s="73"/>
      <c r="J52" s="73"/>
      <c r="K52" s="73"/>
      <c r="L52" s="73"/>
      <c r="M52" s="73"/>
      <c r="N52" s="73"/>
    </row>
    <row r="53" spans="1:16" x14ac:dyDescent="0.3">
      <c r="A53" s="6">
        <v>79</v>
      </c>
      <c r="B53" s="73">
        <v>2017</v>
      </c>
      <c r="C53" s="73">
        <v>2014</v>
      </c>
      <c r="D53" s="73" t="s">
        <v>57</v>
      </c>
      <c r="E53" s="73" t="s">
        <v>42</v>
      </c>
      <c r="F53" s="74">
        <v>77959075</v>
      </c>
      <c r="G53" s="74">
        <v>263430198</v>
      </c>
      <c r="H53" s="73"/>
      <c r="I53" s="73"/>
      <c r="J53" s="73"/>
      <c r="K53" s="73"/>
      <c r="L53" s="73"/>
      <c r="M53" s="73"/>
      <c r="N53" s="73"/>
    </row>
    <row r="54" spans="1:16" x14ac:dyDescent="0.3">
      <c r="A54" s="6">
        <v>79</v>
      </c>
      <c r="B54" s="73">
        <v>2017</v>
      </c>
      <c r="C54" s="73">
        <v>2013</v>
      </c>
      <c r="D54" s="73" t="s">
        <v>57</v>
      </c>
      <c r="E54" s="73" t="s">
        <v>42</v>
      </c>
      <c r="F54" s="74">
        <v>83583262</v>
      </c>
      <c r="G54" s="74">
        <v>258123745</v>
      </c>
      <c r="H54" s="73"/>
      <c r="I54" s="73"/>
      <c r="J54" s="73"/>
      <c r="K54" s="73"/>
      <c r="L54" s="73"/>
      <c r="M54" s="73"/>
      <c r="N54" s="73"/>
    </row>
    <row r="55" spans="1:16" x14ac:dyDescent="0.3">
      <c r="A55" s="14">
        <v>79</v>
      </c>
      <c r="B55" s="4">
        <v>2017</v>
      </c>
      <c r="C55" s="4">
        <v>2012</v>
      </c>
      <c r="D55" s="4" t="s">
        <v>57</v>
      </c>
      <c r="E55" s="4" t="s">
        <v>42</v>
      </c>
      <c r="F55" s="5">
        <v>90159341</v>
      </c>
      <c r="G55" s="5">
        <v>205759804</v>
      </c>
      <c r="H55" s="4"/>
      <c r="I55" s="4"/>
      <c r="J55" s="4"/>
      <c r="K55" s="4"/>
      <c r="L55" s="4"/>
      <c r="M55" s="4"/>
      <c r="N55" s="4"/>
      <c r="O55" s="87"/>
      <c r="P55" s="87"/>
    </row>
    <row r="56" spans="1:16" ht="72" customHeight="1" x14ac:dyDescent="0.3">
      <c r="A56" s="8">
        <v>78</v>
      </c>
      <c r="B56" s="73">
        <v>2016</v>
      </c>
      <c r="C56" s="73">
        <v>2016</v>
      </c>
      <c r="D56" s="73" t="s">
        <v>53</v>
      </c>
      <c r="E56" s="73" t="s">
        <v>59</v>
      </c>
      <c r="F56" s="74">
        <v>7800</v>
      </c>
      <c r="G56" s="73"/>
      <c r="H56" s="13">
        <f>AVERAGE(F57:F61)</f>
        <v>163606.6</v>
      </c>
      <c r="I56" s="3">
        <v>201858</v>
      </c>
      <c r="J56" s="1">
        <v>4.8000000000000001E-2</v>
      </c>
      <c r="K56" s="73" t="s">
        <v>44</v>
      </c>
      <c r="L56" s="73" t="s">
        <v>44</v>
      </c>
      <c r="M56" s="15">
        <v>413290</v>
      </c>
      <c r="N56" s="15">
        <f>M56*1.09</f>
        <v>450486.10000000003</v>
      </c>
      <c r="O56" s="85" t="s">
        <v>55</v>
      </c>
      <c r="P56" s="85" t="s">
        <v>60</v>
      </c>
    </row>
    <row r="57" spans="1:16" x14ac:dyDescent="0.3">
      <c r="A57" s="8">
        <v>78</v>
      </c>
      <c r="B57" s="73">
        <v>2016</v>
      </c>
      <c r="C57" s="73">
        <v>2015</v>
      </c>
      <c r="D57" s="73" t="s">
        <v>53</v>
      </c>
      <c r="E57" s="73" t="s">
        <v>59</v>
      </c>
      <c r="F57" s="74">
        <v>49454</v>
      </c>
      <c r="G57" s="73"/>
      <c r="H57" s="73"/>
      <c r="I57" s="73"/>
      <c r="J57" s="73"/>
      <c r="K57" s="73"/>
      <c r="L57" s="73"/>
      <c r="M57" s="73"/>
      <c r="N57" s="73"/>
    </row>
    <row r="58" spans="1:16" x14ac:dyDescent="0.3">
      <c r="A58" s="8">
        <v>78</v>
      </c>
      <c r="B58" s="73">
        <v>2016</v>
      </c>
      <c r="C58" s="73">
        <v>2014</v>
      </c>
      <c r="D58" s="73" t="s">
        <v>53</v>
      </c>
      <c r="E58" s="73" t="s">
        <v>59</v>
      </c>
      <c r="F58" s="74">
        <v>299859</v>
      </c>
      <c r="G58" s="73"/>
      <c r="H58" s="73"/>
      <c r="I58" s="73"/>
      <c r="J58" s="73"/>
      <c r="K58" s="73"/>
      <c r="L58" s="73"/>
      <c r="M58" s="73"/>
      <c r="N58" s="73"/>
    </row>
    <row r="59" spans="1:16" x14ac:dyDescent="0.3">
      <c r="A59" s="8">
        <v>78</v>
      </c>
      <c r="B59" s="73">
        <v>2016</v>
      </c>
      <c r="C59" s="73">
        <v>2013</v>
      </c>
      <c r="D59" s="73" t="s">
        <v>53</v>
      </c>
      <c r="E59" s="73" t="s">
        <v>59</v>
      </c>
      <c r="F59" s="74">
        <v>120425</v>
      </c>
      <c r="G59" s="73"/>
      <c r="H59" s="73"/>
      <c r="I59" s="73"/>
      <c r="J59" s="73"/>
      <c r="K59" s="73"/>
      <c r="L59" s="73"/>
      <c r="M59" s="73"/>
      <c r="N59" s="73"/>
    </row>
    <row r="60" spans="1:16" x14ac:dyDescent="0.3">
      <c r="A60" s="28">
        <v>78</v>
      </c>
      <c r="B60" s="12">
        <v>2016</v>
      </c>
      <c r="C60" s="12">
        <v>2012</v>
      </c>
      <c r="D60" s="12" t="s">
        <v>53</v>
      </c>
      <c r="E60" s="12" t="s">
        <v>59</v>
      </c>
      <c r="F60" s="13">
        <v>108203</v>
      </c>
      <c r="G60" s="12"/>
      <c r="H60" s="12"/>
      <c r="I60" s="12"/>
      <c r="J60" s="12"/>
      <c r="K60" s="12"/>
      <c r="L60" s="12"/>
      <c r="M60" s="12"/>
      <c r="N60" s="12"/>
    </row>
    <row r="61" spans="1:16" x14ac:dyDescent="0.3">
      <c r="A61" s="29">
        <v>78</v>
      </c>
      <c r="B61" s="4">
        <v>2016</v>
      </c>
      <c r="C61" s="4">
        <v>2011</v>
      </c>
      <c r="D61" s="4" t="s">
        <v>53</v>
      </c>
      <c r="E61" s="4" t="s">
        <v>59</v>
      </c>
      <c r="F61" s="5">
        <v>240092</v>
      </c>
      <c r="G61" s="4"/>
      <c r="H61" s="4"/>
      <c r="I61" s="4"/>
      <c r="J61" s="4"/>
      <c r="K61" s="4"/>
      <c r="L61" s="4"/>
      <c r="M61" s="4"/>
      <c r="N61" s="4"/>
      <c r="O61" s="87"/>
      <c r="P61" s="87"/>
    </row>
    <row r="62" spans="1:16" x14ac:dyDescent="0.3">
      <c r="A62" s="48">
        <v>77</v>
      </c>
      <c r="B62" s="24">
        <v>2017</v>
      </c>
      <c r="C62" s="24">
        <v>2017</v>
      </c>
      <c r="D62" s="24" t="s">
        <v>61</v>
      </c>
      <c r="E62" s="24" t="s">
        <v>42</v>
      </c>
      <c r="F62" s="25"/>
      <c r="G62" s="24"/>
      <c r="H62" s="24"/>
      <c r="I62" s="24"/>
      <c r="J62" s="24"/>
      <c r="K62" s="24"/>
      <c r="L62" s="24"/>
      <c r="M62" s="26">
        <v>106000000</v>
      </c>
      <c r="N62" s="49">
        <f>1.06*M62</f>
        <v>112360000</v>
      </c>
      <c r="O62" s="88" t="s">
        <v>31</v>
      </c>
      <c r="P62" s="88" t="s">
        <v>62</v>
      </c>
    </row>
    <row r="63" spans="1:16" s="73" customFormat="1" ht="57.6" x14ac:dyDescent="0.3">
      <c r="A63" s="22">
        <v>74</v>
      </c>
      <c r="B63" s="28" t="s">
        <v>29</v>
      </c>
      <c r="C63" s="16">
        <v>2017</v>
      </c>
      <c r="D63" s="12" t="s">
        <v>63</v>
      </c>
      <c r="E63" s="12" t="s">
        <v>64</v>
      </c>
      <c r="G63" s="73">
        <f>2700000+4500000</f>
        <v>7200000</v>
      </c>
      <c r="H63" s="13"/>
      <c r="I63" s="13">
        <f>G65</f>
        <v>19900000</v>
      </c>
      <c r="J63" s="39"/>
      <c r="K63" s="39">
        <f>G63/I63</f>
        <v>0.36180904522613067</v>
      </c>
      <c r="L63" s="20">
        <f>K63-1</f>
        <v>-0.63819095477386933</v>
      </c>
      <c r="M63" s="21">
        <f>I63-G63</f>
        <v>12700000</v>
      </c>
      <c r="N63" s="21">
        <f>M63*1.06</f>
        <v>13462000</v>
      </c>
      <c r="O63" s="85" t="s">
        <v>55</v>
      </c>
      <c r="P63" s="85" t="s">
        <v>65</v>
      </c>
    </row>
    <row r="64" spans="1:16" s="73" customFormat="1" x14ac:dyDescent="0.3">
      <c r="A64" s="22">
        <v>74</v>
      </c>
      <c r="B64" s="28" t="s">
        <v>29</v>
      </c>
      <c r="C64" s="12">
        <v>2016</v>
      </c>
      <c r="D64" s="12" t="s">
        <v>63</v>
      </c>
      <c r="E64" s="12" t="s">
        <v>64</v>
      </c>
      <c r="F64" s="13"/>
      <c r="G64" s="12">
        <f>4300000+5300000</f>
        <v>9600000</v>
      </c>
      <c r="J64" s="59"/>
      <c r="K64" s="59">
        <f>G64/I63</f>
        <v>0.48241206030150752</v>
      </c>
      <c r="L64" s="20">
        <f>K64-1</f>
        <v>-0.51758793969849248</v>
      </c>
      <c r="M64" s="74">
        <f>I63-G64</f>
        <v>10300000</v>
      </c>
      <c r="N64" s="15">
        <f>M64*1.09</f>
        <v>11227000</v>
      </c>
      <c r="O64" s="85"/>
      <c r="P64" s="85"/>
    </row>
    <row r="65" spans="1:16" s="73" customFormat="1" x14ac:dyDescent="0.3">
      <c r="A65" s="11">
        <v>74</v>
      </c>
      <c r="B65" s="29" t="s">
        <v>29</v>
      </c>
      <c r="C65" s="4" t="s">
        <v>66</v>
      </c>
      <c r="D65" s="4" t="s">
        <v>63</v>
      </c>
      <c r="E65" s="4" t="s">
        <v>64</v>
      </c>
      <c r="F65" s="5"/>
      <c r="G65" s="56">
        <f>7300000+12600000</f>
        <v>19900000</v>
      </c>
      <c r="H65" s="4"/>
      <c r="I65" s="4"/>
      <c r="J65" s="4"/>
      <c r="K65" s="4"/>
      <c r="L65" s="4"/>
      <c r="M65" s="76" t="s">
        <v>36</v>
      </c>
      <c r="N65" s="77">
        <f>N63+N64</f>
        <v>24689000</v>
      </c>
      <c r="O65" s="87"/>
      <c r="P65" s="87"/>
    </row>
    <row r="66" spans="1:16" s="73" customFormat="1" ht="43.2" x14ac:dyDescent="0.3">
      <c r="A66" s="22">
        <v>73</v>
      </c>
      <c r="B66" s="28">
        <v>2015</v>
      </c>
      <c r="C66" s="16">
        <v>2015</v>
      </c>
      <c r="D66" s="16" t="s">
        <v>53</v>
      </c>
      <c r="E66" s="16" t="s">
        <v>67</v>
      </c>
      <c r="F66" s="13"/>
      <c r="G66" s="75">
        <f>(2364+7900+2610+49454)*4</f>
        <v>249312</v>
      </c>
      <c r="H66" s="12"/>
      <c r="I66" s="78">
        <f>G67</f>
        <v>1828160</v>
      </c>
      <c r="J66" s="12"/>
      <c r="K66" s="39">
        <f>G66/I66</f>
        <v>0.13637318396639245</v>
      </c>
      <c r="L66" s="20">
        <f>K66-1</f>
        <v>-0.86362681603360758</v>
      </c>
      <c r="M66" s="21">
        <f>I66-G66</f>
        <v>1578848</v>
      </c>
      <c r="N66" s="21">
        <f>M66*1.1</f>
        <v>1736732.8</v>
      </c>
      <c r="O66" s="85" t="s">
        <v>55</v>
      </c>
      <c r="P66" s="85" t="s">
        <v>68</v>
      </c>
    </row>
    <row r="67" spans="1:16" s="73" customFormat="1" x14ac:dyDescent="0.3">
      <c r="A67" s="11">
        <v>73</v>
      </c>
      <c r="B67" s="29">
        <v>2015</v>
      </c>
      <c r="C67" s="4" t="s">
        <v>69</v>
      </c>
      <c r="D67" s="17" t="s">
        <v>53</v>
      </c>
      <c r="E67" s="4"/>
      <c r="F67" s="5"/>
      <c r="G67" s="56">
        <f>(9800+110500+62000+274740)*4</f>
        <v>1828160</v>
      </c>
      <c r="H67" s="4"/>
      <c r="I67" s="4"/>
      <c r="J67" s="4"/>
      <c r="K67" s="4"/>
      <c r="L67" s="4"/>
      <c r="M67" s="76"/>
      <c r="N67" s="77"/>
      <c r="O67" s="87"/>
      <c r="P67" s="87"/>
    </row>
    <row r="68" spans="1:16" x14ac:dyDescent="0.3">
      <c r="A68" s="7">
        <v>75</v>
      </c>
      <c r="B68" s="73" t="s">
        <v>70</v>
      </c>
      <c r="C68" s="73">
        <v>2016</v>
      </c>
      <c r="D68" s="73" t="s">
        <v>23</v>
      </c>
      <c r="E68" s="73" t="s">
        <v>24</v>
      </c>
      <c r="F68" s="74">
        <v>954160</v>
      </c>
      <c r="G68" s="74">
        <v>95657</v>
      </c>
      <c r="H68" s="13">
        <f>AVERAGE(F70:F74)</f>
        <v>43771143</v>
      </c>
      <c r="I68" s="13">
        <f>AVERAGE(G70:G74)</f>
        <v>3351232.8</v>
      </c>
      <c r="J68" s="19">
        <f>F68/H68</f>
        <v>2.1798836735883273E-2</v>
      </c>
      <c r="K68" s="19">
        <f>G68/I68</f>
        <v>2.8543824230891988E-2</v>
      </c>
      <c r="L68" s="20">
        <f>K68-1</f>
        <v>-0.97145617576910803</v>
      </c>
      <c r="M68" s="21">
        <f>I68-G68</f>
        <v>3255575.8</v>
      </c>
      <c r="N68" s="15">
        <f>M68*1.09</f>
        <v>3548577.622</v>
      </c>
      <c r="O68" s="85" t="s">
        <v>31</v>
      </c>
      <c r="P68" s="85" t="s">
        <v>58</v>
      </c>
    </row>
    <row r="69" spans="1:16" x14ac:dyDescent="0.3">
      <c r="A69" s="7">
        <v>75</v>
      </c>
      <c r="B69" s="73" t="s">
        <v>70</v>
      </c>
      <c r="C69" s="73">
        <v>2015</v>
      </c>
      <c r="D69" s="73" t="s">
        <v>23</v>
      </c>
      <c r="E69" s="73" t="s">
        <v>24</v>
      </c>
      <c r="F69" s="74">
        <v>3750940</v>
      </c>
      <c r="G69" s="74">
        <v>343148</v>
      </c>
      <c r="H69" s="73"/>
      <c r="I69" s="73"/>
      <c r="J69" s="58">
        <f>F69/H68</f>
        <v>8.5694358038582635E-2</v>
      </c>
      <c r="K69" s="58">
        <f>G69/I68</f>
        <v>0.10239455760877013</v>
      </c>
      <c r="L69" s="1">
        <f>K69-1</f>
        <v>-0.89760544239122986</v>
      </c>
      <c r="M69" s="15">
        <f>I68-G69</f>
        <v>3008084.8</v>
      </c>
      <c r="N69" s="15">
        <f>M69*1.1</f>
        <v>3308893.2800000003</v>
      </c>
    </row>
    <row r="70" spans="1:16" x14ac:dyDescent="0.3">
      <c r="A70" s="7">
        <v>75</v>
      </c>
      <c r="B70" s="73" t="s">
        <v>70</v>
      </c>
      <c r="C70" s="73">
        <v>2014</v>
      </c>
      <c r="D70" s="73" t="s">
        <v>23</v>
      </c>
      <c r="E70" s="73" t="s">
        <v>24</v>
      </c>
      <c r="F70" s="74">
        <v>17132543</v>
      </c>
      <c r="G70" s="74">
        <v>2003074</v>
      </c>
      <c r="H70" s="73"/>
      <c r="I70" s="73"/>
      <c r="J70" s="73"/>
      <c r="K70" s="73"/>
      <c r="L70" s="73"/>
      <c r="M70" s="73"/>
      <c r="N70" s="73"/>
    </row>
    <row r="71" spans="1:16" x14ac:dyDescent="0.3">
      <c r="A71" s="7">
        <v>75</v>
      </c>
      <c r="B71" s="73" t="s">
        <v>70</v>
      </c>
      <c r="C71" s="73">
        <v>2013</v>
      </c>
      <c r="D71" s="73" t="s">
        <v>23</v>
      </c>
      <c r="E71" s="73" t="s">
        <v>24</v>
      </c>
      <c r="F71" s="74">
        <v>15594380</v>
      </c>
      <c r="G71" s="74">
        <v>1502104</v>
      </c>
      <c r="H71" s="73"/>
      <c r="I71" s="73"/>
      <c r="J71" s="73"/>
      <c r="K71" s="73"/>
      <c r="L71" s="73"/>
      <c r="M71" s="73"/>
      <c r="N71" s="73"/>
    </row>
    <row r="72" spans="1:16" x14ac:dyDescent="0.3">
      <c r="A72" s="7">
        <v>75</v>
      </c>
      <c r="B72" s="73" t="s">
        <v>70</v>
      </c>
      <c r="C72" s="73">
        <v>2012</v>
      </c>
      <c r="D72" s="73" t="s">
        <v>23</v>
      </c>
      <c r="E72" s="73" t="s">
        <v>24</v>
      </c>
      <c r="F72" s="74">
        <v>50802602</v>
      </c>
      <c r="G72" s="74">
        <v>4321462</v>
      </c>
      <c r="H72" s="73"/>
      <c r="I72" s="73"/>
      <c r="J72" s="73"/>
      <c r="K72" s="73"/>
      <c r="L72" s="73"/>
      <c r="M72" s="73"/>
      <c r="N72" s="73"/>
    </row>
    <row r="73" spans="1:16" x14ac:dyDescent="0.3">
      <c r="A73" s="7">
        <v>75</v>
      </c>
      <c r="B73" s="73" t="s">
        <v>70</v>
      </c>
      <c r="C73" s="73">
        <v>2011</v>
      </c>
      <c r="D73" s="73" t="s">
        <v>23</v>
      </c>
      <c r="E73" s="73" t="s">
        <v>24</v>
      </c>
      <c r="F73" s="74">
        <v>61097957</v>
      </c>
      <c r="G73" s="74">
        <v>4623188</v>
      </c>
      <c r="H73" s="73"/>
      <c r="I73" s="73"/>
      <c r="J73" s="73"/>
      <c r="K73" s="73"/>
      <c r="L73" s="73"/>
      <c r="M73" s="73"/>
      <c r="N73" s="73"/>
    </row>
    <row r="74" spans="1:16" x14ac:dyDescent="0.3">
      <c r="A74" s="11">
        <v>75</v>
      </c>
      <c r="B74" s="4" t="s">
        <v>70</v>
      </c>
      <c r="C74" s="4">
        <v>2010</v>
      </c>
      <c r="D74" s="4" t="s">
        <v>23</v>
      </c>
      <c r="E74" s="4" t="s">
        <v>24</v>
      </c>
      <c r="F74" s="5">
        <v>74228233</v>
      </c>
      <c r="G74" s="5">
        <v>4306336</v>
      </c>
      <c r="H74" s="4"/>
      <c r="I74" s="4"/>
      <c r="J74" s="4"/>
      <c r="K74" s="4"/>
      <c r="L74" s="4"/>
      <c r="M74" s="4" t="s">
        <v>36</v>
      </c>
      <c r="N74" s="77">
        <f>N68+N69</f>
        <v>6857470.9020000007</v>
      </c>
      <c r="O74" s="87"/>
      <c r="P74" s="87"/>
    </row>
    <row r="75" spans="1:16" ht="66" customHeight="1" x14ac:dyDescent="0.3">
      <c r="A75" s="7">
        <v>72</v>
      </c>
      <c r="B75" s="73">
        <v>2016</v>
      </c>
      <c r="C75" s="73">
        <v>2016</v>
      </c>
      <c r="D75" s="73" t="s">
        <v>50</v>
      </c>
      <c r="E75" s="73" t="s">
        <v>71</v>
      </c>
      <c r="F75" s="74">
        <v>130239993</v>
      </c>
      <c r="G75" s="74">
        <v>40195716</v>
      </c>
      <c r="H75" s="13">
        <f>AVERAGE(F76:F80)</f>
        <v>434899018.60000002</v>
      </c>
      <c r="I75" s="13">
        <f>AVERAGE(G76:G80)</f>
        <v>152109590.59999999</v>
      </c>
      <c r="J75" s="19">
        <f>F75/H75</f>
        <v>0.2994718024870705</v>
      </c>
      <c r="K75" s="19">
        <f>G75/I75</f>
        <v>0.26425497459724279</v>
      </c>
      <c r="L75" s="20">
        <f>K75-1</f>
        <v>-0.73574502540275721</v>
      </c>
      <c r="M75" s="21">
        <f>I75-G75</f>
        <v>111913874.59999999</v>
      </c>
      <c r="N75" s="2">
        <f>M75*1.09</f>
        <v>121986123.314</v>
      </c>
      <c r="O75" s="85" t="s">
        <v>39</v>
      </c>
      <c r="P75" s="85" t="s">
        <v>72</v>
      </c>
    </row>
    <row r="76" spans="1:16" x14ac:dyDescent="0.3">
      <c r="A76" s="7">
        <v>72</v>
      </c>
      <c r="B76" s="73">
        <v>2016</v>
      </c>
      <c r="C76" s="73">
        <v>2015</v>
      </c>
      <c r="D76" s="73" t="s">
        <v>50</v>
      </c>
      <c r="E76" s="73" t="s">
        <v>71</v>
      </c>
      <c r="F76" s="74">
        <v>604767433</v>
      </c>
      <c r="G76" s="74">
        <v>124209596</v>
      </c>
      <c r="H76" s="73"/>
      <c r="I76" s="73"/>
      <c r="J76" s="73"/>
      <c r="K76" s="73"/>
      <c r="L76" s="73"/>
      <c r="M76" s="73"/>
      <c r="N76" s="73"/>
    </row>
    <row r="77" spans="1:16" x14ac:dyDescent="0.3">
      <c r="A77" s="7">
        <v>72</v>
      </c>
      <c r="B77" s="73">
        <v>2016</v>
      </c>
      <c r="C77" s="73">
        <v>2014</v>
      </c>
      <c r="D77" s="73" t="s">
        <v>50</v>
      </c>
      <c r="E77" s="73" t="s">
        <v>71</v>
      </c>
      <c r="F77" s="74">
        <v>309577250</v>
      </c>
      <c r="G77" s="74">
        <v>88966733</v>
      </c>
      <c r="H77" s="73"/>
      <c r="I77" s="73"/>
      <c r="J77" s="73"/>
      <c r="K77" s="73"/>
      <c r="L77" s="73"/>
      <c r="M77" s="73"/>
      <c r="N77" s="73"/>
    </row>
    <row r="78" spans="1:16" x14ac:dyDescent="0.3">
      <c r="A78" s="7">
        <v>72</v>
      </c>
      <c r="B78" s="73">
        <v>2016</v>
      </c>
      <c r="C78" s="73">
        <v>2013</v>
      </c>
      <c r="D78" s="73" t="s">
        <v>50</v>
      </c>
      <c r="E78" s="73" t="s">
        <v>71</v>
      </c>
      <c r="F78" s="74">
        <v>655278181</v>
      </c>
      <c r="G78" s="74">
        <v>267912117</v>
      </c>
      <c r="H78" s="73"/>
      <c r="I78" s="73"/>
      <c r="J78" s="73"/>
      <c r="K78" s="73"/>
      <c r="L78" s="73"/>
      <c r="M78" s="73"/>
      <c r="N78" s="73"/>
    </row>
    <row r="79" spans="1:16" x14ac:dyDescent="0.3">
      <c r="A79" s="7">
        <v>72</v>
      </c>
      <c r="B79" s="73">
        <v>2016</v>
      </c>
      <c r="C79" s="73">
        <v>2012</v>
      </c>
      <c r="D79" s="73" t="s">
        <v>50</v>
      </c>
      <c r="E79" s="73" t="s">
        <v>71</v>
      </c>
      <c r="F79" s="74">
        <v>235400114</v>
      </c>
      <c r="G79" s="74">
        <v>111231078</v>
      </c>
      <c r="H79" s="73"/>
      <c r="I79" s="73"/>
      <c r="J79" s="73"/>
      <c r="K79" s="73"/>
      <c r="L79" s="73"/>
      <c r="M79" s="73"/>
      <c r="N79" s="73"/>
    </row>
    <row r="80" spans="1:16" x14ac:dyDescent="0.3">
      <c r="A80" s="11">
        <v>72</v>
      </c>
      <c r="B80" s="4">
        <v>2016</v>
      </c>
      <c r="C80" s="4">
        <v>2011</v>
      </c>
      <c r="D80" s="4" t="s">
        <v>50</v>
      </c>
      <c r="E80" s="4" t="s">
        <v>71</v>
      </c>
      <c r="F80" s="5">
        <v>369472115</v>
      </c>
      <c r="G80" s="5">
        <v>168228429</v>
      </c>
      <c r="H80" s="4"/>
      <c r="I80" s="4"/>
      <c r="J80" s="4"/>
      <c r="K80" s="4"/>
      <c r="L80" s="4"/>
      <c r="M80" s="4"/>
      <c r="N80" s="4"/>
      <c r="O80" s="87"/>
      <c r="P80" s="87"/>
    </row>
    <row r="81" spans="1:16" ht="28.8" x14ac:dyDescent="0.3">
      <c r="A81" s="7">
        <v>71</v>
      </c>
      <c r="B81" s="73">
        <v>2016</v>
      </c>
      <c r="C81" s="73">
        <v>2016</v>
      </c>
      <c r="D81" s="73" t="s">
        <v>73</v>
      </c>
      <c r="E81" s="73" t="s">
        <v>74</v>
      </c>
      <c r="F81" s="74">
        <v>478000</v>
      </c>
      <c r="G81" s="74">
        <v>1606000</v>
      </c>
      <c r="H81" s="13">
        <f>AVERAGE(F82:F86)</f>
        <v>1501600</v>
      </c>
      <c r="I81" s="13">
        <f>AVERAGE(G82:G86)</f>
        <v>2608200</v>
      </c>
      <c r="J81" s="19">
        <f>F81/H81</f>
        <v>0.31832711774107619</v>
      </c>
      <c r="K81" s="19">
        <f>G81/I81</f>
        <v>0.61575032589525347</v>
      </c>
      <c r="L81" s="20">
        <f>K81-1</f>
        <v>-0.38424967410474653</v>
      </c>
      <c r="M81" s="21">
        <f>I81-G81</f>
        <v>1002200</v>
      </c>
      <c r="N81" s="2">
        <f>M81*1.09</f>
        <v>1092398</v>
      </c>
      <c r="O81" s="85" t="s">
        <v>31</v>
      </c>
      <c r="P81" s="85" t="s">
        <v>75</v>
      </c>
    </row>
    <row r="82" spans="1:16" x14ac:dyDescent="0.3">
      <c r="A82" s="7">
        <v>71</v>
      </c>
      <c r="B82" s="73">
        <v>2016</v>
      </c>
      <c r="C82" s="73">
        <v>2015</v>
      </c>
      <c r="D82" s="73" t="s">
        <v>73</v>
      </c>
      <c r="E82" s="73" t="s">
        <v>74</v>
      </c>
      <c r="F82" s="74">
        <v>1395000</v>
      </c>
      <c r="G82" s="74">
        <v>3448000</v>
      </c>
      <c r="H82" s="73"/>
      <c r="I82" s="73"/>
      <c r="J82" s="73"/>
      <c r="K82" s="73"/>
      <c r="L82" s="73"/>
      <c r="M82" s="73"/>
      <c r="N82" s="73"/>
    </row>
    <row r="83" spans="1:16" x14ac:dyDescent="0.3">
      <c r="A83" s="7">
        <v>71</v>
      </c>
      <c r="B83" s="73">
        <v>2016</v>
      </c>
      <c r="C83" s="73">
        <v>2014</v>
      </c>
      <c r="D83" s="73" t="s">
        <v>73</v>
      </c>
      <c r="E83" s="73" t="s">
        <v>74</v>
      </c>
      <c r="F83" s="74">
        <v>2006000</v>
      </c>
      <c r="G83" s="74">
        <v>2709000</v>
      </c>
      <c r="H83" s="73"/>
      <c r="I83" s="73"/>
      <c r="J83" s="73"/>
      <c r="K83" s="73"/>
      <c r="L83" s="73"/>
      <c r="M83" s="73"/>
      <c r="N83" s="73"/>
    </row>
    <row r="84" spans="1:16" x14ac:dyDescent="0.3">
      <c r="A84" s="7">
        <v>71</v>
      </c>
      <c r="B84" s="73">
        <v>2016</v>
      </c>
      <c r="C84" s="73">
        <v>2013</v>
      </c>
      <c r="D84" s="73" t="s">
        <v>73</v>
      </c>
      <c r="E84" s="73" t="s">
        <v>74</v>
      </c>
      <c r="F84" s="74">
        <v>1621000</v>
      </c>
      <c r="G84" s="74">
        <v>2838000</v>
      </c>
      <c r="H84" s="73"/>
      <c r="I84" s="73"/>
      <c r="J84" s="73"/>
      <c r="K84" s="73"/>
      <c r="L84" s="73"/>
      <c r="M84" s="73"/>
      <c r="N84" s="73"/>
    </row>
    <row r="85" spans="1:16" x14ac:dyDescent="0.3">
      <c r="A85" s="7">
        <v>71</v>
      </c>
      <c r="B85" s="73">
        <v>2016</v>
      </c>
      <c r="C85" s="73">
        <v>2012</v>
      </c>
      <c r="D85" s="73" t="s">
        <v>73</v>
      </c>
      <c r="E85" s="73" t="s">
        <v>74</v>
      </c>
      <c r="F85" s="74">
        <v>1561000</v>
      </c>
      <c r="G85" s="74">
        <v>2358000</v>
      </c>
      <c r="H85" s="73"/>
      <c r="I85" s="73"/>
      <c r="J85" s="73"/>
      <c r="K85" s="73"/>
      <c r="L85" s="73"/>
      <c r="M85" s="73"/>
      <c r="N85" s="73"/>
    </row>
    <row r="86" spans="1:16" x14ac:dyDescent="0.3">
      <c r="A86" s="11">
        <v>71</v>
      </c>
      <c r="B86" s="4">
        <v>2016</v>
      </c>
      <c r="C86" s="4">
        <v>2011</v>
      </c>
      <c r="D86" s="4" t="s">
        <v>73</v>
      </c>
      <c r="E86" s="4" t="s">
        <v>74</v>
      </c>
      <c r="F86" s="5">
        <v>925000</v>
      </c>
      <c r="G86" s="5">
        <v>1688000</v>
      </c>
      <c r="H86" s="4"/>
      <c r="I86" s="4"/>
      <c r="J86" s="4"/>
      <c r="K86" s="4"/>
      <c r="L86" s="4"/>
      <c r="M86" s="4"/>
      <c r="N86" s="4"/>
      <c r="O86" s="87"/>
      <c r="P86" s="87"/>
    </row>
    <row r="87" spans="1:16" ht="85.95" customHeight="1" x14ac:dyDescent="0.3">
      <c r="A87" s="8">
        <v>69</v>
      </c>
      <c r="B87" s="35">
        <v>2015</v>
      </c>
      <c r="C87" s="35">
        <v>2015</v>
      </c>
      <c r="D87" s="35" t="s">
        <v>73</v>
      </c>
      <c r="E87" s="35" t="s">
        <v>76</v>
      </c>
      <c r="F87" s="35">
        <v>65165</v>
      </c>
      <c r="G87" s="35"/>
      <c r="H87" s="79">
        <f>F88</f>
        <v>432345</v>
      </c>
      <c r="I87" s="79"/>
      <c r="J87" s="80"/>
      <c r="K87" s="80"/>
      <c r="L87" s="81"/>
      <c r="M87" s="82">
        <f>3000000</f>
        <v>3000000</v>
      </c>
      <c r="N87" s="83">
        <f>M87*1.1</f>
        <v>3300000.0000000005</v>
      </c>
      <c r="O87" s="85" t="s">
        <v>55</v>
      </c>
      <c r="P87" s="85" t="s">
        <v>77</v>
      </c>
    </row>
    <row r="88" spans="1:16" x14ac:dyDescent="0.3">
      <c r="A88" s="29">
        <v>69</v>
      </c>
      <c r="B88" s="17">
        <v>2015</v>
      </c>
      <c r="C88" s="17" t="s">
        <v>78</v>
      </c>
      <c r="D88" s="17" t="s">
        <v>73</v>
      </c>
      <c r="E88" s="17" t="s">
        <v>76</v>
      </c>
      <c r="F88" s="17">
        <v>432345</v>
      </c>
      <c r="G88" s="17"/>
      <c r="H88" s="17"/>
      <c r="I88" s="17"/>
      <c r="J88" s="17"/>
      <c r="K88" s="17"/>
      <c r="L88" s="17"/>
      <c r="M88" s="17"/>
      <c r="N88" s="17"/>
      <c r="O88" s="87"/>
      <c r="P88" s="87"/>
    </row>
    <row r="89" spans="1:16" s="73" customFormat="1" ht="72" x14ac:dyDescent="0.3">
      <c r="A89" s="28">
        <v>68</v>
      </c>
      <c r="B89" s="16">
        <v>2015</v>
      </c>
      <c r="C89" s="16">
        <v>2015</v>
      </c>
      <c r="D89" s="16" t="s">
        <v>79</v>
      </c>
      <c r="E89" s="16" t="s">
        <v>80</v>
      </c>
      <c r="F89" s="16"/>
      <c r="G89" s="16">
        <f>(12000+2537) +(AVERAGE(12000+2537)*2)</f>
        <v>43611</v>
      </c>
      <c r="H89" s="16"/>
      <c r="I89" s="16">
        <f>G90</f>
        <v>719739</v>
      </c>
      <c r="J89" s="16"/>
      <c r="K89" s="16">
        <f>G89/I89</f>
        <v>6.0592798222689058E-2</v>
      </c>
      <c r="L89" s="16">
        <f>K89-1</f>
        <v>-0.93940720177731096</v>
      </c>
      <c r="M89" s="16">
        <f>I89-G89</f>
        <v>676128</v>
      </c>
      <c r="N89" s="84">
        <f>M89*1.1</f>
        <v>743740.8</v>
      </c>
      <c r="O89" s="85" t="s">
        <v>55</v>
      </c>
      <c r="P89" s="85" t="s">
        <v>81</v>
      </c>
    </row>
    <row r="90" spans="1:16" s="73" customFormat="1" x14ac:dyDescent="0.3">
      <c r="A90" s="29">
        <v>68</v>
      </c>
      <c r="B90" s="17">
        <v>2015</v>
      </c>
      <c r="C90" s="17" t="s">
        <v>69</v>
      </c>
      <c r="D90" s="17" t="s">
        <v>79</v>
      </c>
      <c r="E90" s="17" t="s">
        <v>80</v>
      </c>
      <c r="F90" s="17"/>
      <c r="G90" s="17">
        <f>(214000+25913)+ (AVERAGE(214000+25913)*2)</f>
        <v>719739</v>
      </c>
      <c r="H90" s="17"/>
      <c r="I90" s="17"/>
      <c r="J90" s="17"/>
      <c r="K90" s="17"/>
      <c r="L90" s="17"/>
      <c r="M90" s="17"/>
      <c r="N90" s="17"/>
      <c r="O90" s="87"/>
      <c r="P90" s="87"/>
    </row>
    <row r="91" spans="1:16" ht="28.8" x14ac:dyDescent="0.3">
      <c r="A91" s="73">
        <v>67</v>
      </c>
      <c r="B91" s="73" t="s">
        <v>70</v>
      </c>
      <c r="C91" s="73">
        <v>2016</v>
      </c>
      <c r="D91" s="73" t="s">
        <v>23</v>
      </c>
      <c r="E91" s="73" t="s">
        <v>82</v>
      </c>
      <c r="F91" s="74">
        <v>26777120</v>
      </c>
      <c r="G91" s="74">
        <v>83247255</v>
      </c>
      <c r="H91" s="13">
        <f>AVERAGE(F93:F97)</f>
        <v>24257689</v>
      </c>
      <c r="I91" s="13">
        <f>AVERAGE(G93:G97)</f>
        <v>67852528.200000003</v>
      </c>
      <c r="J91" s="19">
        <f>F91/H91</f>
        <v>1.1038611303822059</v>
      </c>
      <c r="K91" s="19">
        <f>G91/I91</f>
        <v>1.2268850875331128</v>
      </c>
      <c r="L91" s="20">
        <f>K91-1</f>
        <v>0.22688508753311276</v>
      </c>
      <c r="M91" s="21">
        <f>I91-G91</f>
        <v>-15394726.799999997</v>
      </c>
      <c r="N91" s="2">
        <f>M91*1.09</f>
        <v>-16780252.211999997</v>
      </c>
      <c r="O91" s="85" t="s">
        <v>31</v>
      </c>
      <c r="P91" s="85" t="s">
        <v>83</v>
      </c>
    </row>
    <row r="92" spans="1:16" x14ac:dyDescent="0.3">
      <c r="A92" s="73">
        <v>67</v>
      </c>
      <c r="B92" s="73" t="s">
        <v>70</v>
      </c>
      <c r="C92" s="73">
        <v>2015</v>
      </c>
      <c r="D92" s="73" t="s">
        <v>23</v>
      </c>
      <c r="E92" s="73" t="s">
        <v>82</v>
      </c>
      <c r="F92" s="74">
        <v>3499713</v>
      </c>
      <c r="G92" s="74">
        <v>17558353</v>
      </c>
      <c r="H92" s="73"/>
      <c r="I92" s="73"/>
      <c r="J92" s="59">
        <f>F92/H91</f>
        <v>0.14427231711973881</v>
      </c>
      <c r="K92" s="59">
        <f>G92/I91</f>
        <v>0.25877227372052436</v>
      </c>
      <c r="L92" s="60">
        <f>K92-1</f>
        <v>-0.74122772627947564</v>
      </c>
      <c r="M92" s="74">
        <f>I91-G92</f>
        <v>50294175.200000003</v>
      </c>
      <c r="N92" s="15">
        <f>M92*1.1</f>
        <v>55323592.720000006</v>
      </c>
    </row>
    <row r="93" spans="1:16" x14ac:dyDescent="0.3">
      <c r="A93" s="73">
        <v>67</v>
      </c>
      <c r="B93" s="73" t="s">
        <v>70</v>
      </c>
      <c r="C93" s="73">
        <v>2014</v>
      </c>
      <c r="D93" s="73" t="s">
        <v>23</v>
      </c>
      <c r="E93" s="73" t="s">
        <v>82</v>
      </c>
      <c r="F93" s="74">
        <v>18810922</v>
      </c>
      <c r="G93" s="74">
        <v>67410514</v>
      </c>
      <c r="H93" s="73"/>
      <c r="I93" s="73"/>
      <c r="J93" s="73"/>
      <c r="K93" s="73"/>
      <c r="L93" s="73"/>
      <c r="M93" s="73"/>
      <c r="N93" s="73"/>
    </row>
    <row r="94" spans="1:16" x14ac:dyDescent="0.3">
      <c r="A94" s="73">
        <v>67</v>
      </c>
      <c r="B94" s="73" t="s">
        <v>70</v>
      </c>
      <c r="C94" s="73">
        <v>2013</v>
      </c>
      <c r="D94" s="73" t="s">
        <v>23</v>
      </c>
      <c r="E94" s="73" t="s">
        <v>82</v>
      </c>
      <c r="F94" s="74">
        <v>32291668</v>
      </c>
      <c r="G94" s="74">
        <v>91030947</v>
      </c>
      <c r="H94" s="73"/>
      <c r="I94" s="73"/>
      <c r="J94" s="73"/>
      <c r="K94" s="73"/>
      <c r="L94" s="73"/>
      <c r="M94" s="73"/>
      <c r="N94" s="73"/>
    </row>
    <row r="95" spans="1:16" x14ac:dyDescent="0.3">
      <c r="A95" s="73">
        <v>67</v>
      </c>
      <c r="B95" s="73" t="s">
        <v>70</v>
      </c>
      <c r="C95" s="73">
        <v>2012</v>
      </c>
      <c r="D95" s="73" t="s">
        <v>23</v>
      </c>
      <c r="E95" s="73" t="s">
        <v>82</v>
      </c>
      <c r="F95" s="74">
        <v>26582800</v>
      </c>
      <c r="G95" s="74">
        <v>86731095</v>
      </c>
      <c r="H95" s="73"/>
      <c r="I95" s="73"/>
      <c r="J95" s="73"/>
      <c r="K95" s="73"/>
      <c r="L95" s="73"/>
      <c r="M95" s="73"/>
      <c r="N95" s="73"/>
    </row>
    <row r="96" spans="1:16" x14ac:dyDescent="0.3">
      <c r="A96" s="73">
        <v>67</v>
      </c>
      <c r="B96" s="73" t="s">
        <v>70</v>
      </c>
      <c r="C96" s="73">
        <v>2011</v>
      </c>
      <c r="D96" s="73" t="s">
        <v>23</v>
      </c>
      <c r="E96" s="73" t="s">
        <v>82</v>
      </c>
      <c r="F96" s="74">
        <v>21114091</v>
      </c>
      <c r="G96" s="74">
        <v>52251301</v>
      </c>
      <c r="H96" s="73"/>
      <c r="I96" s="73"/>
      <c r="J96" s="73"/>
      <c r="K96" s="73"/>
      <c r="L96" s="73"/>
      <c r="M96" s="73"/>
      <c r="N96" s="73"/>
    </row>
    <row r="97" spans="1:16" x14ac:dyDescent="0.3">
      <c r="A97" s="4">
        <v>67</v>
      </c>
      <c r="B97" s="4" t="s">
        <v>70</v>
      </c>
      <c r="C97" s="4">
        <v>2010</v>
      </c>
      <c r="D97" s="4" t="s">
        <v>23</v>
      </c>
      <c r="E97" s="4" t="s">
        <v>82</v>
      </c>
      <c r="F97" s="5">
        <v>22488964</v>
      </c>
      <c r="G97" s="5">
        <v>41838784</v>
      </c>
      <c r="H97" s="4"/>
      <c r="I97" s="4"/>
      <c r="J97" s="4"/>
      <c r="K97" s="4"/>
      <c r="L97" s="4"/>
      <c r="M97" s="4" t="s">
        <v>36</v>
      </c>
      <c r="N97" s="99">
        <f>N91+N92</f>
        <v>38543340.508000009</v>
      </c>
      <c r="O97" s="87"/>
      <c r="P97" s="87"/>
    </row>
    <row r="98" spans="1:16" ht="63.6" customHeight="1" x14ac:dyDescent="0.3">
      <c r="A98" s="7">
        <v>66</v>
      </c>
      <c r="B98" s="8">
        <v>2015</v>
      </c>
      <c r="C98" s="73">
        <v>2015</v>
      </c>
      <c r="D98" s="73" t="s">
        <v>73</v>
      </c>
      <c r="E98" s="73" t="s">
        <v>84</v>
      </c>
      <c r="F98" s="74">
        <v>616632</v>
      </c>
      <c r="G98" s="74">
        <v>910914</v>
      </c>
      <c r="H98" s="13">
        <f>AVERAGE(F99:F103)</f>
        <v>3882203.8</v>
      </c>
      <c r="I98" s="13">
        <f>AVERAGE(G99:G103)</f>
        <v>5930555.4000000004</v>
      </c>
      <c r="J98" s="19">
        <f>F98/H98</f>
        <v>0.15883555623741341</v>
      </c>
      <c r="K98" s="19">
        <f>G98/I98</f>
        <v>0.15359674407560545</v>
      </c>
      <c r="L98" s="20">
        <f>K98-1</f>
        <v>-0.84640325592439458</v>
      </c>
      <c r="M98" s="21">
        <f>I98-G98</f>
        <v>5019641.4000000004</v>
      </c>
      <c r="N98" s="2">
        <f>M98*1.1</f>
        <v>5521605.540000001</v>
      </c>
      <c r="O98" s="85" t="s">
        <v>55</v>
      </c>
      <c r="P98" s="85" t="s">
        <v>85</v>
      </c>
    </row>
    <row r="99" spans="1:16" x14ac:dyDescent="0.3">
      <c r="A99" s="7">
        <v>66</v>
      </c>
      <c r="B99" s="8">
        <v>2015</v>
      </c>
      <c r="C99" s="73">
        <v>2014</v>
      </c>
      <c r="D99" s="73" t="s">
        <v>73</v>
      </c>
      <c r="E99" s="73" t="s">
        <v>84</v>
      </c>
      <c r="F99" s="74">
        <v>4774105</v>
      </c>
      <c r="G99" s="74">
        <v>5908443</v>
      </c>
      <c r="H99" s="73"/>
      <c r="I99" s="73"/>
      <c r="J99" s="73"/>
      <c r="K99" s="73"/>
      <c r="L99" s="73"/>
      <c r="M99" s="73"/>
      <c r="N99" s="73"/>
    </row>
    <row r="100" spans="1:16" x14ac:dyDescent="0.3">
      <c r="A100" s="7">
        <v>66</v>
      </c>
      <c r="B100" s="8">
        <v>2015</v>
      </c>
      <c r="C100" s="73">
        <v>2013</v>
      </c>
      <c r="D100" s="73" t="s">
        <v>73</v>
      </c>
      <c r="E100" s="73" t="s">
        <v>84</v>
      </c>
      <c r="F100" s="74">
        <v>3274963</v>
      </c>
      <c r="G100" s="74">
        <v>6045535</v>
      </c>
      <c r="H100" s="73"/>
      <c r="I100" s="73"/>
      <c r="J100" s="73"/>
      <c r="K100" s="73"/>
      <c r="L100" s="73"/>
      <c r="M100" s="73"/>
      <c r="N100" s="73"/>
    </row>
    <row r="101" spans="1:16" x14ac:dyDescent="0.3">
      <c r="A101" s="7">
        <v>66</v>
      </c>
      <c r="B101" s="8">
        <v>2015</v>
      </c>
      <c r="C101" s="73">
        <v>2012</v>
      </c>
      <c r="D101" s="73" t="s">
        <v>73</v>
      </c>
      <c r="E101" s="73" t="s">
        <v>84</v>
      </c>
      <c r="F101" s="74">
        <v>3675322</v>
      </c>
      <c r="G101" s="74">
        <v>6510494</v>
      </c>
      <c r="H101" s="73"/>
      <c r="I101" s="73"/>
      <c r="J101" s="73"/>
      <c r="K101" s="73"/>
      <c r="L101" s="73"/>
      <c r="M101" s="73"/>
      <c r="N101" s="73"/>
    </row>
    <row r="102" spans="1:16" x14ac:dyDescent="0.3">
      <c r="A102" s="7">
        <v>66</v>
      </c>
      <c r="B102" s="8">
        <v>2015</v>
      </c>
      <c r="C102" s="73">
        <v>2011</v>
      </c>
      <c r="D102" s="73" t="s">
        <v>73</v>
      </c>
      <c r="E102" s="73" t="s">
        <v>84</v>
      </c>
      <c r="F102" s="74">
        <v>3825898</v>
      </c>
      <c r="G102" s="74">
        <v>6159452</v>
      </c>
      <c r="H102" s="73"/>
      <c r="I102" s="73"/>
      <c r="J102" s="73"/>
      <c r="K102" s="73"/>
      <c r="L102" s="73"/>
      <c r="M102" s="73"/>
      <c r="N102" s="73"/>
    </row>
    <row r="103" spans="1:16" x14ac:dyDescent="0.3">
      <c r="A103" s="11">
        <v>66</v>
      </c>
      <c r="B103" s="29">
        <v>2015</v>
      </c>
      <c r="C103" s="4">
        <v>2010</v>
      </c>
      <c r="D103" s="4" t="s">
        <v>73</v>
      </c>
      <c r="E103" s="4" t="s">
        <v>84</v>
      </c>
      <c r="F103" s="5">
        <v>3860731</v>
      </c>
      <c r="G103" s="5">
        <v>5028853</v>
      </c>
      <c r="H103" s="4"/>
      <c r="I103" s="4"/>
      <c r="J103" s="4"/>
      <c r="K103" s="4"/>
      <c r="L103" s="4"/>
      <c r="M103" s="4"/>
      <c r="N103" s="4"/>
      <c r="O103" s="87"/>
      <c r="P103" s="87"/>
    </row>
    <row r="104" spans="1:16" x14ac:dyDescent="0.3">
      <c r="A104" s="7">
        <v>64</v>
      </c>
      <c r="B104" s="73">
        <v>2013</v>
      </c>
      <c r="C104" s="73">
        <v>2013</v>
      </c>
      <c r="D104" s="73" t="s">
        <v>86</v>
      </c>
      <c r="E104" s="73" t="s">
        <v>87</v>
      </c>
      <c r="F104" s="74">
        <v>1215959</v>
      </c>
      <c r="G104" s="74">
        <v>4019063</v>
      </c>
      <c r="H104" s="13">
        <f>AVERAGE(F105:F109)</f>
        <v>3252617</v>
      </c>
      <c r="I104" s="13">
        <f>AVERAGE(G105:G109)</f>
        <v>7949717.7999999998</v>
      </c>
      <c r="J104" s="19">
        <f>F104/H104</f>
        <v>0.37384020313489108</v>
      </c>
      <c r="K104" s="19">
        <f>G104/I104</f>
        <v>0.50556046152984202</v>
      </c>
      <c r="L104" s="20">
        <f>K104-1</f>
        <v>-0.49443953847015798</v>
      </c>
      <c r="M104" s="21">
        <f>I104-G104</f>
        <v>3930654.8</v>
      </c>
      <c r="N104" s="2">
        <f>M104*1.12</f>
        <v>4402333.3760000002</v>
      </c>
      <c r="O104" s="85" t="s">
        <v>31</v>
      </c>
      <c r="P104" s="85" t="s">
        <v>58</v>
      </c>
    </row>
    <row r="105" spans="1:16" x14ac:dyDescent="0.3">
      <c r="A105" s="7">
        <v>64</v>
      </c>
      <c r="B105" s="73">
        <v>2013</v>
      </c>
      <c r="C105" s="73">
        <v>2012</v>
      </c>
      <c r="D105" s="73" t="s">
        <v>86</v>
      </c>
      <c r="E105" s="73" t="s">
        <v>87</v>
      </c>
      <c r="F105" s="74">
        <v>3498654</v>
      </c>
      <c r="G105" s="74">
        <v>9782063</v>
      </c>
      <c r="H105" s="73"/>
      <c r="I105" s="73"/>
      <c r="J105" s="73"/>
      <c r="K105" s="73"/>
      <c r="L105" s="73"/>
      <c r="M105" s="73"/>
      <c r="N105" s="73"/>
    </row>
    <row r="106" spans="1:16" x14ac:dyDescent="0.3">
      <c r="A106" s="7">
        <v>64</v>
      </c>
      <c r="B106" s="73">
        <v>2013</v>
      </c>
      <c r="C106" s="73">
        <v>2011</v>
      </c>
      <c r="D106" s="73" t="s">
        <v>86</v>
      </c>
      <c r="E106" s="73" t="s">
        <v>87</v>
      </c>
      <c r="F106" s="74">
        <v>3517907</v>
      </c>
      <c r="G106" s="74">
        <v>9303012</v>
      </c>
      <c r="H106" s="73"/>
      <c r="I106" s="73"/>
      <c r="J106" s="73"/>
      <c r="K106" s="73"/>
      <c r="L106" s="73"/>
      <c r="M106" s="73"/>
      <c r="N106" s="73"/>
    </row>
    <row r="107" spans="1:16" x14ac:dyDescent="0.3">
      <c r="A107" s="7">
        <v>64</v>
      </c>
      <c r="B107" s="73">
        <v>2013</v>
      </c>
      <c r="C107" s="73">
        <v>2010</v>
      </c>
      <c r="D107" s="73" t="s">
        <v>86</v>
      </c>
      <c r="E107" s="73" t="s">
        <v>87</v>
      </c>
      <c r="F107" s="74">
        <v>3932011</v>
      </c>
      <c r="G107" s="74">
        <v>8555344</v>
      </c>
      <c r="H107" s="73"/>
      <c r="I107" s="73"/>
      <c r="J107" s="73"/>
      <c r="K107" s="73"/>
      <c r="L107" s="73"/>
      <c r="M107" s="73"/>
      <c r="N107" s="73"/>
    </row>
    <row r="108" spans="1:16" x14ac:dyDescent="0.3">
      <c r="A108" s="7">
        <v>64</v>
      </c>
      <c r="B108" s="73">
        <v>2013</v>
      </c>
      <c r="C108" s="73">
        <v>2009</v>
      </c>
      <c r="D108" s="73" t="s">
        <v>86</v>
      </c>
      <c r="E108" s="73" t="s">
        <v>87</v>
      </c>
      <c r="F108" s="74">
        <v>2634218</v>
      </c>
      <c r="G108" s="74">
        <v>5298805</v>
      </c>
      <c r="H108" s="73"/>
      <c r="I108" s="73"/>
      <c r="J108" s="73"/>
      <c r="K108" s="73"/>
      <c r="L108" s="73"/>
      <c r="M108" s="73"/>
      <c r="N108" s="73"/>
    </row>
    <row r="109" spans="1:16" x14ac:dyDescent="0.3">
      <c r="A109" s="11">
        <v>64</v>
      </c>
      <c r="B109" s="4">
        <v>2013</v>
      </c>
      <c r="C109" s="4">
        <v>2008</v>
      </c>
      <c r="D109" s="4" t="s">
        <v>86</v>
      </c>
      <c r="E109" s="4" t="s">
        <v>87</v>
      </c>
      <c r="F109" s="5">
        <v>2680295</v>
      </c>
      <c r="G109" s="5">
        <v>6809365</v>
      </c>
      <c r="H109" s="4"/>
      <c r="I109" s="4"/>
      <c r="J109" s="4"/>
      <c r="K109" s="4"/>
      <c r="L109" s="4"/>
      <c r="M109" s="4"/>
      <c r="N109" s="4"/>
      <c r="O109" s="87"/>
      <c r="P109" s="87"/>
    </row>
    <row r="110" spans="1:16" x14ac:dyDescent="0.3">
      <c r="A110" s="52">
        <v>63</v>
      </c>
      <c r="B110" s="24">
        <v>2013</v>
      </c>
      <c r="C110" s="24"/>
      <c r="D110" s="24" t="s">
        <v>73</v>
      </c>
      <c r="E110" s="24" t="s">
        <v>38</v>
      </c>
      <c r="F110" s="25"/>
      <c r="G110" s="50">
        <v>115000</v>
      </c>
      <c r="H110" s="24"/>
      <c r="I110" s="50">
        <v>4100000</v>
      </c>
      <c r="J110" s="24"/>
      <c r="K110" s="51">
        <f>G110/I110</f>
        <v>2.8048780487804879E-2</v>
      </c>
      <c r="L110" s="53">
        <f>K110-1</f>
        <v>-0.9719512195121951</v>
      </c>
      <c r="M110" s="26">
        <f>I110-G110</f>
        <v>3985000</v>
      </c>
      <c r="N110" s="49">
        <f>M110*1.12</f>
        <v>4463200</v>
      </c>
      <c r="O110" s="88" t="s">
        <v>31</v>
      </c>
      <c r="P110" s="88" t="s">
        <v>88</v>
      </c>
    </row>
    <row r="111" spans="1:16" x14ac:dyDescent="0.3">
      <c r="A111" s="6">
        <v>61</v>
      </c>
      <c r="B111" s="73">
        <v>2012</v>
      </c>
      <c r="C111" s="73">
        <v>2012</v>
      </c>
      <c r="D111" s="73" t="s">
        <v>89</v>
      </c>
      <c r="E111" s="73" t="s">
        <v>42</v>
      </c>
      <c r="F111" s="74">
        <v>217540005</v>
      </c>
      <c r="G111" s="74">
        <v>242704436</v>
      </c>
      <c r="H111" s="13">
        <f>AVERAGE(F112:F116)</f>
        <v>199169030.40000001</v>
      </c>
      <c r="I111" s="13">
        <f>AVERAGE(G112:G116)</f>
        <v>226146373.80000001</v>
      </c>
      <c r="J111" s="19">
        <f>F111/H111</f>
        <v>1.0922381083198767</v>
      </c>
      <c r="K111" s="19">
        <f>G111/I111</f>
        <v>1.0732183405011997</v>
      </c>
      <c r="L111" s="20">
        <f>K111-1</f>
        <v>7.3218340501199686E-2</v>
      </c>
      <c r="M111" s="21">
        <f>I111-G111</f>
        <v>-16558062.199999988</v>
      </c>
      <c r="N111" s="2">
        <f>M111*1.14</f>
        <v>-18876190.907999985</v>
      </c>
      <c r="O111" s="85" t="s">
        <v>31</v>
      </c>
      <c r="P111" s="85" t="s">
        <v>58</v>
      </c>
    </row>
    <row r="112" spans="1:16" x14ac:dyDescent="0.3">
      <c r="A112" s="6">
        <v>61</v>
      </c>
      <c r="B112" s="73">
        <v>2012</v>
      </c>
      <c r="C112" s="73">
        <v>2011</v>
      </c>
      <c r="D112" s="73" t="s">
        <v>89</v>
      </c>
      <c r="E112" s="73" t="s">
        <v>42</v>
      </c>
      <c r="F112" s="74">
        <v>219304546</v>
      </c>
      <c r="G112" s="74">
        <v>270973217</v>
      </c>
      <c r="H112" s="73"/>
      <c r="I112" s="73"/>
      <c r="J112" s="73"/>
      <c r="K112" s="73"/>
      <c r="L112" s="73"/>
      <c r="M112" s="73"/>
      <c r="N112" s="73"/>
    </row>
    <row r="113" spans="1:16" x14ac:dyDescent="0.3">
      <c r="A113" s="6">
        <v>61</v>
      </c>
      <c r="B113" s="73">
        <v>2012</v>
      </c>
      <c r="C113" s="73">
        <v>2010</v>
      </c>
      <c r="D113" s="73" t="s">
        <v>89</v>
      </c>
      <c r="E113" s="73" t="s">
        <v>42</v>
      </c>
      <c r="F113" s="74">
        <v>195383974</v>
      </c>
      <c r="G113" s="74">
        <v>228381422</v>
      </c>
      <c r="H113" s="73"/>
      <c r="I113" s="73"/>
      <c r="J113" s="73"/>
      <c r="K113" s="73"/>
      <c r="L113" s="73"/>
      <c r="M113" s="73"/>
      <c r="N113" s="73"/>
    </row>
    <row r="114" spans="1:16" x14ac:dyDescent="0.3">
      <c r="A114" s="6">
        <v>61</v>
      </c>
      <c r="B114" s="73">
        <v>2012</v>
      </c>
      <c r="C114" s="73">
        <v>2009</v>
      </c>
      <c r="D114" s="73" t="s">
        <v>89</v>
      </c>
      <c r="E114" s="73" t="s">
        <v>42</v>
      </c>
      <c r="F114" s="74">
        <v>195772626</v>
      </c>
      <c r="G114" s="74">
        <v>198364999</v>
      </c>
      <c r="H114" s="73"/>
      <c r="I114" s="73"/>
      <c r="J114" s="73"/>
      <c r="K114" s="73"/>
      <c r="L114" s="73"/>
      <c r="M114" s="73"/>
      <c r="N114" s="73"/>
    </row>
    <row r="115" spans="1:16" x14ac:dyDescent="0.3">
      <c r="A115" s="6">
        <v>61</v>
      </c>
      <c r="B115" s="73">
        <v>2012</v>
      </c>
      <c r="C115" s="73">
        <v>2008</v>
      </c>
      <c r="D115" s="73" t="s">
        <v>89</v>
      </c>
      <c r="E115" s="73" t="s">
        <v>42</v>
      </c>
      <c r="F115" s="74">
        <v>195934556</v>
      </c>
      <c r="G115" s="74">
        <v>223295507</v>
      </c>
      <c r="H115" s="73"/>
      <c r="I115" s="73"/>
      <c r="J115" s="73"/>
      <c r="K115" s="73"/>
      <c r="L115" s="73"/>
      <c r="M115" s="73"/>
      <c r="N115" s="73"/>
    </row>
    <row r="116" spans="1:16" x14ac:dyDescent="0.3">
      <c r="A116" s="14">
        <v>61</v>
      </c>
      <c r="B116" s="4">
        <v>2012</v>
      </c>
      <c r="C116" s="4">
        <v>2007</v>
      </c>
      <c r="D116" s="4" t="s">
        <v>89</v>
      </c>
      <c r="E116" s="4" t="s">
        <v>42</v>
      </c>
      <c r="F116" s="4">
        <v>189449450</v>
      </c>
      <c r="G116" s="4">
        <v>209716724</v>
      </c>
      <c r="H116" s="4"/>
      <c r="I116" s="4"/>
      <c r="J116" s="4"/>
      <c r="K116" s="4"/>
      <c r="L116" s="4"/>
      <c r="M116" s="4"/>
      <c r="N116" s="4"/>
      <c r="O116" s="87"/>
      <c r="P116" s="87"/>
    </row>
    <row r="117" spans="1:16" ht="54.6" customHeight="1" x14ac:dyDescent="0.3">
      <c r="A117" s="6">
        <v>59</v>
      </c>
      <c r="B117" s="73">
        <v>2012</v>
      </c>
      <c r="C117" s="73">
        <v>2012</v>
      </c>
      <c r="D117" s="73" t="s">
        <v>45</v>
      </c>
      <c r="E117" s="73" t="s">
        <v>90</v>
      </c>
      <c r="F117" s="74">
        <v>3332559</v>
      </c>
      <c r="G117" s="74">
        <v>9779769</v>
      </c>
      <c r="H117" s="13">
        <f>AVERAGE(F118:F122)</f>
        <v>2730323.2</v>
      </c>
      <c r="I117" s="13">
        <f>AVERAGE(G118:G122)</f>
        <v>6814505.4000000004</v>
      </c>
      <c r="J117" s="19">
        <f>F117/H117</f>
        <v>1.2205730808718909</v>
      </c>
      <c r="K117" s="19">
        <f>G117/I117</f>
        <v>1.4351399589469838</v>
      </c>
      <c r="L117" s="20">
        <f>K117-1</f>
        <v>0.43513995894698376</v>
      </c>
      <c r="M117" s="21">
        <f>I117-G117</f>
        <v>-2965263.5999999996</v>
      </c>
      <c r="N117" s="2">
        <f>M117*1.14</f>
        <v>-3380400.5039999993</v>
      </c>
      <c r="O117" s="85" t="s">
        <v>31</v>
      </c>
      <c r="P117" s="85" t="s">
        <v>91</v>
      </c>
    </row>
    <row r="118" spans="1:16" x14ac:dyDescent="0.3">
      <c r="A118" s="6">
        <v>59</v>
      </c>
      <c r="B118" s="73">
        <v>2012</v>
      </c>
      <c r="C118" s="73">
        <v>2011</v>
      </c>
      <c r="D118" s="73" t="s">
        <v>45</v>
      </c>
      <c r="E118" s="73" t="s">
        <v>90</v>
      </c>
      <c r="F118" s="74">
        <v>3109609</v>
      </c>
      <c r="G118" s="74">
        <v>8616363</v>
      </c>
      <c r="H118" s="73"/>
      <c r="I118" s="73"/>
      <c r="J118" s="73"/>
      <c r="K118" s="73"/>
      <c r="L118" s="73"/>
      <c r="M118" s="73"/>
      <c r="N118" s="73"/>
    </row>
    <row r="119" spans="1:16" x14ac:dyDescent="0.3">
      <c r="A119" s="6">
        <v>59</v>
      </c>
      <c r="B119" s="73">
        <v>2012</v>
      </c>
      <c r="C119" s="73">
        <v>2010</v>
      </c>
      <c r="D119" s="73" t="s">
        <v>45</v>
      </c>
      <c r="E119" s="73" t="s">
        <v>90</v>
      </c>
      <c r="F119" s="74">
        <v>2163533</v>
      </c>
      <c r="G119" s="74">
        <v>6297715</v>
      </c>
      <c r="H119" s="73"/>
      <c r="I119" s="73"/>
      <c r="J119" s="73"/>
      <c r="K119" s="73"/>
      <c r="L119" s="73"/>
      <c r="M119" s="73"/>
      <c r="N119" s="73"/>
    </row>
    <row r="120" spans="1:16" x14ac:dyDescent="0.3">
      <c r="A120" s="6">
        <v>59</v>
      </c>
      <c r="B120" s="73">
        <v>2012</v>
      </c>
      <c r="C120" s="73">
        <v>2009</v>
      </c>
      <c r="D120" s="73" t="s">
        <v>45</v>
      </c>
      <c r="E120" s="73" t="s">
        <v>90</v>
      </c>
      <c r="F120" s="74">
        <v>2874875</v>
      </c>
      <c r="G120" s="74">
        <v>6967660</v>
      </c>
      <c r="H120" s="73"/>
      <c r="I120" s="73"/>
      <c r="J120" s="73"/>
      <c r="K120" s="73"/>
      <c r="L120" s="73"/>
      <c r="M120" s="73"/>
      <c r="N120" s="73"/>
    </row>
    <row r="121" spans="1:16" x14ac:dyDescent="0.3">
      <c r="A121" s="6">
        <v>59</v>
      </c>
      <c r="B121" s="73">
        <v>2012</v>
      </c>
      <c r="C121" s="73">
        <v>2008</v>
      </c>
      <c r="D121" s="73" t="s">
        <v>45</v>
      </c>
      <c r="E121" s="73" t="s">
        <v>90</v>
      </c>
      <c r="F121" s="74">
        <v>2508747</v>
      </c>
      <c r="G121" s="74">
        <v>5488354</v>
      </c>
      <c r="H121" s="73"/>
      <c r="I121" s="73"/>
      <c r="J121" s="73"/>
      <c r="K121" s="73"/>
      <c r="L121" s="73"/>
      <c r="M121" s="73"/>
      <c r="N121" s="73"/>
    </row>
    <row r="122" spans="1:16" x14ac:dyDescent="0.3">
      <c r="A122" s="14">
        <v>59</v>
      </c>
      <c r="B122" s="4">
        <v>2012</v>
      </c>
      <c r="C122" s="4">
        <v>2007</v>
      </c>
      <c r="D122" s="4" t="s">
        <v>45</v>
      </c>
      <c r="E122" s="4" t="s">
        <v>90</v>
      </c>
      <c r="F122" s="5">
        <v>2994852</v>
      </c>
      <c r="G122" s="5">
        <v>6702435</v>
      </c>
      <c r="H122" s="4"/>
      <c r="I122" s="4"/>
      <c r="J122" s="4"/>
      <c r="K122" s="4"/>
      <c r="L122" s="4"/>
      <c r="M122" s="4"/>
      <c r="N122" s="4"/>
      <c r="O122" s="87"/>
      <c r="P122" s="87"/>
    </row>
    <row r="123" spans="1:16" ht="28.8" x14ac:dyDescent="0.3">
      <c r="A123" s="22">
        <v>58</v>
      </c>
      <c r="B123" s="73" t="s">
        <v>92</v>
      </c>
      <c r="C123" s="73">
        <v>2012</v>
      </c>
      <c r="D123" s="16" t="s">
        <v>50</v>
      </c>
      <c r="E123" s="16" t="s">
        <v>64</v>
      </c>
      <c r="F123" s="13">
        <v>43004</v>
      </c>
      <c r="G123" s="13">
        <v>145373.53</v>
      </c>
      <c r="H123" s="13">
        <f>AVERAGE(F125:F129)</f>
        <v>748930</v>
      </c>
      <c r="I123" s="13">
        <f>AVERAGE(G125:G129)</f>
        <v>1931258.4280000001</v>
      </c>
      <c r="J123" s="19">
        <f>F123/H123</f>
        <v>5.7420586703697277E-2</v>
      </c>
      <c r="K123" s="19">
        <f>G123/I123</f>
        <v>7.5273991244428115E-2</v>
      </c>
      <c r="L123" s="20">
        <f>K123-1</f>
        <v>-0.92472600875557187</v>
      </c>
      <c r="M123" s="21">
        <f>I123-G123</f>
        <v>1785884.898</v>
      </c>
      <c r="N123" s="37">
        <f>M123*1.14</f>
        <v>2035908.7837199999</v>
      </c>
      <c r="O123" s="85" t="s">
        <v>39</v>
      </c>
      <c r="P123" s="85" t="s">
        <v>93</v>
      </c>
    </row>
    <row r="124" spans="1:16" x14ac:dyDescent="0.3">
      <c r="A124" s="22">
        <v>58</v>
      </c>
      <c r="B124" s="73" t="s">
        <v>92</v>
      </c>
      <c r="C124" s="73">
        <v>2011</v>
      </c>
      <c r="D124" s="16" t="s">
        <v>50</v>
      </c>
      <c r="E124" s="16" t="s">
        <v>64</v>
      </c>
      <c r="F124" s="13">
        <v>225646</v>
      </c>
      <c r="G124" s="13">
        <v>635391.93999999994</v>
      </c>
      <c r="H124" s="12"/>
      <c r="I124" s="12"/>
      <c r="J124" s="19">
        <f>F124/H123</f>
        <v>0.30129117541025197</v>
      </c>
      <c r="K124" s="19">
        <f>G124/I123</f>
        <v>0.32900409949693171</v>
      </c>
      <c r="L124" s="20">
        <f>K124-1</f>
        <v>-0.67099590050306834</v>
      </c>
      <c r="M124" s="21">
        <f>I123-G124</f>
        <v>1295866.4880000001</v>
      </c>
      <c r="N124" s="37">
        <f>M124*1.17</f>
        <v>1516163.7909600001</v>
      </c>
    </row>
    <row r="125" spans="1:16" x14ac:dyDescent="0.3">
      <c r="A125" s="22">
        <v>58</v>
      </c>
      <c r="B125" s="73" t="s">
        <v>92</v>
      </c>
      <c r="C125" s="73">
        <v>2010</v>
      </c>
      <c r="D125" s="16" t="s">
        <v>50</v>
      </c>
      <c r="E125" s="16" t="s">
        <v>64</v>
      </c>
      <c r="F125" s="13">
        <v>448063</v>
      </c>
      <c r="G125" s="13">
        <v>782246.03</v>
      </c>
      <c r="H125" s="12"/>
      <c r="I125" s="12"/>
      <c r="J125" s="12"/>
      <c r="K125" s="12"/>
      <c r="L125" s="12"/>
      <c r="M125" s="12"/>
      <c r="N125" s="12"/>
    </row>
    <row r="126" spans="1:16" x14ac:dyDescent="0.3">
      <c r="A126" s="22">
        <v>58</v>
      </c>
      <c r="B126" s="73" t="s">
        <v>92</v>
      </c>
      <c r="C126" s="73">
        <v>2009</v>
      </c>
      <c r="D126" s="16" t="s">
        <v>50</v>
      </c>
      <c r="E126" s="16" t="s">
        <v>64</v>
      </c>
      <c r="F126" s="13">
        <v>439629</v>
      </c>
      <c r="G126" s="13">
        <v>579283.91999999993</v>
      </c>
      <c r="H126" s="12"/>
      <c r="I126" s="12"/>
      <c r="J126" s="12"/>
      <c r="K126" s="12"/>
      <c r="L126" s="12"/>
      <c r="M126" s="12"/>
      <c r="N126" s="12"/>
    </row>
    <row r="127" spans="1:16" x14ac:dyDescent="0.3">
      <c r="A127" s="22">
        <v>58</v>
      </c>
      <c r="B127" s="73" t="s">
        <v>92</v>
      </c>
      <c r="C127" s="73">
        <v>2008</v>
      </c>
      <c r="D127" s="16" t="s">
        <v>50</v>
      </c>
      <c r="E127" s="16" t="s">
        <v>64</v>
      </c>
      <c r="F127" s="13">
        <v>683185</v>
      </c>
      <c r="G127" s="13">
        <v>1425929.9200000002</v>
      </c>
      <c r="H127" s="12"/>
      <c r="I127" s="12"/>
      <c r="J127" s="12"/>
      <c r="K127" s="12"/>
      <c r="L127" s="12"/>
      <c r="M127" s="12"/>
      <c r="N127" s="12"/>
    </row>
    <row r="128" spans="1:16" x14ac:dyDescent="0.3">
      <c r="A128" s="22">
        <v>58</v>
      </c>
      <c r="B128" s="73" t="s">
        <v>92</v>
      </c>
      <c r="C128" s="12">
        <v>2007</v>
      </c>
      <c r="D128" s="16" t="s">
        <v>50</v>
      </c>
      <c r="E128" s="16" t="s">
        <v>64</v>
      </c>
      <c r="F128" s="13">
        <v>961489</v>
      </c>
      <c r="G128" s="13">
        <v>2859485.8</v>
      </c>
      <c r="H128" s="12"/>
      <c r="I128" s="12"/>
      <c r="J128" s="12"/>
      <c r="K128" s="12"/>
      <c r="L128" s="12"/>
      <c r="M128" s="12"/>
      <c r="N128" s="12"/>
    </row>
    <row r="129" spans="1:16" x14ac:dyDescent="0.3">
      <c r="A129" s="11">
        <v>58</v>
      </c>
      <c r="B129" s="4" t="s">
        <v>92</v>
      </c>
      <c r="C129" s="4">
        <v>2006</v>
      </c>
      <c r="D129" s="17" t="s">
        <v>50</v>
      </c>
      <c r="E129" s="17" t="s">
        <v>64</v>
      </c>
      <c r="F129" s="5">
        <v>1212284</v>
      </c>
      <c r="G129" s="5">
        <v>4009346.4699999997</v>
      </c>
      <c r="H129" s="4"/>
      <c r="I129" s="4"/>
      <c r="J129" s="4"/>
      <c r="K129" s="4"/>
      <c r="L129" s="4"/>
      <c r="M129" s="4" t="s">
        <v>36</v>
      </c>
      <c r="N129" s="77">
        <f>N123+N124</f>
        <v>3552072.5746800001</v>
      </c>
      <c r="O129" s="87"/>
      <c r="P129" s="87"/>
    </row>
    <row r="130" spans="1:16" ht="28.8" x14ac:dyDescent="0.3">
      <c r="A130" s="73">
        <v>56</v>
      </c>
      <c r="B130" s="73" t="s">
        <v>94</v>
      </c>
      <c r="C130" s="73">
        <v>2013</v>
      </c>
      <c r="D130" s="73" t="s">
        <v>95</v>
      </c>
      <c r="E130" s="73" t="s">
        <v>96</v>
      </c>
      <c r="F130" s="74">
        <v>43384034</v>
      </c>
      <c r="G130" s="74">
        <v>56773863</v>
      </c>
      <c r="H130" s="13">
        <f>AVERAGE(F133:F137)</f>
        <v>63731512.200000003</v>
      </c>
      <c r="I130" s="13">
        <f>AVERAGE(G133:G137)</f>
        <v>77027150.200000003</v>
      </c>
      <c r="J130" s="19">
        <f>F130/H130</f>
        <v>0.68073128194187116</v>
      </c>
      <c r="K130" s="19">
        <f>G130/I130</f>
        <v>0.73706300768738553</v>
      </c>
      <c r="L130" s="20">
        <f>K130-1</f>
        <v>-0.26293699231261447</v>
      </c>
      <c r="M130" s="21">
        <f>I130-G130</f>
        <v>20253287.200000003</v>
      </c>
      <c r="N130" s="15">
        <f>M130*1.12</f>
        <v>22683681.664000005</v>
      </c>
      <c r="O130" s="85" t="s">
        <v>39</v>
      </c>
      <c r="P130" s="85" t="s">
        <v>97</v>
      </c>
    </row>
    <row r="131" spans="1:16" x14ac:dyDescent="0.3">
      <c r="A131" s="73">
        <v>56</v>
      </c>
      <c r="B131" s="73" t="s">
        <v>94</v>
      </c>
      <c r="C131" s="73">
        <v>2012</v>
      </c>
      <c r="D131" s="73" t="s">
        <v>95</v>
      </c>
      <c r="E131" s="73" t="s">
        <v>96</v>
      </c>
      <c r="F131" s="74">
        <v>55775449</v>
      </c>
      <c r="G131" s="74">
        <v>75912182</v>
      </c>
      <c r="H131" s="73"/>
      <c r="I131" s="73"/>
      <c r="J131" s="59">
        <f>F131/H130</f>
        <v>0.87516280525350532</v>
      </c>
      <c r="K131" s="59">
        <f>G131/I130</f>
        <v>0.98552499739241295</v>
      </c>
      <c r="L131" s="20">
        <f t="shared" ref="L131:L132" si="0">K131-1</f>
        <v>-1.4475002607587051E-2</v>
      </c>
      <c r="M131" s="74">
        <f>I130-G131</f>
        <v>1114968.200000003</v>
      </c>
      <c r="N131" s="15">
        <f>M131*1.13</f>
        <v>1259914.0660000031</v>
      </c>
    </row>
    <row r="132" spans="1:16" x14ac:dyDescent="0.3">
      <c r="A132" s="73">
        <v>56</v>
      </c>
      <c r="B132" s="73" t="s">
        <v>94</v>
      </c>
      <c r="C132" s="73">
        <v>2011</v>
      </c>
      <c r="D132" s="73" t="s">
        <v>95</v>
      </c>
      <c r="E132" s="73" t="s">
        <v>96</v>
      </c>
      <c r="F132" s="74">
        <v>67500725</v>
      </c>
      <c r="G132" s="74">
        <v>86838597</v>
      </c>
      <c r="H132" s="73"/>
      <c r="I132" s="73"/>
      <c r="J132" s="59">
        <f>F132/H130</f>
        <v>1.0591420581418434</v>
      </c>
      <c r="K132" s="59">
        <f>G132/I130</f>
        <v>1.1273764740682306</v>
      </c>
      <c r="L132" s="20">
        <f t="shared" si="0"/>
        <v>0.12737647406823061</v>
      </c>
      <c r="M132" s="74">
        <f>I130-G132</f>
        <v>-9811446.799999997</v>
      </c>
      <c r="N132" s="15">
        <f>M132*1.17</f>
        <v>-11479392.755999995</v>
      </c>
    </row>
    <row r="133" spans="1:16" x14ac:dyDescent="0.3">
      <c r="A133" s="73">
        <v>56</v>
      </c>
      <c r="B133" s="73" t="s">
        <v>94</v>
      </c>
      <c r="C133" s="73">
        <v>2010</v>
      </c>
      <c r="D133" s="73" t="s">
        <v>95</v>
      </c>
      <c r="E133" s="73" t="s">
        <v>96</v>
      </c>
      <c r="F133" s="74">
        <v>66499564</v>
      </c>
      <c r="G133" s="74">
        <v>80659682</v>
      </c>
      <c r="H133" s="73"/>
      <c r="I133" s="73"/>
      <c r="J133" s="73"/>
      <c r="K133" s="73"/>
      <c r="L133" s="73"/>
      <c r="M133" s="73"/>
      <c r="N133" s="73"/>
    </row>
    <row r="134" spans="1:16" x14ac:dyDescent="0.3">
      <c r="A134" s="73">
        <v>56</v>
      </c>
      <c r="B134" s="73" t="s">
        <v>94</v>
      </c>
      <c r="C134" s="73">
        <v>2009</v>
      </c>
      <c r="D134" s="73" t="s">
        <v>95</v>
      </c>
      <c r="E134" s="73" t="s">
        <v>96</v>
      </c>
      <c r="F134" s="74">
        <v>66899724</v>
      </c>
      <c r="G134" s="74">
        <v>71423694</v>
      </c>
      <c r="H134" s="73"/>
      <c r="I134" s="73"/>
      <c r="J134" s="73"/>
      <c r="K134" s="73"/>
      <c r="L134" s="73"/>
      <c r="M134" s="73"/>
      <c r="N134" s="73"/>
    </row>
    <row r="135" spans="1:16" x14ac:dyDescent="0.3">
      <c r="A135" s="73">
        <v>56</v>
      </c>
      <c r="B135" s="73" t="s">
        <v>94</v>
      </c>
      <c r="C135" s="73">
        <v>2008</v>
      </c>
      <c r="D135" s="73" t="s">
        <v>95</v>
      </c>
      <c r="E135" s="73" t="s">
        <v>96</v>
      </c>
      <c r="F135" s="74">
        <v>72041363</v>
      </c>
      <c r="G135" s="74">
        <v>83847956</v>
      </c>
      <c r="H135" s="73"/>
      <c r="I135" s="73"/>
      <c r="J135" s="73"/>
      <c r="K135" s="73"/>
      <c r="L135" s="73"/>
      <c r="M135" s="73"/>
      <c r="N135" s="73"/>
    </row>
    <row r="136" spans="1:16" x14ac:dyDescent="0.3">
      <c r="A136" s="73">
        <v>56</v>
      </c>
      <c r="B136" s="73" t="s">
        <v>94</v>
      </c>
      <c r="C136" s="73">
        <v>2007</v>
      </c>
      <c r="D136" s="73" t="s">
        <v>95</v>
      </c>
      <c r="E136" s="73" t="s">
        <v>96</v>
      </c>
      <c r="F136" s="74">
        <v>60819374</v>
      </c>
      <c r="G136" s="74">
        <v>77612645</v>
      </c>
      <c r="H136" s="73"/>
      <c r="I136" s="73"/>
      <c r="J136" s="73"/>
      <c r="K136" s="73"/>
      <c r="L136" s="73"/>
      <c r="M136" s="73"/>
      <c r="N136" s="73"/>
    </row>
    <row r="137" spans="1:16" x14ac:dyDescent="0.3">
      <c r="A137" s="4">
        <v>56</v>
      </c>
      <c r="B137" s="4" t="s">
        <v>94</v>
      </c>
      <c r="C137" s="4">
        <v>2006</v>
      </c>
      <c r="D137" s="4" t="s">
        <v>95</v>
      </c>
      <c r="E137" s="4" t="s">
        <v>96</v>
      </c>
      <c r="F137" s="5">
        <v>52397536</v>
      </c>
      <c r="G137" s="5">
        <v>71591774</v>
      </c>
      <c r="H137" s="4"/>
      <c r="I137" s="4"/>
      <c r="J137" s="4"/>
      <c r="K137" s="4"/>
      <c r="L137" s="4"/>
      <c r="M137" s="4" t="s">
        <v>36</v>
      </c>
      <c r="N137" s="77">
        <f>N130+N131+N132</f>
        <v>12464202.974000013</v>
      </c>
      <c r="O137" s="87"/>
      <c r="P137" s="87"/>
    </row>
    <row r="138" spans="1:16" x14ac:dyDescent="0.3">
      <c r="A138" s="6">
        <v>55</v>
      </c>
      <c r="B138" s="73">
        <v>2011</v>
      </c>
      <c r="C138" s="73">
        <v>2011</v>
      </c>
      <c r="D138" s="73" t="s">
        <v>98</v>
      </c>
      <c r="E138" s="73" t="s">
        <v>42</v>
      </c>
      <c r="F138" s="74">
        <v>277769300</v>
      </c>
      <c r="G138" s="74">
        <v>30162827</v>
      </c>
      <c r="H138" s="13">
        <f>AVERAGE(F139:F143)</f>
        <v>54823108</v>
      </c>
      <c r="I138" s="13">
        <f>AVERAGE(G139:G143)</f>
        <v>22043434.199999999</v>
      </c>
      <c r="J138" s="19">
        <f>F138/H138</f>
        <v>5.0666463492000489</v>
      </c>
      <c r="K138" s="19">
        <f>G138/I138</f>
        <v>1.3683361098063387</v>
      </c>
      <c r="L138" s="20">
        <f>K138-1</f>
        <v>0.36833610980633869</v>
      </c>
      <c r="M138" s="21">
        <f>I138-G138</f>
        <v>-8119392.8000000007</v>
      </c>
      <c r="N138" s="2">
        <f>M138*1.17</f>
        <v>-9499689.5759999994</v>
      </c>
      <c r="O138" s="85" t="s">
        <v>31</v>
      </c>
      <c r="P138" s="85" t="s">
        <v>58</v>
      </c>
    </row>
    <row r="139" spans="1:16" x14ac:dyDescent="0.3">
      <c r="A139" s="6">
        <v>55</v>
      </c>
      <c r="B139" s="73">
        <v>2011</v>
      </c>
      <c r="C139" s="73">
        <v>2010</v>
      </c>
      <c r="D139" s="73" t="s">
        <v>98</v>
      </c>
      <c r="E139" s="73" t="s">
        <v>42</v>
      </c>
      <c r="F139" s="74">
        <v>6179653</v>
      </c>
      <c r="G139" s="74">
        <v>13233723</v>
      </c>
      <c r="H139" s="73"/>
      <c r="I139" s="73"/>
      <c r="J139" s="73"/>
      <c r="K139" s="73"/>
      <c r="L139" s="73"/>
      <c r="M139" s="73"/>
      <c r="N139" s="73"/>
    </row>
    <row r="140" spans="1:16" x14ac:dyDescent="0.3">
      <c r="A140" s="6">
        <v>55</v>
      </c>
      <c r="B140" s="73">
        <v>2011</v>
      </c>
      <c r="C140" s="73">
        <v>2009</v>
      </c>
      <c r="D140" s="73" t="s">
        <v>98</v>
      </c>
      <c r="E140" s="73" t="s">
        <v>42</v>
      </c>
      <c r="F140" s="74">
        <v>13069668</v>
      </c>
      <c r="G140" s="74">
        <v>19756748</v>
      </c>
      <c r="H140" s="73"/>
      <c r="I140" s="73"/>
      <c r="J140" s="73"/>
      <c r="K140" s="73"/>
      <c r="L140" s="73"/>
      <c r="M140" s="73"/>
      <c r="N140" s="73"/>
    </row>
    <row r="141" spans="1:16" x14ac:dyDescent="0.3">
      <c r="A141" s="6">
        <v>55</v>
      </c>
      <c r="B141" s="73">
        <v>2011</v>
      </c>
      <c r="C141" s="73">
        <v>2008</v>
      </c>
      <c r="D141" s="73" t="s">
        <v>98</v>
      </c>
      <c r="E141" s="73" t="s">
        <v>42</v>
      </c>
      <c r="F141" s="74">
        <v>11804048</v>
      </c>
      <c r="G141" s="74">
        <v>24665276</v>
      </c>
      <c r="H141" s="73"/>
      <c r="I141" s="73"/>
      <c r="J141" s="73"/>
      <c r="K141" s="73"/>
      <c r="L141" s="73"/>
      <c r="M141" s="73"/>
      <c r="N141" s="73"/>
    </row>
    <row r="142" spans="1:16" x14ac:dyDescent="0.3">
      <c r="A142" s="6">
        <v>55</v>
      </c>
      <c r="B142" s="73">
        <v>2011</v>
      </c>
      <c r="C142" s="73">
        <v>2007</v>
      </c>
      <c r="D142" s="73" t="s">
        <v>98</v>
      </c>
      <c r="E142" s="73" t="s">
        <v>42</v>
      </c>
      <c r="F142" s="74">
        <v>11649501</v>
      </c>
      <c r="G142" s="74">
        <v>18186259</v>
      </c>
      <c r="H142" s="73"/>
      <c r="I142" s="73"/>
      <c r="J142" s="73"/>
      <c r="K142" s="73"/>
      <c r="L142" s="73"/>
      <c r="M142" s="73"/>
      <c r="N142" s="73"/>
    </row>
    <row r="143" spans="1:16" x14ac:dyDescent="0.3">
      <c r="A143" s="14">
        <v>55</v>
      </c>
      <c r="B143" s="4">
        <v>2011</v>
      </c>
      <c r="C143" s="4">
        <v>2006</v>
      </c>
      <c r="D143" s="4" t="s">
        <v>98</v>
      </c>
      <c r="E143" s="4" t="s">
        <v>42</v>
      </c>
      <c r="F143" s="5">
        <v>231412670</v>
      </c>
      <c r="G143" s="5">
        <v>34375165</v>
      </c>
      <c r="H143" s="4"/>
      <c r="I143" s="4"/>
      <c r="J143" s="4"/>
      <c r="K143" s="4"/>
      <c r="L143" s="4"/>
      <c r="M143" s="4"/>
      <c r="N143" s="4"/>
      <c r="O143" s="87"/>
      <c r="P143" s="87"/>
    </row>
    <row r="144" spans="1:16" s="73" customFormat="1" ht="65.400000000000006" customHeight="1" x14ac:dyDescent="0.3">
      <c r="A144" s="16">
        <v>53</v>
      </c>
      <c r="B144" s="16">
        <v>2010</v>
      </c>
      <c r="C144" s="73">
        <v>2010</v>
      </c>
      <c r="D144" s="16" t="s">
        <v>99</v>
      </c>
      <c r="E144" s="16" t="s">
        <v>100</v>
      </c>
      <c r="F144" s="79"/>
      <c r="G144" s="79">
        <f>(102038+625085+3482+182054+1516+7899+5592+997195+5667+154780+38189)</f>
        <v>2123497</v>
      </c>
      <c r="H144" s="16"/>
      <c r="I144" s="79">
        <f>AVERAGE(G145:G149)</f>
        <v>2584475.6</v>
      </c>
      <c r="J144" s="16"/>
      <c r="K144" s="16">
        <f>G144/I144</f>
        <v>0.82163553797915523</v>
      </c>
      <c r="L144" s="16">
        <f>K144-1</f>
        <v>-0.17836446202084477</v>
      </c>
      <c r="M144" s="79">
        <f>I144-G144</f>
        <v>460978.60000000009</v>
      </c>
      <c r="N144" s="82">
        <f>1.19*M144</f>
        <v>548564.5340000001</v>
      </c>
      <c r="O144" s="85" t="s">
        <v>39</v>
      </c>
      <c r="P144" s="85" t="s">
        <v>101</v>
      </c>
    </row>
    <row r="145" spans="1:18" s="73" customFormat="1" x14ac:dyDescent="0.3">
      <c r="A145" s="16">
        <v>53</v>
      </c>
      <c r="B145" s="16">
        <v>2010</v>
      </c>
      <c r="C145" s="73">
        <v>2009</v>
      </c>
      <c r="D145" s="16" t="s">
        <v>99</v>
      </c>
      <c r="E145" s="16" t="s">
        <v>100</v>
      </c>
      <c r="F145" s="79"/>
      <c r="G145" s="79">
        <f>(3660+4799+11+81633+263+2702+90916+2358+29714+133+6921)</f>
        <v>223110</v>
      </c>
      <c r="H145" s="16"/>
      <c r="I145" s="16"/>
      <c r="J145" s="16"/>
      <c r="K145" s="16"/>
      <c r="L145" s="16"/>
      <c r="M145" s="16"/>
      <c r="N145" s="16"/>
      <c r="O145" s="85"/>
      <c r="P145" s="85"/>
    </row>
    <row r="146" spans="1:18" s="73" customFormat="1" x14ac:dyDescent="0.3">
      <c r="A146" s="16">
        <v>53</v>
      </c>
      <c r="B146" s="16">
        <v>2010</v>
      </c>
      <c r="C146" s="73">
        <v>2008</v>
      </c>
      <c r="D146" s="16" t="s">
        <v>99</v>
      </c>
      <c r="E146" s="16" t="s">
        <v>100</v>
      </c>
      <c r="F146" s="79"/>
      <c r="G146" s="79">
        <f>(5429 +142820 +2024 +20344)</f>
        <v>170617</v>
      </c>
      <c r="H146" s="16"/>
      <c r="I146" s="16"/>
      <c r="J146" s="16"/>
      <c r="K146" s="16"/>
      <c r="L146" s="16"/>
      <c r="M146" s="16"/>
      <c r="N146" s="16"/>
      <c r="O146" s="85"/>
      <c r="P146" s="85"/>
    </row>
    <row r="147" spans="1:18" s="73" customFormat="1" x14ac:dyDescent="0.3">
      <c r="A147" s="16">
        <v>53</v>
      </c>
      <c r="B147" s="16">
        <v>2010</v>
      </c>
      <c r="C147" s="73">
        <v>2007</v>
      </c>
      <c r="D147" s="16" t="s">
        <v>99</v>
      </c>
      <c r="E147" s="16" t="s">
        <v>100</v>
      </c>
      <c r="F147" s="79"/>
      <c r="G147" s="79">
        <f>(17017 +274980 + 1626 +1231173 +21009 +2628 +2+61655 +84+35+37256 +536+6303+2045+442757 +25948 +13+1829 +1071+215699 +3122 +73449+6566)</f>
        <v>2426803</v>
      </c>
      <c r="H147" s="16"/>
      <c r="I147" s="16"/>
      <c r="J147" s="16"/>
      <c r="K147" s="16"/>
      <c r="L147" s="16"/>
      <c r="M147" s="16"/>
      <c r="N147" s="16"/>
      <c r="O147" s="85"/>
      <c r="P147" s="85"/>
    </row>
    <row r="148" spans="1:18" s="73" customFormat="1" x14ac:dyDescent="0.3">
      <c r="A148" s="16">
        <v>53</v>
      </c>
      <c r="B148" s="16">
        <v>2010</v>
      </c>
      <c r="C148" s="73">
        <v>2006</v>
      </c>
      <c r="D148" s="16" t="s">
        <v>99</v>
      </c>
      <c r="E148" s="16" t="s">
        <v>100</v>
      </c>
      <c r="F148" s="79"/>
      <c r="G148" s="79">
        <f>(83905+185566 +1681 +383626 +14205 +41229 +1086250 +5523+169531+63814)</f>
        <v>2035330</v>
      </c>
      <c r="H148" s="16"/>
      <c r="I148" s="16"/>
      <c r="J148" s="16"/>
      <c r="K148" s="16"/>
      <c r="L148" s="16"/>
      <c r="M148" s="16"/>
      <c r="N148" s="16"/>
      <c r="O148" s="85"/>
      <c r="P148" s="85"/>
    </row>
    <row r="149" spans="1:18" s="73" customFormat="1" x14ac:dyDescent="0.3">
      <c r="A149" s="17">
        <v>53</v>
      </c>
      <c r="B149" s="4">
        <v>2010</v>
      </c>
      <c r="C149" s="4">
        <v>2005</v>
      </c>
      <c r="D149" s="4" t="s">
        <v>99</v>
      </c>
      <c r="E149" s="4" t="s">
        <v>100</v>
      </c>
      <c r="F149" s="5"/>
      <c r="G149" s="5">
        <f>(7006 +201988+3004761+12+83+28576 +700588+21828 +2+56803 +6377 +3303766+34897 +502930+196901)</f>
        <v>8066518</v>
      </c>
      <c r="H149" s="4"/>
      <c r="I149" s="4"/>
      <c r="J149" s="4"/>
      <c r="K149" s="4"/>
      <c r="L149" s="4"/>
      <c r="M149" s="4"/>
      <c r="N149" s="4"/>
      <c r="O149" s="87"/>
      <c r="P149" s="87"/>
    </row>
    <row r="150" spans="1:18" s="17" customFormat="1" x14ac:dyDescent="0.3">
      <c r="A150" s="46">
        <v>51</v>
      </c>
      <c r="B150" s="17">
        <v>2009</v>
      </c>
      <c r="C150" s="17">
        <v>2009</v>
      </c>
      <c r="D150" s="17" t="s">
        <v>102</v>
      </c>
      <c r="E150" s="17" t="s">
        <v>103</v>
      </c>
      <c r="F150" s="43"/>
      <c r="G150" s="43"/>
      <c r="L150" s="47">
        <v>-0.8</v>
      </c>
      <c r="M150" s="44">
        <v>200000</v>
      </c>
      <c r="N150" s="45">
        <f>M150*1.22</f>
        <v>244000</v>
      </c>
      <c r="O150" s="86" t="s">
        <v>31</v>
      </c>
      <c r="P150" s="86" t="s">
        <v>104</v>
      </c>
      <c r="Q150" s="16"/>
      <c r="R150" s="16"/>
    </row>
    <row r="151" spans="1:18" x14ac:dyDescent="0.3">
      <c r="A151" s="73">
        <v>49</v>
      </c>
      <c r="B151" s="73">
        <v>2010</v>
      </c>
      <c r="C151" s="73">
        <v>2010</v>
      </c>
      <c r="D151" s="73" t="s">
        <v>105</v>
      </c>
      <c r="E151" s="73" t="s">
        <v>42</v>
      </c>
      <c r="F151" s="74">
        <v>909584781</v>
      </c>
      <c r="G151" s="74">
        <v>461242897</v>
      </c>
      <c r="H151" s="13">
        <f>AVERAGE(F152:F156)</f>
        <v>1144678564.4000001</v>
      </c>
      <c r="I151" s="13">
        <f>AVERAGE(G152:G156)</f>
        <v>477498549.60000002</v>
      </c>
      <c r="J151" s="19">
        <f>F151/H151</f>
        <v>0.79462026221900306</v>
      </c>
      <c r="K151" s="19">
        <f>G151/I151</f>
        <v>0.96595664507543033</v>
      </c>
      <c r="L151" s="20">
        <f>K151-1</f>
        <v>-3.4043354924569669E-2</v>
      </c>
      <c r="M151" s="21">
        <f>I151-G151</f>
        <v>16255652.600000024</v>
      </c>
      <c r="N151" s="2">
        <f>M151*1.19</f>
        <v>19344226.594000027</v>
      </c>
      <c r="O151" s="85" t="s">
        <v>31</v>
      </c>
      <c r="P151" s="85" t="s">
        <v>58</v>
      </c>
      <c r="R151" s="73"/>
    </row>
    <row r="152" spans="1:18" x14ac:dyDescent="0.3">
      <c r="A152" s="73">
        <v>49</v>
      </c>
      <c r="B152" s="73">
        <v>2010</v>
      </c>
      <c r="C152" s="73">
        <v>2009</v>
      </c>
      <c r="D152" s="73" t="s">
        <v>105</v>
      </c>
      <c r="E152" s="73" t="s">
        <v>42</v>
      </c>
      <c r="F152" s="74">
        <v>1144194361</v>
      </c>
      <c r="G152" s="74">
        <v>496162866</v>
      </c>
      <c r="H152" s="73"/>
      <c r="I152" s="73"/>
      <c r="J152" s="73"/>
      <c r="K152" s="73"/>
      <c r="L152" s="73"/>
      <c r="M152" s="73"/>
      <c r="N152" s="73"/>
      <c r="R152" s="73"/>
    </row>
    <row r="153" spans="1:18" x14ac:dyDescent="0.3">
      <c r="A153" s="73">
        <v>49</v>
      </c>
      <c r="B153" s="73">
        <v>2010</v>
      </c>
      <c r="C153" s="73">
        <v>2008</v>
      </c>
      <c r="D153" s="73" t="s">
        <v>105</v>
      </c>
      <c r="E153" s="73" t="s">
        <v>42</v>
      </c>
      <c r="F153" s="74">
        <v>1060435794</v>
      </c>
      <c r="G153" s="74">
        <v>528211245</v>
      </c>
      <c r="H153" s="73"/>
      <c r="I153" s="73"/>
      <c r="J153" s="73"/>
      <c r="K153" s="73"/>
      <c r="L153" s="73"/>
      <c r="M153" s="73"/>
      <c r="N153" s="73"/>
      <c r="R153" s="73"/>
    </row>
    <row r="154" spans="1:18" x14ac:dyDescent="0.3">
      <c r="A154" s="73">
        <v>49</v>
      </c>
      <c r="B154" s="73">
        <v>2010</v>
      </c>
      <c r="C154" s="73">
        <v>2007</v>
      </c>
      <c r="D154" s="73" t="s">
        <v>105</v>
      </c>
      <c r="E154" s="73" t="s">
        <v>42</v>
      </c>
      <c r="F154" s="74">
        <v>1133645090</v>
      </c>
      <c r="G154" s="74">
        <v>535547914</v>
      </c>
      <c r="H154" s="73"/>
      <c r="I154" s="73"/>
      <c r="J154" s="73"/>
      <c r="K154" s="73"/>
      <c r="L154" s="73"/>
      <c r="M154" s="73"/>
      <c r="N154" s="73"/>
      <c r="R154" s="73"/>
    </row>
    <row r="155" spans="1:18" x14ac:dyDescent="0.3">
      <c r="A155" s="73">
        <v>49</v>
      </c>
      <c r="B155" s="73">
        <v>2010</v>
      </c>
      <c r="C155" s="73">
        <v>2006</v>
      </c>
      <c r="D155" s="73" t="s">
        <v>105</v>
      </c>
      <c r="E155" s="73" t="s">
        <v>42</v>
      </c>
      <c r="F155" s="74">
        <v>1292633765</v>
      </c>
      <c r="G155" s="74">
        <v>432984737</v>
      </c>
      <c r="H155" s="73"/>
      <c r="I155" s="73"/>
      <c r="J155" s="73"/>
      <c r="K155" s="73"/>
      <c r="L155" s="73"/>
      <c r="M155" s="73"/>
      <c r="N155" s="73"/>
      <c r="R155" s="73"/>
    </row>
    <row r="156" spans="1:18" x14ac:dyDescent="0.3">
      <c r="A156" s="4">
        <v>49</v>
      </c>
      <c r="B156" s="4">
        <v>2010</v>
      </c>
      <c r="C156" s="4">
        <v>2005</v>
      </c>
      <c r="D156" s="4" t="s">
        <v>105</v>
      </c>
      <c r="E156" s="4" t="s">
        <v>42</v>
      </c>
      <c r="F156" s="5">
        <v>1092483812</v>
      </c>
      <c r="G156" s="5">
        <v>394585986</v>
      </c>
      <c r="H156" s="4"/>
      <c r="I156" s="4"/>
      <c r="J156" s="4"/>
      <c r="K156" s="4"/>
      <c r="L156" s="4"/>
      <c r="M156" s="4"/>
      <c r="N156" s="4"/>
      <c r="O156" s="90"/>
      <c r="P156" s="90"/>
      <c r="R156" s="73"/>
    </row>
    <row r="157" spans="1:18" ht="30" customHeight="1" x14ac:dyDescent="0.3">
      <c r="A157" s="16">
        <v>45</v>
      </c>
      <c r="B157" s="73">
        <v>2009</v>
      </c>
      <c r="C157" s="73">
        <v>2009</v>
      </c>
      <c r="D157" s="16" t="s">
        <v>106</v>
      </c>
      <c r="E157" s="16" t="s">
        <v>100</v>
      </c>
      <c r="F157" s="13">
        <v>5197856</v>
      </c>
      <c r="G157" s="13">
        <v>2670692.15</v>
      </c>
      <c r="H157" s="13">
        <f>AVERAGE(F158:F162)</f>
        <v>5723574</v>
      </c>
      <c r="I157" s="13">
        <f>AVERAGE(G158:G162)</f>
        <v>3930341.0380000002</v>
      </c>
      <c r="J157" s="19">
        <f>F157/H157</f>
        <v>0.90814864977721965</v>
      </c>
      <c r="K157" s="19">
        <f>G157/I157</f>
        <v>0.67950646627830869</v>
      </c>
      <c r="L157" s="20">
        <f>K157-1</f>
        <v>-0.32049353372169131</v>
      </c>
      <c r="M157" s="21">
        <f>I157-G157</f>
        <v>1259648.8880000003</v>
      </c>
      <c r="N157" s="2">
        <f>M157*1.22</f>
        <v>1536771.6433600003</v>
      </c>
      <c r="O157" s="85" t="s">
        <v>31</v>
      </c>
      <c r="P157" s="85" t="s">
        <v>107</v>
      </c>
      <c r="R157" s="73"/>
    </row>
    <row r="158" spans="1:18" x14ac:dyDescent="0.3">
      <c r="A158" s="16">
        <v>45</v>
      </c>
      <c r="B158" s="73">
        <v>2009</v>
      </c>
      <c r="C158" s="73">
        <v>2008</v>
      </c>
      <c r="D158" s="16" t="s">
        <v>106</v>
      </c>
      <c r="E158" s="16" t="s">
        <v>100</v>
      </c>
      <c r="F158" s="13">
        <v>5783591</v>
      </c>
      <c r="G158" s="13">
        <v>3215180.61</v>
      </c>
      <c r="H158" s="12"/>
      <c r="I158" s="12"/>
      <c r="J158" s="12"/>
      <c r="K158" s="12"/>
      <c r="L158" s="12"/>
      <c r="M158" s="12"/>
      <c r="N158" s="12"/>
      <c r="R158" s="73"/>
    </row>
    <row r="159" spans="1:18" x14ac:dyDescent="0.3">
      <c r="A159" s="16">
        <v>45</v>
      </c>
      <c r="B159" s="73">
        <v>2009</v>
      </c>
      <c r="C159" s="73">
        <v>2007</v>
      </c>
      <c r="D159" s="16" t="s">
        <v>106</v>
      </c>
      <c r="E159" s="16" t="s">
        <v>100</v>
      </c>
      <c r="F159" s="13">
        <v>5736074</v>
      </c>
      <c r="G159" s="13">
        <v>3795454.59</v>
      </c>
      <c r="H159" s="12"/>
      <c r="I159" s="12"/>
      <c r="J159" s="12"/>
      <c r="K159" s="12"/>
      <c r="L159" s="12"/>
      <c r="M159" s="12"/>
      <c r="N159" s="12"/>
      <c r="R159" s="73"/>
    </row>
    <row r="160" spans="1:18" x14ac:dyDescent="0.3">
      <c r="A160" s="16">
        <v>45</v>
      </c>
      <c r="B160" s="73">
        <v>2009</v>
      </c>
      <c r="C160" s="73">
        <v>2006</v>
      </c>
      <c r="D160" s="16" t="s">
        <v>106</v>
      </c>
      <c r="E160" s="16" t="s">
        <v>100</v>
      </c>
      <c r="F160" s="13">
        <v>4501550</v>
      </c>
      <c r="G160" s="13">
        <v>4325582.3500000006</v>
      </c>
      <c r="H160" s="12"/>
      <c r="I160" s="12"/>
      <c r="J160" s="12"/>
      <c r="K160" s="12"/>
      <c r="L160" s="12"/>
      <c r="M160" s="12"/>
      <c r="N160" s="12"/>
      <c r="R160" s="73"/>
    </row>
    <row r="161" spans="1:16" x14ac:dyDescent="0.3">
      <c r="A161" s="16">
        <v>45</v>
      </c>
      <c r="B161" s="73">
        <v>2009</v>
      </c>
      <c r="C161" s="73">
        <v>2005</v>
      </c>
      <c r="D161" s="16" t="s">
        <v>106</v>
      </c>
      <c r="E161" s="16" t="s">
        <v>100</v>
      </c>
      <c r="F161" s="13">
        <v>5999145</v>
      </c>
      <c r="G161" s="13">
        <v>3723553.23</v>
      </c>
      <c r="H161" s="12"/>
      <c r="I161" s="12"/>
      <c r="J161" s="12"/>
      <c r="K161" s="12"/>
      <c r="L161" s="12"/>
      <c r="M161" s="12"/>
      <c r="N161" s="12"/>
    </row>
    <row r="162" spans="1:16" x14ac:dyDescent="0.3">
      <c r="A162" s="17">
        <v>45</v>
      </c>
      <c r="B162" s="4">
        <v>2009</v>
      </c>
      <c r="C162" s="4">
        <v>2004</v>
      </c>
      <c r="D162" s="16" t="s">
        <v>106</v>
      </c>
      <c r="E162" s="17" t="s">
        <v>100</v>
      </c>
      <c r="F162" s="5">
        <v>6597510</v>
      </c>
      <c r="G162" s="5">
        <v>4591934.41</v>
      </c>
      <c r="H162" s="4"/>
      <c r="I162" s="4"/>
      <c r="J162" s="4"/>
      <c r="K162" s="4"/>
      <c r="L162" s="4"/>
      <c r="M162" s="4"/>
      <c r="N162" s="4"/>
      <c r="O162" s="87"/>
      <c r="P162" s="87"/>
    </row>
    <row r="163" spans="1:16" ht="28.8" x14ac:dyDescent="0.3">
      <c r="A163" s="8">
        <v>46</v>
      </c>
      <c r="B163" s="73">
        <v>2009</v>
      </c>
      <c r="C163" s="73">
        <v>2009</v>
      </c>
      <c r="D163" s="73" t="s">
        <v>108</v>
      </c>
      <c r="E163" s="73" t="s">
        <v>109</v>
      </c>
      <c r="F163" s="74">
        <v>4686734</v>
      </c>
      <c r="G163" s="74">
        <v>15632108</v>
      </c>
      <c r="H163" s="13">
        <f>AVERAGE(F164:F168)</f>
        <v>5538127.7999999998</v>
      </c>
      <c r="I163" s="13">
        <f>AVERAGE(G164:G168)</f>
        <v>20385001.199999999</v>
      </c>
      <c r="J163" s="19">
        <f>F163/H163</f>
        <v>0.84626685574139338</v>
      </c>
      <c r="K163" s="19">
        <f>G163/I163</f>
        <v>0.76684361441195303</v>
      </c>
      <c r="L163" s="20">
        <f>K163-1</f>
        <v>-0.23315638558804697</v>
      </c>
      <c r="M163" s="21">
        <f>I163-G163</f>
        <v>4752893.1999999993</v>
      </c>
      <c r="N163" s="2">
        <f>M163*1.22</f>
        <v>5798529.703999999</v>
      </c>
      <c r="O163" s="85" t="s">
        <v>39</v>
      </c>
      <c r="P163" s="85" t="s">
        <v>97</v>
      </c>
    </row>
    <row r="164" spans="1:16" x14ac:dyDescent="0.3">
      <c r="A164" s="8">
        <v>46</v>
      </c>
      <c r="B164" s="73">
        <v>2009</v>
      </c>
      <c r="C164" s="73">
        <v>2008</v>
      </c>
      <c r="D164" s="73" t="s">
        <v>108</v>
      </c>
      <c r="E164" s="73" t="s">
        <v>109</v>
      </c>
      <c r="F164" s="74">
        <v>4330587</v>
      </c>
      <c r="G164" s="74">
        <v>16104083</v>
      </c>
      <c r="H164" s="73"/>
      <c r="I164" s="73"/>
      <c r="J164" s="73"/>
      <c r="K164" s="73"/>
      <c r="L164" s="73"/>
      <c r="M164" s="73"/>
      <c r="N164" s="73"/>
    </row>
    <row r="165" spans="1:16" x14ac:dyDescent="0.3">
      <c r="A165" s="8">
        <v>46</v>
      </c>
      <c r="B165" s="73">
        <v>2009</v>
      </c>
      <c r="C165" s="73">
        <v>2007</v>
      </c>
      <c r="D165" s="73" t="s">
        <v>108</v>
      </c>
      <c r="E165" s="73" t="s">
        <v>109</v>
      </c>
      <c r="F165" s="74">
        <v>4651873</v>
      </c>
      <c r="G165" s="74">
        <v>16182750</v>
      </c>
      <c r="H165" s="73"/>
      <c r="I165" s="73"/>
      <c r="J165" s="73"/>
      <c r="K165" s="73"/>
      <c r="L165" s="73"/>
      <c r="M165" s="73"/>
      <c r="N165" s="73"/>
    </row>
    <row r="166" spans="1:16" x14ac:dyDescent="0.3">
      <c r="A166" s="8">
        <v>46</v>
      </c>
      <c r="B166" s="73">
        <v>2009</v>
      </c>
      <c r="C166" s="73">
        <v>2006</v>
      </c>
      <c r="D166" s="73" t="s">
        <v>108</v>
      </c>
      <c r="E166" s="73" t="s">
        <v>109</v>
      </c>
      <c r="F166" s="74">
        <v>7410287</v>
      </c>
      <c r="G166" s="74">
        <v>31144815</v>
      </c>
      <c r="H166" s="73"/>
      <c r="I166" s="73"/>
      <c r="J166" s="73"/>
      <c r="K166" s="73"/>
      <c r="L166" s="73"/>
      <c r="M166" s="73"/>
      <c r="N166" s="73"/>
    </row>
    <row r="167" spans="1:16" x14ac:dyDescent="0.3">
      <c r="A167" s="8">
        <v>46</v>
      </c>
      <c r="B167" s="73">
        <v>2009</v>
      </c>
      <c r="C167" s="73">
        <v>2005</v>
      </c>
      <c r="D167" s="73" t="s">
        <v>108</v>
      </c>
      <c r="E167" s="73" t="s">
        <v>109</v>
      </c>
      <c r="F167" s="74">
        <v>5000440</v>
      </c>
      <c r="G167" s="74">
        <v>17643804</v>
      </c>
      <c r="H167" s="73"/>
      <c r="I167" s="73"/>
      <c r="J167" s="73"/>
      <c r="K167" s="73"/>
      <c r="L167" s="73"/>
      <c r="M167" s="73"/>
      <c r="N167" s="73"/>
    </row>
    <row r="168" spans="1:16" x14ac:dyDescent="0.3">
      <c r="A168" s="29">
        <v>46</v>
      </c>
      <c r="B168" s="4">
        <v>2009</v>
      </c>
      <c r="C168" s="4">
        <v>2004</v>
      </c>
      <c r="D168" s="4" t="s">
        <v>108</v>
      </c>
      <c r="E168" s="4" t="s">
        <v>109</v>
      </c>
      <c r="F168" s="5">
        <v>6297452</v>
      </c>
      <c r="G168" s="5">
        <v>20849554</v>
      </c>
      <c r="H168" s="4"/>
      <c r="I168" s="4"/>
      <c r="J168" s="4"/>
      <c r="K168" s="4"/>
      <c r="L168" s="4"/>
      <c r="M168" s="4"/>
      <c r="N168" s="4"/>
      <c r="O168" s="87"/>
      <c r="P168" s="87"/>
    </row>
    <row r="169" spans="1:16" x14ac:dyDescent="0.3">
      <c r="A169" s="34">
        <v>43</v>
      </c>
      <c r="B169" s="73">
        <v>2009</v>
      </c>
      <c r="C169" s="73">
        <v>2009</v>
      </c>
      <c r="D169" s="16" t="s">
        <v>63</v>
      </c>
      <c r="E169" s="16" t="s">
        <v>100</v>
      </c>
      <c r="F169" s="13">
        <v>2287293</v>
      </c>
      <c r="G169" s="13">
        <v>3535404</v>
      </c>
      <c r="H169" s="13">
        <f>AVERAGE(F170:F174)</f>
        <v>6139602.2000000002</v>
      </c>
      <c r="I169" s="13">
        <f>AVERAGE(G170:G174)</f>
        <v>16223831.6</v>
      </c>
      <c r="J169" s="19">
        <f>F169/H169</f>
        <v>0.37254742660688994</v>
      </c>
      <c r="K169" s="19">
        <f>G169/I169</f>
        <v>0.217914244129605</v>
      </c>
      <c r="L169" s="20">
        <f>K169-1</f>
        <v>-0.78208575587039497</v>
      </c>
      <c r="M169" s="21">
        <f>I169-G169</f>
        <v>12688427.6</v>
      </c>
      <c r="N169" s="15">
        <f>M169*1.22</f>
        <v>15479881.671999998</v>
      </c>
      <c r="O169" s="85" t="s">
        <v>31</v>
      </c>
      <c r="P169" s="85" t="s">
        <v>58</v>
      </c>
    </row>
    <row r="170" spans="1:16" x14ac:dyDescent="0.3">
      <c r="A170" s="34">
        <v>43</v>
      </c>
      <c r="B170" s="73">
        <v>2009</v>
      </c>
      <c r="C170" s="73">
        <v>2008</v>
      </c>
      <c r="D170" s="16" t="s">
        <v>63</v>
      </c>
      <c r="E170" s="16" t="s">
        <v>100</v>
      </c>
      <c r="F170" s="13">
        <v>1792577</v>
      </c>
      <c r="G170" s="13">
        <v>4119785</v>
      </c>
      <c r="H170" s="12"/>
      <c r="I170" s="12"/>
      <c r="J170" s="12"/>
      <c r="K170" s="12"/>
      <c r="L170" s="12"/>
      <c r="M170" s="12"/>
      <c r="N170" s="12"/>
    </row>
    <row r="171" spans="1:16" x14ac:dyDescent="0.3">
      <c r="A171" s="34">
        <v>43</v>
      </c>
      <c r="B171" s="73">
        <v>2009</v>
      </c>
      <c r="C171" s="73">
        <v>2007</v>
      </c>
      <c r="D171" s="16" t="s">
        <v>63</v>
      </c>
      <c r="E171" s="16" t="s">
        <v>100</v>
      </c>
      <c r="F171" s="13">
        <v>3089995</v>
      </c>
      <c r="G171" s="13">
        <v>12466633</v>
      </c>
      <c r="H171" s="12"/>
      <c r="I171" s="12"/>
      <c r="J171" s="12"/>
      <c r="K171" s="12"/>
      <c r="L171" s="12"/>
      <c r="M171" s="12"/>
      <c r="N171" s="12"/>
    </row>
    <row r="172" spans="1:16" x14ac:dyDescent="0.3">
      <c r="A172" s="34">
        <v>43</v>
      </c>
      <c r="B172" s="73">
        <v>2009</v>
      </c>
      <c r="C172" s="73">
        <v>2006</v>
      </c>
      <c r="D172" s="16" t="s">
        <v>63</v>
      </c>
      <c r="E172" s="16" t="s">
        <v>100</v>
      </c>
      <c r="F172" s="13">
        <v>2966096</v>
      </c>
      <c r="G172" s="13">
        <v>10194950</v>
      </c>
      <c r="H172" s="12"/>
      <c r="I172" s="12"/>
      <c r="J172" s="12"/>
      <c r="K172" s="12"/>
      <c r="L172" s="12"/>
      <c r="M172" s="12"/>
      <c r="N172" s="12"/>
    </row>
    <row r="173" spans="1:16" x14ac:dyDescent="0.3">
      <c r="A173" s="34">
        <v>43</v>
      </c>
      <c r="B173" s="73">
        <v>2009</v>
      </c>
      <c r="C173" s="73">
        <v>2005</v>
      </c>
      <c r="D173" s="16" t="s">
        <v>63</v>
      </c>
      <c r="E173" s="16" t="s">
        <v>100</v>
      </c>
      <c r="F173" s="13">
        <v>9660204</v>
      </c>
      <c r="G173" s="13">
        <v>23279110</v>
      </c>
      <c r="H173" s="12"/>
      <c r="I173" s="12"/>
      <c r="J173" s="12"/>
      <c r="K173" s="12"/>
      <c r="L173" s="12"/>
      <c r="M173" s="12"/>
      <c r="N173" s="12"/>
    </row>
    <row r="174" spans="1:16" x14ac:dyDescent="0.3">
      <c r="A174" s="32">
        <v>43</v>
      </c>
      <c r="B174" s="4">
        <v>2009</v>
      </c>
      <c r="C174" s="4">
        <v>2004</v>
      </c>
      <c r="D174" s="17" t="s">
        <v>63</v>
      </c>
      <c r="E174" s="17" t="s">
        <v>100</v>
      </c>
      <c r="F174" s="5">
        <v>13189139</v>
      </c>
      <c r="G174" s="5">
        <v>31058680</v>
      </c>
      <c r="H174" s="4"/>
      <c r="I174" s="4"/>
      <c r="J174" s="4"/>
      <c r="K174" s="4"/>
      <c r="L174" s="4"/>
      <c r="M174" s="4"/>
      <c r="N174" s="4"/>
      <c r="O174" s="87"/>
      <c r="P174" s="87"/>
    </row>
    <row r="175" spans="1:16" ht="28.8" x14ac:dyDescent="0.3">
      <c r="A175" s="38">
        <v>40</v>
      </c>
      <c r="B175" s="73">
        <v>2008</v>
      </c>
      <c r="C175" s="73">
        <v>2008</v>
      </c>
      <c r="D175" s="16" t="s">
        <v>110</v>
      </c>
      <c r="E175" s="16" t="s">
        <v>109</v>
      </c>
      <c r="F175" s="74">
        <v>37324853</v>
      </c>
      <c r="G175" s="74">
        <v>228314697</v>
      </c>
      <c r="H175" s="13">
        <f>AVERAGE(F176:F180)</f>
        <v>48133471.600000001</v>
      </c>
      <c r="I175" s="13">
        <f>AVERAGE(G176:G180)</f>
        <v>223200660.40000001</v>
      </c>
      <c r="J175" s="19">
        <f>F175/H175</f>
        <v>0.77544485696311172</v>
      </c>
      <c r="K175" s="19">
        <f>G175/I175</f>
        <v>1.0229122825659882</v>
      </c>
      <c r="L175" s="20">
        <f>K175-1</f>
        <v>2.2912282565988207E-2</v>
      </c>
      <c r="M175" s="54">
        <f>I175-G175</f>
        <v>-5114036.599999994</v>
      </c>
      <c r="N175" s="55">
        <f>M175*1.22</f>
        <v>-6239124.6519999923</v>
      </c>
      <c r="O175" s="85" t="s">
        <v>39</v>
      </c>
      <c r="P175" s="85" t="s">
        <v>97</v>
      </c>
    </row>
    <row r="176" spans="1:16" x14ac:dyDescent="0.3">
      <c r="A176" s="38">
        <v>40</v>
      </c>
      <c r="B176" s="73">
        <v>2008</v>
      </c>
      <c r="C176" s="73">
        <v>2007</v>
      </c>
      <c r="D176" s="16" t="s">
        <v>110</v>
      </c>
      <c r="E176" s="16" t="s">
        <v>109</v>
      </c>
      <c r="F176" s="74">
        <v>42204237</v>
      </c>
      <c r="G176" s="74">
        <v>255232876</v>
      </c>
      <c r="H176" s="12"/>
      <c r="I176" s="12"/>
      <c r="J176" s="12"/>
      <c r="K176" s="12"/>
      <c r="L176" s="12"/>
      <c r="M176" s="12"/>
      <c r="N176" s="12"/>
    </row>
    <row r="177" spans="1:16" x14ac:dyDescent="0.3">
      <c r="A177" s="38">
        <v>40</v>
      </c>
      <c r="B177" s="73">
        <v>2008</v>
      </c>
      <c r="C177" s="73">
        <v>2006</v>
      </c>
      <c r="D177" s="16" t="s">
        <v>110</v>
      </c>
      <c r="E177" s="16" t="s">
        <v>109</v>
      </c>
      <c r="F177" s="74">
        <v>51961337</v>
      </c>
      <c r="G177" s="74">
        <v>285452019</v>
      </c>
      <c r="H177" s="12"/>
      <c r="I177" s="12"/>
      <c r="J177" s="12"/>
      <c r="K177" s="12"/>
      <c r="L177" s="12"/>
      <c r="M177" s="12"/>
      <c r="N177" s="12"/>
    </row>
    <row r="178" spans="1:16" x14ac:dyDescent="0.3">
      <c r="A178" s="38">
        <v>40</v>
      </c>
      <c r="B178" s="73">
        <v>2008</v>
      </c>
      <c r="C178" s="73">
        <v>2005</v>
      </c>
      <c r="D178" s="16" t="s">
        <v>110</v>
      </c>
      <c r="E178" s="16" t="s">
        <v>109</v>
      </c>
      <c r="F178" s="74">
        <v>57783240</v>
      </c>
      <c r="G178" s="74">
        <v>267029390</v>
      </c>
      <c r="H178" s="12"/>
      <c r="I178" s="12"/>
      <c r="J178" s="12"/>
      <c r="K178" s="12"/>
      <c r="L178" s="12"/>
      <c r="M178" s="12"/>
      <c r="N178" s="12"/>
    </row>
    <row r="179" spans="1:16" x14ac:dyDescent="0.3">
      <c r="A179" s="38">
        <v>40</v>
      </c>
      <c r="B179" s="73">
        <v>2008</v>
      </c>
      <c r="C179" s="73">
        <v>2004</v>
      </c>
      <c r="D179" s="16" t="s">
        <v>110</v>
      </c>
      <c r="E179" s="16" t="s">
        <v>109</v>
      </c>
      <c r="F179" s="74">
        <v>55084254</v>
      </c>
      <c r="G179" s="74">
        <v>177691626</v>
      </c>
      <c r="H179" s="12"/>
      <c r="I179" s="12"/>
      <c r="J179" s="12"/>
      <c r="K179" s="12"/>
      <c r="L179" s="12"/>
      <c r="M179" s="12"/>
      <c r="N179" s="12"/>
    </row>
    <row r="180" spans="1:16" x14ac:dyDescent="0.3">
      <c r="A180" s="14">
        <v>40</v>
      </c>
      <c r="B180" s="4">
        <v>2008</v>
      </c>
      <c r="C180" s="4">
        <v>2003</v>
      </c>
      <c r="D180" s="17" t="s">
        <v>110</v>
      </c>
      <c r="E180" s="17" t="s">
        <v>109</v>
      </c>
      <c r="F180" s="5">
        <v>33634290</v>
      </c>
      <c r="G180" s="5">
        <v>130597391</v>
      </c>
      <c r="H180" s="4"/>
      <c r="I180" s="4"/>
      <c r="J180" s="4"/>
      <c r="K180" s="4"/>
      <c r="L180" s="4"/>
      <c r="M180" s="4"/>
      <c r="N180" s="4"/>
      <c r="O180" s="87"/>
      <c r="P180" s="87"/>
    </row>
    <row r="181" spans="1:16" x14ac:dyDescent="0.3">
      <c r="A181" s="6">
        <v>39</v>
      </c>
      <c r="B181" s="73">
        <v>2008</v>
      </c>
      <c r="C181" s="73">
        <v>2008</v>
      </c>
      <c r="D181" s="73" t="s">
        <v>111</v>
      </c>
      <c r="E181" s="73" t="s">
        <v>42</v>
      </c>
      <c r="F181" s="74">
        <v>929430275</v>
      </c>
      <c r="G181" s="74">
        <v>282196938</v>
      </c>
      <c r="H181" s="13">
        <f>AVERAGE(F182:F186)</f>
        <v>1015553447.2</v>
      </c>
      <c r="I181" s="13">
        <f>AVERAGE(G182:G186)</f>
        <v>264734058.59999999</v>
      </c>
      <c r="J181" s="19">
        <f>F181/H181</f>
        <v>0.91519582505731067</v>
      </c>
      <c r="K181" s="19">
        <f>G181/I181</f>
        <v>1.0659638563029985</v>
      </c>
      <c r="L181" s="20">
        <f>K181-1</f>
        <v>6.5963856302998503E-2</v>
      </c>
      <c r="M181" s="21">
        <f>I181-G181</f>
        <v>-17462879.400000006</v>
      </c>
      <c r="N181" s="2">
        <f>M181*1.22</f>
        <v>-21304712.868000008</v>
      </c>
      <c r="O181" s="85" t="s">
        <v>31</v>
      </c>
      <c r="P181" s="85" t="s">
        <v>58</v>
      </c>
    </row>
    <row r="182" spans="1:16" x14ac:dyDescent="0.3">
      <c r="A182" s="6">
        <v>39</v>
      </c>
      <c r="B182" s="73">
        <v>2008</v>
      </c>
      <c r="C182" s="73">
        <v>2007</v>
      </c>
      <c r="D182" s="73" t="s">
        <v>111</v>
      </c>
      <c r="E182" s="73" t="s">
        <v>42</v>
      </c>
      <c r="F182" s="74">
        <v>999803134</v>
      </c>
      <c r="G182" s="74">
        <v>287380022</v>
      </c>
      <c r="H182" s="73"/>
      <c r="I182" s="73"/>
      <c r="J182" s="73"/>
      <c r="K182" s="73"/>
      <c r="L182" s="73"/>
      <c r="M182" s="73"/>
      <c r="N182" s="73"/>
    </row>
    <row r="183" spans="1:16" x14ac:dyDescent="0.3">
      <c r="A183" s="6">
        <v>39</v>
      </c>
      <c r="B183" s="73">
        <v>2008</v>
      </c>
      <c r="C183" s="73">
        <v>2006</v>
      </c>
      <c r="D183" s="73" t="s">
        <v>111</v>
      </c>
      <c r="E183" s="73" t="s">
        <v>42</v>
      </c>
      <c r="F183" s="74">
        <v>973205272</v>
      </c>
      <c r="G183" s="74">
        <v>265624917</v>
      </c>
      <c r="H183" s="73"/>
      <c r="I183" s="73"/>
      <c r="J183" s="73"/>
      <c r="K183" s="73"/>
      <c r="L183" s="73"/>
      <c r="M183" s="73"/>
      <c r="N183" s="73"/>
    </row>
    <row r="184" spans="1:16" x14ac:dyDescent="0.3">
      <c r="A184" s="6">
        <v>39</v>
      </c>
      <c r="B184" s="73">
        <v>2008</v>
      </c>
      <c r="C184" s="73">
        <v>2005</v>
      </c>
      <c r="D184" s="73" t="s">
        <v>111</v>
      </c>
      <c r="E184" s="73" t="s">
        <v>42</v>
      </c>
      <c r="F184" s="74">
        <v>846800294</v>
      </c>
      <c r="G184" s="74">
        <v>246454077</v>
      </c>
      <c r="H184" s="73"/>
      <c r="I184" s="73"/>
      <c r="J184" s="73"/>
      <c r="K184" s="73"/>
      <c r="L184" s="73"/>
      <c r="M184" s="73"/>
      <c r="N184" s="73"/>
    </row>
    <row r="185" spans="1:16" x14ac:dyDescent="0.3">
      <c r="A185" s="6">
        <v>39</v>
      </c>
      <c r="B185" s="73">
        <v>2008</v>
      </c>
      <c r="C185" s="73">
        <v>2004</v>
      </c>
      <c r="D185" s="73" t="s">
        <v>111</v>
      </c>
      <c r="E185" s="73" t="s">
        <v>42</v>
      </c>
      <c r="F185" s="74">
        <v>1076351769</v>
      </c>
      <c r="G185" s="74">
        <v>253803135</v>
      </c>
      <c r="H185" s="73"/>
      <c r="I185" s="73"/>
      <c r="J185" s="73"/>
      <c r="K185" s="73"/>
      <c r="L185" s="73"/>
      <c r="M185" s="73"/>
      <c r="N185" s="73"/>
    </row>
    <row r="186" spans="1:16" x14ac:dyDescent="0.3">
      <c r="A186" s="14">
        <v>39</v>
      </c>
      <c r="B186" s="4">
        <v>2008</v>
      </c>
      <c r="C186" s="4">
        <v>2003</v>
      </c>
      <c r="D186" s="4" t="s">
        <v>111</v>
      </c>
      <c r="E186" s="4" t="s">
        <v>42</v>
      </c>
      <c r="F186" s="5">
        <v>1181606767</v>
      </c>
      <c r="G186" s="5">
        <v>270408142</v>
      </c>
      <c r="H186" s="4"/>
      <c r="I186" s="4"/>
      <c r="J186" s="4"/>
      <c r="K186" s="4"/>
      <c r="L186" s="4"/>
      <c r="M186" s="4"/>
      <c r="N186" s="4"/>
      <c r="O186" s="87"/>
      <c r="P186" s="87"/>
    </row>
    <row r="187" spans="1:16" ht="28.8" x14ac:dyDescent="0.3">
      <c r="A187" s="6">
        <v>37</v>
      </c>
      <c r="B187" s="73">
        <v>2008</v>
      </c>
      <c r="C187" s="73">
        <v>2008</v>
      </c>
      <c r="D187" s="73" t="s">
        <v>112</v>
      </c>
      <c r="E187" s="73" t="s">
        <v>113</v>
      </c>
      <c r="F187" s="74">
        <v>58115220</v>
      </c>
      <c r="G187" s="74">
        <v>68127954</v>
      </c>
      <c r="H187" s="13">
        <f>AVERAGE(F188:F192)</f>
        <v>56316806.200000003</v>
      </c>
      <c r="I187" s="13">
        <f>AVERAGE(G188:G192)</f>
        <v>55974565.600000001</v>
      </c>
      <c r="J187" s="19">
        <f>F187/H187</f>
        <v>1.0319338741194453</v>
      </c>
      <c r="K187" s="19">
        <f>G187/I187</f>
        <v>1.2171234072069332</v>
      </c>
      <c r="L187" s="20">
        <f>K187-1</f>
        <v>0.21712340720693324</v>
      </c>
      <c r="M187" s="21">
        <f>I187-G187</f>
        <v>-12153388.399999999</v>
      </c>
      <c r="N187" s="2">
        <f>M187*1.22</f>
        <v>-14827133.847999997</v>
      </c>
      <c r="O187" s="85" t="s">
        <v>39</v>
      </c>
      <c r="P187" s="85" t="s">
        <v>114</v>
      </c>
    </row>
    <row r="188" spans="1:16" x14ac:dyDescent="0.3">
      <c r="A188" s="6">
        <v>37</v>
      </c>
      <c r="B188" s="73">
        <v>2008</v>
      </c>
      <c r="C188" s="73">
        <v>2007</v>
      </c>
      <c r="D188" s="73" t="s">
        <v>112</v>
      </c>
      <c r="E188" s="73" t="s">
        <v>113</v>
      </c>
      <c r="F188" s="74">
        <v>55925066</v>
      </c>
      <c r="G188" s="74">
        <v>57492721</v>
      </c>
      <c r="H188" s="73"/>
      <c r="I188" s="73"/>
      <c r="J188" s="73"/>
      <c r="K188" s="73"/>
      <c r="L188" s="73"/>
      <c r="M188" s="73"/>
      <c r="N188" s="73"/>
    </row>
    <row r="189" spans="1:16" x14ac:dyDescent="0.3">
      <c r="A189" s="6">
        <v>37</v>
      </c>
      <c r="B189" s="73">
        <v>2008</v>
      </c>
      <c r="C189" s="73">
        <v>2006</v>
      </c>
      <c r="D189" s="73" t="s">
        <v>112</v>
      </c>
      <c r="E189" s="73" t="s">
        <v>113</v>
      </c>
      <c r="F189" s="74">
        <v>52153456</v>
      </c>
      <c r="G189" s="74">
        <v>45198106</v>
      </c>
      <c r="H189" s="73"/>
      <c r="I189" s="73"/>
      <c r="J189" s="73"/>
      <c r="K189" s="73"/>
      <c r="L189" s="73"/>
      <c r="M189" s="73"/>
      <c r="N189" s="73"/>
    </row>
    <row r="190" spans="1:16" x14ac:dyDescent="0.3">
      <c r="A190" s="6">
        <v>37</v>
      </c>
      <c r="B190" s="73">
        <v>2008</v>
      </c>
      <c r="C190" s="73">
        <v>2005</v>
      </c>
      <c r="D190" s="73" t="s">
        <v>112</v>
      </c>
      <c r="E190" s="73" t="s">
        <v>113</v>
      </c>
      <c r="F190" s="74">
        <v>60968860</v>
      </c>
      <c r="G190" s="74">
        <v>60530026</v>
      </c>
      <c r="H190" s="73"/>
      <c r="I190" s="73"/>
      <c r="J190" s="73"/>
      <c r="K190" s="73"/>
      <c r="L190" s="73"/>
      <c r="M190" s="73"/>
      <c r="N190" s="73"/>
    </row>
    <row r="191" spans="1:16" x14ac:dyDescent="0.3">
      <c r="A191" s="6">
        <v>37</v>
      </c>
      <c r="B191" s="73">
        <v>2008</v>
      </c>
      <c r="C191" s="73">
        <v>2004</v>
      </c>
      <c r="D191" s="73" t="s">
        <v>112</v>
      </c>
      <c r="E191" s="73" t="s">
        <v>113</v>
      </c>
      <c r="F191" s="74">
        <v>63256055</v>
      </c>
      <c r="G191" s="74">
        <v>62989879</v>
      </c>
      <c r="H191" s="73"/>
      <c r="I191" s="73"/>
      <c r="J191" s="73"/>
      <c r="K191" s="73"/>
      <c r="L191" s="73"/>
      <c r="M191" s="73"/>
      <c r="N191" s="73"/>
    </row>
    <row r="192" spans="1:16" x14ac:dyDescent="0.3">
      <c r="A192" s="14">
        <v>37</v>
      </c>
      <c r="B192" s="4">
        <v>2008</v>
      </c>
      <c r="C192" s="4">
        <v>2003</v>
      </c>
      <c r="D192" s="4" t="s">
        <v>112</v>
      </c>
      <c r="E192" s="4" t="s">
        <v>113</v>
      </c>
      <c r="F192" s="5">
        <v>49280594</v>
      </c>
      <c r="G192" s="5">
        <v>53662096</v>
      </c>
      <c r="H192" s="4"/>
      <c r="I192" s="4"/>
      <c r="J192" s="4"/>
      <c r="K192" s="4"/>
      <c r="L192" s="4"/>
      <c r="M192" s="4"/>
      <c r="N192" s="4"/>
      <c r="O192" s="87"/>
      <c r="P192" s="87"/>
    </row>
    <row r="193" spans="1:16" ht="64.95" customHeight="1" x14ac:dyDescent="0.3">
      <c r="A193" s="73">
        <v>36</v>
      </c>
      <c r="B193" s="73">
        <v>2008</v>
      </c>
      <c r="C193" s="73">
        <v>2008</v>
      </c>
      <c r="D193" s="73" t="s">
        <v>115</v>
      </c>
      <c r="E193" s="73" t="s">
        <v>116</v>
      </c>
      <c r="F193" s="74">
        <v>19814463</v>
      </c>
      <c r="G193" s="74">
        <v>27481959</v>
      </c>
      <c r="H193" s="13">
        <f>AVERAGE(F194:F198)</f>
        <v>33919461.600000001</v>
      </c>
      <c r="I193" s="13">
        <f>AVERAGE(G194:G198)</f>
        <v>37226902</v>
      </c>
      <c r="J193" s="19">
        <f>F193/H193</f>
        <v>0.58416207290271371</v>
      </c>
      <c r="K193" s="19">
        <f>G193/I193</f>
        <v>0.73822847251699864</v>
      </c>
      <c r="L193" s="20">
        <f>K193-1</f>
        <v>-0.26177152748300136</v>
      </c>
      <c r="M193" s="21">
        <f>I193-G193</f>
        <v>9744943</v>
      </c>
      <c r="N193" s="2">
        <f>M193*1.22</f>
        <v>11888830.459999999</v>
      </c>
      <c r="O193" s="85" t="s">
        <v>39</v>
      </c>
      <c r="P193" s="85" t="s">
        <v>117</v>
      </c>
    </row>
    <row r="194" spans="1:16" x14ac:dyDescent="0.3">
      <c r="A194" s="73">
        <v>36</v>
      </c>
      <c r="B194" s="73">
        <v>2008</v>
      </c>
      <c r="C194" s="73">
        <v>2007</v>
      </c>
      <c r="D194" s="73" t="s">
        <v>115</v>
      </c>
      <c r="E194" s="73" t="s">
        <v>116</v>
      </c>
      <c r="F194" s="74">
        <v>25285889</v>
      </c>
      <c r="G194" s="74">
        <v>34426461</v>
      </c>
      <c r="H194" s="73"/>
      <c r="I194" s="73"/>
      <c r="J194" s="73"/>
      <c r="K194" s="73"/>
      <c r="L194" s="73"/>
      <c r="M194" s="73"/>
      <c r="N194" s="73"/>
    </row>
    <row r="195" spans="1:16" x14ac:dyDescent="0.3">
      <c r="A195" s="73">
        <v>36</v>
      </c>
      <c r="B195" s="73">
        <v>2008</v>
      </c>
      <c r="C195" s="73">
        <v>2006</v>
      </c>
      <c r="D195" s="73" t="s">
        <v>115</v>
      </c>
      <c r="E195" s="73" t="s">
        <v>116</v>
      </c>
      <c r="F195" s="74">
        <v>31096386</v>
      </c>
      <c r="G195" s="74">
        <v>35160349</v>
      </c>
      <c r="H195" s="73"/>
      <c r="I195" s="73"/>
      <c r="J195" s="73"/>
      <c r="K195" s="73"/>
      <c r="L195" s="73"/>
      <c r="M195" s="73"/>
      <c r="N195" s="73"/>
    </row>
    <row r="196" spans="1:16" x14ac:dyDescent="0.3">
      <c r="A196" s="73">
        <v>36</v>
      </c>
      <c r="B196" s="73">
        <v>2008</v>
      </c>
      <c r="C196" s="73">
        <v>2005</v>
      </c>
      <c r="D196" s="73" t="s">
        <v>115</v>
      </c>
      <c r="E196" s="73" t="s">
        <v>116</v>
      </c>
      <c r="F196" s="74">
        <v>28955038</v>
      </c>
      <c r="G196" s="74">
        <v>37762694</v>
      </c>
      <c r="H196" s="73"/>
      <c r="I196" s="73"/>
      <c r="J196" s="73"/>
      <c r="K196" s="73"/>
      <c r="L196" s="73"/>
      <c r="M196" s="73"/>
      <c r="N196" s="73"/>
    </row>
    <row r="197" spans="1:16" x14ac:dyDescent="0.3">
      <c r="A197" s="73">
        <v>36</v>
      </c>
      <c r="B197" s="73">
        <v>2008</v>
      </c>
      <c r="C197" s="73">
        <v>2004</v>
      </c>
      <c r="D197" s="73" t="s">
        <v>115</v>
      </c>
      <c r="E197" s="73" t="s">
        <v>116</v>
      </c>
      <c r="F197" s="74">
        <v>44717851</v>
      </c>
      <c r="G197" s="74">
        <v>47822530</v>
      </c>
      <c r="H197" s="73"/>
      <c r="I197" s="73"/>
      <c r="J197" s="73"/>
      <c r="K197" s="73"/>
      <c r="L197" s="73"/>
      <c r="M197" s="73"/>
      <c r="N197" s="73"/>
    </row>
    <row r="198" spans="1:16" x14ac:dyDescent="0.3">
      <c r="A198" s="4">
        <v>36</v>
      </c>
      <c r="B198" s="4">
        <v>2008</v>
      </c>
      <c r="C198" s="4">
        <v>2003</v>
      </c>
      <c r="D198" s="4" t="s">
        <v>115</v>
      </c>
      <c r="E198" s="4" t="s">
        <v>116</v>
      </c>
      <c r="F198" s="5">
        <v>39542144</v>
      </c>
      <c r="G198" s="5">
        <v>30962476</v>
      </c>
      <c r="H198" s="4"/>
      <c r="I198" s="4"/>
      <c r="J198" s="4"/>
      <c r="K198" s="4"/>
      <c r="L198" s="4"/>
      <c r="M198" s="4"/>
      <c r="N198" s="4"/>
      <c r="O198" s="87"/>
      <c r="P198" s="87"/>
    </row>
    <row r="199" spans="1:16" ht="43.2" x14ac:dyDescent="0.3">
      <c r="A199" s="6">
        <v>33</v>
      </c>
      <c r="B199" s="73">
        <v>2008</v>
      </c>
      <c r="C199" s="73">
        <v>2008</v>
      </c>
      <c r="D199" s="73" t="s">
        <v>50</v>
      </c>
      <c r="E199" s="73" t="s">
        <v>118</v>
      </c>
      <c r="F199" s="74">
        <v>31348422</v>
      </c>
      <c r="G199" s="74">
        <v>126688112</v>
      </c>
      <c r="H199" s="13">
        <f>AVERAGE(F201:F205)</f>
        <v>19539084.199999999</v>
      </c>
      <c r="I199" s="13">
        <f>AVERAGE(G201:G205)</f>
        <v>73124109.200000003</v>
      </c>
      <c r="J199" s="19">
        <f>F199/H199</f>
        <v>1.6043956655860054</v>
      </c>
      <c r="K199" s="19">
        <f>G199/I199</f>
        <v>1.7325081069158514</v>
      </c>
      <c r="L199" s="20">
        <f>K199-1</f>
        <v>0.73250810691585144</v>
      </c>
      <c r="M199" s="21">
        <f>I199-G199</f>
        <v>-53564002.799999997</v>
      </c>
      <c r="N199" s="2">
        <f>M199*1.22</f>
        <v>-65348083.415999994</v>
      </c>
      <c r="O199" s="85" t="s">
        <v>39</v>
      </c>
      <c r="P199" s="85" t="s">
        <v>119</v>
      </c>
    </row>
    <row r="200" spans="1:16" x14ac:dyDescent="0.3">
      <c r="A200" s="6">
        <v>33</v>
      </c>
      <c r="B200" s="73">
        <v>2008</v>
      </c>
      <c r="C200" s="73">
        <v>2007</v>
      </c>
      <c r="D200" s="73" t="s">
        <v>50</v>
      </c>
      <c r="E200" s="73" t="s">
        <v>118</v>
      </c>
      <c r="F200" s="74">
        <v>20378582</v>
      </c>
      <c r="G200" s="74">
        <v>79900586</v>
      </c>
      <c r="H200" s="73"/>
      <c r="I200" s="73"/>
      <c r="J200" s="42">
        <f>F200/H199</f>
        <v>1.0429650536026658</v>
      </c>
      <c r="K200" s="42">
        <f>G200/I199</f>
        <v>1.092670897110908</v>
      </c>
      <c r="L200" s="20">
        <f>K200-1</f>
        <v>9.2670897110908035E-2</v>
      </c>
      <c r="M200" s="15">
        <f>I199-G200</f>
        <v>-6776476.799999997</v>
      </c>
      <c r="N200" s="2">
        <f>M200*1.27</f>
        <v>-8606125.5359999966</v>
      </c>
    </row>
    <row r="201" spans="1:16" x14ac:dyDescent="0.3">
      <c r="A201" s="6">
        <v>33</v>
      </c>
      <c r="B201" s="73">
        <v>2008</v>
      </c>
      <c r="C201" s="73">
        <v>2006</v>
      </c>
      <c r="D201" s="73" t="s">
        <v>50</v>
      </c>
      <c r="E201" s="73" t="s">
        <v>118</v>
      </c>
      <c r="F201" s="74">
        <v>27888573</v>
      </c>
      <c r="G201" s="74">
        <v>80343714</v>
      </c>
      <c r="H201" s="73"/>
      <c r="I201" s="73"/>
      <c r="J201" s="73"/>
      <c r="K201" s="73"/>
      <c r="L201" s="73"/>
      <c r="M201" s="73"/>
      <c r="N201" s="73"/>
    </row>
    <row r="202" spans="1:16" x14ac:dyDescent="0.3">
      <c r="A202" s="6">
        <v>33</v>
      </c>
      <c r="B202" s="73">
        <v>2008</v>
      </c>
      <c r="C202" s="73">
        <v>2005</v>
      </c>
      <c r="D202" s="73" t="s">
        <v>50</v>
      </c>
      <c r="E202" s="73" t="s">
        <v>118</v>
      </c>
      <c r="F202" s="74">
        <v>16287927</v>
      </c>
      <c r="G202" s="74">
        <v>62535341</v>
      </c>
      <c r="H202" s="73"/>
      <c r="I202" s="73"/>
      <c r="J202" s="73"/>
      <c r="K202" s="73"/>
      <c r="L202" s="73"/>
      <c r="M202" s="73"/>
      <c r="N202" s="73"/>
    </row>
    <row r="203" spans="1:16" x14ac:dyDescent="0.3">
      <c r="A203" s="6">
        <v>33</v>
      </c>
      <c r="B203" s="73">
        <v>2008</v>
      </c>
      <c r="C203" s="73">
        <v>2004</v>
      </c>
      <c r="D203" s="73" t="s">
        <v>50</v>
      </c>
      <c r="E203" s="73" t="s">
        <v>118</v>
      </c>
      <c r="F203" s="74">
        <v>15297291</v>
      </c>
      <c r="G203" s="74">
        <v>73090855</v>
      </c>
      <c r="H203" s="73"/>
      <c r="I203" s="73"/>
      <c r="J203" s="73"/>
      <c r="K203" s="73"/>
      <c r="L203" s="73"/>
      <c r="M203" s="73"/>
      <c r="N203" s="73"/>
    </row>
    <row r="204" spans="1:16" s="73" customFormat="1" x14ac:dyDescent="0.3">
      <c r="A204" s="38">
        <v>33</v>
      </c>
      <c r="B204" s="12">
        <v>2008</v>
      </c>
      <c r="C204" s="12">
        <v>2003</v>
      </c>
      <c r="D204" s="12" t="s">
        <v>50</v>
      </c>
      <c r="E204" s="12" t="s">
        <v>118</v>
      </c>
      <c r="F204" s="13">
        <v>17382102</v>
      </c>
      <c r="G204" s="13">
        <v>76264950</v>
      </c>
      <c r="O204" s="85"/>
      <c r="P204" s="85"/>
    </row>
    <row r="205" spans="1:16" x14ac:dyDescent="0.3">
      <c r="A205" s="14">
        <v>33</v>
      </c>
      <c r="B205" s="4">
        <v>2008</v>
      </c>
      <c r="C205" s="4">
        <v>2002</v>
      </c>
      <c r="D205" s="4" t="s">
        <v>50</v>
      </c>
      <c r="E205" s="4" t="s">
        <v>118</v>
      </c>
      <c r="F205" s="101">
        <v>20839528</v>
      </c>
      <c r="G205" s="101">
        <v>73385686</v>
      </c>
      <c r="H205" s="4"/>
      <c r="I205" s="4"/>
      <c r="J205" s="4"/>
      <c r="K205" s="4"/>
      <c r="L205" s="4"/>
      <c r="M205" s="4" t="s">
        <v>120</v>
      </c>
      <c r="N205" s="99">
        <f>N199+N200</f>
        <v>-73954208.951999992</v>
      </c>
      <c r="O205" s="87"/>
      <c r="P205" s="87"/>
    </row>
    <row r="206" spans="1:16" ht="28.8" x14ac:dyDescent="0.3">
      <c r="A206" s="8">
        <v>31</v>
      </c>
      <c r="B206" s="73" t="s">
        <v>121</v>
      </c>
      <c r="C206" s="73">
        <v>2006</v>
      </c>
      <c r="D206" s="73" t="s">
        <v>50</v>
      </c>
      <c r="E206" s="73" t="s">
        <v>118</v>
      </c>
      <c r="F206" s="74">
        <v>27888573</v>
      </c>
      <c r="G206" s="74">
        <v>80343714</v>
      </c>
      <c r="H206" s="13">
        <f>AVERAGE(F208:F212)</f>
        <v>18289424</v>
      </c>
      <c r="I206" s="13">
        <f>AVERAGE(G208:G212)</f>
        <v>71696560.599999994</v>
      </c>
      <c r="J206" s="19">
        <f>F206/H206</f>
        <v>1.5248469826059039</v>
      </c>
      <c r="K206" s="19">
        <f>G206/I206</f>
        <v>1.120607645996341</v>
      </c>
      <c r="L206" s="20">
        <f>K206-1</f>
        <v>0.120607645996341</v>
      </c>
      <c r="M206" s="21">
        <f>I206-G206</f>
        <v>-8647153.400000006</v>
      </c>
      <c r="N206" s="2">
        <f>M206*1.3</f>
        <v>-11241299.420000007</v>
      </c>
      <c r="O206" s="85" t="s">
        <v>39</v>
      </c>
      <c r="P206" s="85" t="s">
        <v>122</v>
      </c>
    </row>
    <row r="207" spans="1:16" x14ac:dyDescent="0.3">
      <c r="A207" s="8">
        <v>31</v>
      </c>
      <c r="B207" s="73" t="s">
        <v>121</v>
      </c>
      <c r="C207" s="73">
        <v>2005</v>
      </c>
      <c r="D207" s="73" t="s">
        <v>50</v>
      </c>
      <c r="E207" s="73" t="s">
        <v>118</v>
      </c>
      <c r="F207" s="74">
        <v>16287927</v>
      </c>
      <c r="G207" s="74">
        <v>62535341</v>
      </c>
      <c r="H207" s="73"/>
      <c r="I207" s="73"/>
      <c r="J207" s="42">
        <f>F207/H206</f>
        <v>0.89056533437028962</v>
      </c>
      <c r="K207" s="42">
        <f>G207/I206</f>
        <v>0.8722223280540462</v>
      </c>
      <c r="L207" s="20">
        <f>K207-1</f>
        <v>-0.1277776719459538</v>
      </c>
      <c r="M207" s="15">
        <f>I206-G207</f>
        <v>9161219.599999994</v>
      </c>
      <c r="N207" s="33">
        <f>M207*1.35</f>
        <v>12367646.459999993</v>
      </c>
    </row>
    <row r="208" spans="1:16" x14ac:dyDescent="0.3">
      <c r="A208" s="8">
        <v>31</v>
      </c>
      <c r="B208" s="73" t="s">
        <v>121</v>
      </c>
      <c r="C208" s="73">
        <v>2004</v>
      </c>
      <c r="D208" s="73" t="s">
        <v>50</v>
      </c>
      <c r="E208" s="73" t="s">
        <v>118</v>
      </c>
      <c r="F208" s="74">
        <v>15297291</v>
      </c>
      <c r="G208" s="74">
        <v>73090855</v>
      </c>
      <c r="H208" s="73"/>
      <c r="I208" s="73"/>
      <c r="J208" s="73"/>
      <c r="K208" s="73"/>
      <c r="L208" s="73"/>
      <c r="M208" s="73"/>
      <c r="N208" s="73"/>
    </row>
    <row r="209" spans="1:16" x14ac:dyDescent="0.3">
      <c r="A209" s="8">
        <v>31</v>
      </c>
      <c r="B209" s="73" t="s">
        <v>121</v>
      </c>
      <c r="C209" s="73">
        <v>2003</v>
      </c>
      <c r="D209" s="73" t="s">
        <v>50</v>
      </c>
      <c r="E209" s="73" t="s">
        <v>118</v>
      </c>
      <c r="F209" s="74">
        <v>17382102</v>
      </c>
      <c r="G209" s="74">
        <v>76264950</v>
      </c>
      <c r="H209" s="73"/>
      <c r="I209" s="73"/>
      <c r="J209" s="73"/>
      <c r="K209" s="73"/>
      <c r="L209" s="73"/>
      <c r="M209" s="73"/>
      <c r="N209" s="73"/>
    </row>
    <row r="210" spans="1:16" x14ac:dyDescent="0.3">
      <c r="A210" s="8">
        <v>31</v>
      </c>
      <c r="B210" s="73" t="s">
        <v>121</v>
      </c>
      <c r="C210" s="73">
        <v>2002</v>
      </c>
      <c r="D210" s="73" t="s">
        <v>50</v>
      </c>
      <c r="E210" s="73" t="s">
        <v>118</v>
      </c>
      <c r="F210" s="74">
        <v>20839528</v>
      </c>
      <c r="G210" s="74">
        <v>73385686</v>
      </c>
      <c r="H210" s="73"/>
      <c r="I210" s="73"/>
      <c r="J210" s="73"/>
      <c r="K210" s="73"/>
      <c r="L210" s="73"/>
      <c r="M210" s="73"/>
      <c r="N210" s="73"/>
    </row>
    <row r="211" spans="1:16" x14ac:dyDescent="0.3">
      <c r="A211" s="8">
        <v>31</v>
      </c>
      <c r="B211" s="73" t="s">
        <v>121</v>
      </c>
      <c r="C211" s="73">
        <v>2001</v>
      </c>
      <c r="D211" s="73" t="s">
        <v>50</v>
      </c>
      <c r="E211" s="73" t="s">
        <v>118</v>
      </c>
      <c r="F211" s="74">
        <v>15145534</v>
      </c>
      <c r="G211" s="74">
        <v>56227671</v>
      </c>
      <c r="H211" s="73"/>
      <c r="I211" s="73"/>
      <c r="J211" s="73"/>
      <c r="K211" s="73"/>
      <c r="L211" s="73"/>
      <c r="M211" s="73"/>
      <c r="N211" s="73"/>
    </row>
    <row r="212" spans="1:16" x14ac:dyDescent="0.3">
      <c r="A212" s="29">
        <v>31</v>
      </c>
      <c r="B212" s="4" t="s">
        <v>121</v>
      </c>
      <c r="C212" s="4">
        <v>2000</v>
      </c>
      <c r="D212" s="4" t="s">
        <v>50</v>
      </c>
      <c r="E212" s="4" t="s">
        <v>118</v>
      </c>
      <c r="F212" s="5">
        <v>22782665</v>
      </c>
      <c r="G212" s="5">
        <v>79513641</v>
      </c>
      <c r="H212" s="4"/>
      <c r="I212" s="4"/>
      <c r="J212" s="4"/>
      <c r="K212" s="4"/>
      <c r="L212" s="4"/>
      <c r="M212" s="4" t="s">
        <v>36</v>
      </c>
      <c r="N212" s="99">
        <f>N206+N207</f>
        <v>1126347.0399999861</v>
      </c>
      <c r="O212" s="87"/>
      <c r="P212" s="87"/>
    </row>
    <row r="213" spans="1:16" ht="28.8" x14ac:dyDescent="0.3">
      <c r="A213" s="16">
        <v>30</v>
      </c>
      <c r="B213" s="73" t="s">
        <v>121</v>
      </c>
      <c r="C213" s="73">
        <v>2006</v>
      </c>
      <c r="D213" s="16" t="s">
        <v>63</v>
      </c>
      <c r="E213" s="16" t="s">
        <v>100</v>
      </c>
      <c r="F213" s="13"/>
      <c r="G213" s="13">
        <f>(275)*1000</f>
        <v>275000</v>
      </c>
      <c r="H213" s="73"/>
      <c r="I213" s="13">
        <f>AVERAGE(G215:G218)</f>
        <v>1005500</v>
      </c>
      <c r="J213" s="12"/>
      <c r="K213" s="12">
        <f>G213/I213</f>
        <v>0.27349577324714075</v>
      </c>
      <c r="L213" s="39">
        <f>K213-1</f>
        <v>-0.72650422675285919</v>
      </c>
      <c r="M213" s="21">
        <f>I213-G213</f>
        <v>730500</v>
      </c>
      <c r="N213" s="37">
        <f>M213*1.14</f>
        <v>832769.99999999988</v>
      </c>
      <c r="O213" s="85" t="s">
        <v>31</v>
      </c>
      <c r="P213" s="85" t="s">
        <v>123</v>
      </c>
    </row>
    <row r="214" spans="1:16" x14ac:dyDescent="0.3">
      <c r="A214" s="16">
        <v>30</v>
      </c>
      <c r="B214" s="73" t="s">
        <v>121</v>
      </c>
      <c r="C214" s="73">
        <v>2005</v>
      </c>
      <c r="D214" s="16" t="s">
        <v>63</v>
      </c>
      <c r="E214" s="16" t="s">
        <v>100</v>
      </c>
      <c r="F214" s="13"/>
      <c r="G214" s="13">
        <f>(349+872)*1000</f>
        <v>1221000</v>
      </c>
      <c r="H214" s="12"/>
      <c r="I214" s="12"/>
      <c r="J214" s="12"/>
      <c r="K214" s="12">
        <f>G214/I213</f>
        <v>1.2143212332173048</v>
      </c>
      <c r="L214" s="100">
        <f>K214-1</f>
        <v>0.21432123321730479</v>
      </c>
      <c r="M214" s="61">
        <f>I213-G214</f>
        <v>-215500</v>
      </c>
      <c r="N214" s="61">
        <f>M214*1.35</f>
        <v>-290925</v>
      </c>
    </row>
    <row r="215" spans="1:16" x14ac:dyDescent="0.3">
      <c r="A215" s="16">
        <v>30</v>
      </c>
      <c r="B215" s="73" t="s">
        <v>121</v>
      </c>
      <c r="C215" s="73">
        <v>2004</v>
      </c>
      <c r="D215" s="16" t="s">
        <v>63</v>
      </c>
      <c r="E215" s="16" t="s">
        <v>100</v>
      </c>
      <c r="F215" s="13"/>
      <c r="G215" s="13">
        <f>(1273+1096)*1000</f>
        <v>2369000</v>
      </c>
      <c r="H215" s="12"/>
      <c r="I215" s="12"/>
      <c r="J215" s="12"/>
      <c r="K215" s="12"/>
      <c r="L215" s="12"/>
      <c r="M215" s="12"/>
      <c r="N215" s="12"/>
    </row>
    <row r="216" spans="1:16" x14ac:dyDescent="0.3">
      <c r="A216" s="16">
        <v>30</v>
      </c>
      <c r="B216" s="73" t="s">
        <v>121</v>
      </c>
      <c r="C216" s="73">
        <v>2003</v>
      </c>
      <c r="D216" s="16" t="s">
        <v>63</v>
      </c>
      <c r="E216" s="16" t="s">
        <v>100</v>
      </c>
      <c r="F216" s="13"/>
      <c r="G216" s="13">
        <f>(105+342)*1000</f>
        <v>447000</v>
      </c>
      <c r="H216" s="12"/>
      <c r="I216" s="12"/>
      <c r="J216" s="12"/>
      <c r="K216" s="12"/>
      <c r="L216" s="12"/>
      <c r="M216" s="12"/>
      <c r="N216" s="12"/>
    </row>
    <row r="217" spans="1:16" x14ac:dyDescent="0.3">
      <c r="A217" s="16">
        <v>30</v>
      </c>
      <c r="B217" s="73" t="s">
        <v>121</v>
      </c>
      <c r="C217" s="73">
        <v>2002</v>
      </c>
      <c r="D217" s="16" t="s">
        <v>63</v>
      </c>
      <c r="E217" s="16" t="s">
        <v>100</v>
      </c>
      <c r="F217" s="13"/>
      <c r="G217" s="13">
        <f>(314+420)*1000</f>
        <v>734000</v>
      </c>
      <c r="H217" s="12"/>
      <c r="I217" s="12"/>
      <c r="J217" s="12"/>
      <c r="K217" s="12"/>
      <c r="L217" s="12"/>
      <c r="M217" s="12"/>
      <c r="N217" s="12"/>
    </row>
    <row r="218" spans="1:16" x14ac:dyDescent="0.3">
      <c r="A218" s="16">
        <v>30</v>
      </c>
      <c r="B218" s="73" t="s">
        <v>121</v>
      </c>
      <c r="C218" s="73">
        <v>2001</v>
      </c>
      <c r="D218" s="16" t="s">
        <v>63</v>
      </c>
      <c r="E218" s="16" t="s">
        <v>100</v>
      </c>
      <c r="F218" s="13"/>
      <c r="G218" s="13">
        <f>(161+311)*1000</f>
        <v>472000</v>
      </c>
      <c r="H218" s="12"/>
      <c r="I218" s="12"/>
      <c r="J218" s="12"/>
      <c r="K218" s="12"/>
      <c r="L218" s="12"/>
      <c r="M218" s="12"/>
      <c r="N218" s="12"/>
    </row>
    <row r="219" spans="1:16" x14ac:dyDescent="0.3">
      <c r="A219" s="17">
        <v>30</v>
      </c>
      <c r="B219" s="4" t="s">
        <v>121</v>
      </c>
      <c r="C219" s="4">
        <v>2000</v>
      </c>
      <c r="D219" s="17" t="s">
        <v>63</v>
      </c>
      <c r="E219" s="17" t="s">
        <v>100</v>
      </c>
      <c r="F219" s="5"/>
      <c r="G219" s="5"/>
      <c r="H219" s="4"/>
      <c r="I219" s="4"/>
      <c r="J219" s="4"/>
      <c r="K219" s="4"/>
      <c r="L219" s="4"/>
      <c r="M219" s="4" t="s">
        <v>36</v>
      </c>
      <c r="N219" s="77">
        <f>N213+N214</f>
        <v>541844.99999999988</v>
      </c>
      <c r="O219" s="91"/>
      <c r="P219" s="91"/>
    </row>
    <row r="220" spans="1:16" x14ac:dyDescent="0.3">
      <c r="A220" s="16">
        <v>29</v>
      </c>
      <c r="B220" s="73">
        <v>2005</v>
      </c>
      <c r="C220" s="12">
        <v>2005</v>
      </c>
      <c r="D220" s="16" t="s">
        <v>124</v>
      </c>
      <c r="E220" s="16" t="s">
        <v>125</v>
      </c>
      <c r="F220" s="13">
        <v>1319132067</v>
      </c>
      <c r="G220" s="13">
        <v>473623172</v>
      </c>
      <c r="H220" s="13">
        <f>AVERAGE(F221:F225)</f>
        <v>1979755290.4000001</v>
      </c>
      <c r="I220" s="13">
        <f>AVERAGE(G221:G225)</f>
        <v>599312965.79999995</v>
      </c>
      <c r="J220" s="19">
        <f>F220/H220</f>
        <v>0.66631066647306481</v>
      </c>
      <c r="K220" s="19">
        <f>G220/I220</f>
        <v>0.79027686538998621</v>
      </c>
      <c r="L220" s="20">
        <f>K220-1</f>
        <v>-0.20972313461001379</v>
      </c>
      <c r="M220" s="21">
        <f>I220-G220</f>
        <v>125689793.79999995</v>
      </c>
      <c r="N220" s="37">
        <f>M220*1.35</f>
        <v>169681221.62999994</v>
      </c>
      <c r="O220" s="85" t="s">
        <v>31</v>
      </c>
      <c r="P220" s="85" t="s">
        <v>58</v>
      </c>
    </row>
    <row r="221" spans="1:16" x14ac:dyDescent="0.3">
      <c r="A221" s="16">
        <v>29</v>
      </c>
      <c r="B221" s="73">
        <v>2005</v>
      </c>
      <c r="C221" s="12">
        <v>2004</v>
      </c>
      <c r="D221" s="16" t="s">
        <v>124</v>
      </c>
      <c r="E221" s="16" t="s">
        <v>125</v>
      </c>
      <c r="F221" s="13">
        <v>1684271329</v>
      </c>
      <c r="G221" s="13">
        <v>513565179</v>
      </c>
      <c r="H221" s="12"/>
      <c r="I221" s="12"/>
      <c r="J221" s="12"/>
      <c r="K221" s="12"/>
      <c r="L221" s="12"/>
      <c r="M221" s="12"/>
      <c r="N221" s="12"/>
    </row>
    <row r="222" spans="1:16" x14ac:dyDescent="0.3">
      <c r="A222" s="16">
        <v>29</v>
      </c>
      <c r="B222" s="73">
        <v>2005</v>
      </c>
      <c r="C222" s="12">
        <v>2003</v>
      </c>
      <c r="D222" s="16" t="s">
        <v>124</v>
      </c>
      <c r="E222" s="16" t="s">
        <v>125</v>
      </c>
      <c r="F222" s="13">
        <v>1960044734</v>
      </c>
      <c r="G222" s="13">
        <v>531435890</v>
      </c>
      <c r="H222" s="12"/>
      <c r="I222" s="12"/>
      <c r="J222" s="12"/>
      <c r="K222" s="12"/>
      <c r="L222" s="12"/>
      <c r="M222" s="12"/>
      <c r="N222" s="12"/>
    </row>
    <row r="223" spans="1:16" x14ac:dyDescent="0.3">
      <c r="A223" s="16">
        <v>29</v>
      </c>
      <c r="B223" s="73">
        <v>2005</v>
      </c>
      <c r="C223" s="12">
        <v>2002</v>
      </c>
      <c r="D223" s="16" t="s">
        <v>124</v>
      </c>
      <c r="E223" s="16" t="s">
        <v>125</v>
      </c>
      <c r="F223" s="13">
        <v>2088901156</v>
      </c>
      <c r="G223" s="13">
        <v>548561912</v>
      </c>
      <c r="H223" s="12"/>
      <c r="I223" s="12"/>
      <c r="J223" s="12"/>
      <c r="K223" s="12"/>
      <c r="L223" s="12"/>
      <c r="M223" s="12"/>
      <c r="N223" s="12"/>
    </row>
    <row r="224" spans="1:16" x14ac:dyDescent="0.3">
      <c r="A224" s="16">
        <v>29</v>
      </c>
      <c r="B224" s="73">
        <v>2005</v>
      </c>
      <c r="C224" s="12">
        <v>2001</v>
      </c>
      <c r="D224" s="16" t="s">
        <v>124</v>
      </c>
      <c r="E224" s="16" t="s">
        <v>125</v>
      </c>
      <c r="F224" s="13">
        <v>2000907349</v>
      </c>
      <c r="G224" s="13">
        <v>639778800</v>
      </c>
      <c r="H224" s="12"/>
      <c r="I224" s="12"/>
      <c r="J224" s="12"/>
      <c r="K224" s="12"/>
      <c r="L224" s="12"/>
      <c r="M224" s="12"/>
      <c r="N224" s="12"/>
    </row>
    <row r="225" spans="1:16" x14ac:dyDescent="0.3">
      <c r="A225" s="17">
        <v>29</v>
      </c>
      <c r="B225" s="4">
        <v>2005</v>
      </c>
      <c r="C225" s="4">
        <v>2000</v>
      </c>
      <c r="D225" s="17" t="s">
        <v>124</v>
      </c>
      <c r="E225" s="17" t="s">
        <v>125</v>
      </c>
      <c r="F225" s="5">
        <v>2164651884</v>
      </c>
      <c r="G225" s="5">
        <v>763223048</v>
      </c>
      <c r="H225" s="4"/>
      <c r="I225" s="4"/>
      <c r="J225" s="4"/>
      <c r="K225" s="4"/>
      <c r="L225" s="4"/>
      <c r="M225" s="4"/>
      <c r="N225" s="4"/>
      <c r="O225" s="87"/>
      <c r="P225" s="87"/>
    </row>
    <row r="226" spans="1:16" ht="28.8" x14ac:dyDescent="0.3">
      <c r="A226" s="16">
        <v>27</v>
      </c>
      <c r="B226" s="73">
        <v>2005</v>
      </c>
      <c r="C226" s="12">
        <v>2005</v>
      </c>
      <c r="D226" s="16" t="s">
        <v>108</v>
      </c>
      <c r="E226" s="16" t="s">
        <v>109</v>
      </c>
      <c r="F226" s="13">
        <v>5059046</v>
      </c>
      <c r="G226" s="13">
        <v>17830589</v>
      </c>
      <c r="H226" s="13">
        <f>AVERAGE(F227:F231)</f>
        <v>6442761</v>
      </c>
      <c r="I226" s="13">
        <f>AVERAGE(G227:G231)</f>
        <v>18851499.399999999</v>
      </c>
      <c r="J226" s="19">
        <f>F226/H226</f>
        <v>0.78522950020961513</v>
      </c>
      <c r="K226" s="19">
        <f>G226/I226</f>
        <v>0.94584460480634247</v>
      </c>
      <c r="L226" s="20">
        <f>K226-1</f>
        <v>-5.415539519365753E-2</v>
      </c>
      <c r="M226" s="21">
        <f>I226-G226</f>
        <v>1020910.3999999985</v>
      </c>
      <c r="N226" s="37">
        <f>M226*1.35</f>
        <v>1378229.0399999982</v>
      </c>
      <c r="O226" s="85" t="s">
        <v>39</v>
      </c>
      <c r="P226" s="85" t="s">
        <v>126</v>
      </c>
    </row>
    <row r="227" spans="1:16" x14ac:dyDescent="0.3">
      <c r="A227" s="16">
        <v>27</v>
      </c>
      <c r="B227" s="73">
        <v>2005</v>
      </c>
      <c r="C227" s="12">
        <v>2004</v>
      </c>
      <c r="D227" s="16" t="s">
        <v>108</v>
      </c>
      <c r="E227" s="16" t="s">
        <v>109</v>
      </c>
      <c r="F227" s="13">
        <v>6597982</v>
      </c>
      <c r="G227" s="13">
        <v>21079940</v>
      </c>
      <c r="H227" s="12"/>
      <c r="I227" s="12"/>
      <c r="J227" s="12"/>
      <c r="K227" s="12"/>
      <c r="L227" s="12"/>
      <c r="M227" s="12"/>
      <c r="N227" s="12"/>
    </row>
    <row r="228" spans="1:16" x14ac:dyDescent="0.3">
      <c r="A228" s="16">
        <v>27</v>
      </c>
      <c r="B228" s="73">
        <v>2005</v>
      </c>
      <c r="C228" s="12">
        <v>2003</v>
      </c>
      <c r="D228" s="16" t="s">
        <v>108</v>
      </c>
      <c r="E228" s="16" t="s">
        <v>109</v>
      </c>
      <c r="F228" s="13">
        <v>6985022</v>
      </c>
      <c r="G228" s="13">
        <v>21706451</v>
      </c>
      <c r="H228" s="12"/>
      <c r="I228" s="12"/>
      <c r="J228" s="12"/>
      <c r="K228" s="12"/>
      <c r="L228" s="12"/>
      <c r="M228" s="12"/>
      <c r="N228" s="12"/>
    </row>
    <row r="229" spans="1:16" x14ac:dyDescent="0.3">
      <c r="A229" s="16">
        <v>27</v>
      </c>
      <c r="B229" s="73">
        <v>2005</v>
      </c>
      <c r="C229" s="12">
        <v>2002</v>
      </c>
      <c r="D229" s="16" t="s">
        <v>108</v>
      </c>
      <c r="E229" s="16" t="s">
        <v>109</v>
      </c>
      <c r="F229" s="13">
        <v>7433784</v>
      </c>
      <c r="G229" s="13">
        <v>19842478</v>
      </c>
      <c r="H229" s="12"/>
      <c r="I229" s="12"/>
      <c r="J229" s="12"/>
      <c r="K229" s="12"/>
      <c r="L229" s="12"/>
      <c r="M229" s="12"/>
      <c r="N229" s="12"/>
    </row>
    <row r="230" spans="1:16" x14ac:dyDescent="0.3">
      <c r="A230" s="16">
        <v>27</v>
      </c>
      <c r="B230" s="73">
        <v>2005</v>
      </c>
      <c r="C230" s="12">
        <v>2001</v>
      </c>
      <c r="D230" s="16" t="s">
        <v>108</v>
      </c>
      <c r="E230" s="16" t="s">
        <v>109</v>
      </c>
      <c r="F230" s="13">
        <v>5901764</v>
      </c>
      <c r="G230" s="13">
        <v>20588343</v>
      </c>
      <c r="H230" s="12"/>
      <c r="I230" s="12"/>
      <c r="J230" s="12"/>
      <c r="K230" s="12"/>
      <c r="L230" s="12"/>
      <c r="M230" s="12"/>
      <c r="N230" s="12"/>
    </row>
    <row r="231" spans="1:16" x14ac:dyDescent="0.3">
      <c r="A231" s="17">
        <v>27</v>
      </c>
      <c r="B231" s="4">
        <v>2005</v>
      </c>
      <c r="C231" s="4">
        <v>2000</v>
      </c>
      <c r="D231" s="17" t="s">
        <v>108</v>
      </c>
      <c r="E231" s="17" t="s">
        <v>109</v>
      </c>
      <c r="F231" s="5">
        <v>5295253</v>
      </c>
      <c r="G231" s="5">
        <v>11040285</v>
      </c>
      <c r="H231" s="4"/>
      <c r="I231" s="4"/>
      <c r="J231" s="4"/>
      <c r="K231" s="4"/>
      <c r="L231" s="4"/>
      <c r="M231" s="4"/>
      <c r="N231" s="4"/>
      <c r="O231" s="87"/>
      <c r="P231" s="87"/>
    </row>
    <row r="232" spans="1:16" ht="28.8" x14ac:dyDescent="0.3">
      <c r="A232" s="38">
        <v>26</v>
      </c>
      <c r="B232" s="73">
        <v>2005</v>
      </c>
      <c r="C232" s="12">
        <v>2005</v>
      </c>
      <c r="D232" s="16" t="s">
        <v>127</v>
      </c>
      <c r="E232" s="16" t="s">
        <v>109</v>
      </c>
      <c r="F232" s="13">
        <v>23407772</v>
      </c>
      <c r="G232" s="13">
        <v>20352370</v>
      </c>
      <c r="H232" s="13">
        <f>AVERAGE(F233:F237)</f>
        <v>10023538</v>
      </c>
      <c r="I232" s="13">
        <f>AVERAGE(G233:G237)</f>
        <v>5449902.7999999998</v>
      </c>
      <c r="J232" s="19">
        <f>F232/H232</f>
        <v>2.3352804169545722</v>
      </c>
      <c r="K232" s="19">
        <f>G232/I232</f>
        <v>3.7344464198517451</v>
      </c>
      <c r="L232" s="20">
        <f>K232-1</f>
        <v>2.7344464198517451</v>
      </c>
      <c r="M232" s="21">
        <f>I232-G232</f>
        <v>-14902467.199999999</v>
      </c>
      <c r="N232" s="41">
        <f>M232*1.35</f>
        <v>-20118330.719999999</v>
      </c>
      <c r="O232" s="85" t="s">
        <v>39</v>
      </c>
      <c r="P232" s="85" t="s">
        <v>126</v>
      </c>
    </row>
    <row r="233" spans="1:16" x14ac:dyDescent="0.3">
      <c r="A233" s="38">
        <v>26</v>
      </c>
      <c r="B233" s="73">
        <v>2005</v>
      </c>
      <c r="C233" s="12">
        <v>2004</v>
      </c>
      <c r="D233" s="16" t="s">
        <v>127</v>
      </c>
      <c r="E233" s="16" t="s">
        <v>109</v>
      </c>
      <c r="F233" s="13">
        <v>20445162</v>
      </c>
      <c r="G233" s="13">
        <v>11733831</v>
      </c>
      <c r="H233" s="12"/>
      <c r="I233" s="12"/>
      <c r="J233" s="12"/>
      <c r="K233" s="12"/>
      <c r="L233" s="12"/>
      <c r="M233" s="12"/>
      <c r="N233" s="12"/>
    </row>
    <row r="234" spans="1:16" x14ac:dyDescent="0.3">
      <c r="A234" s="38">
        <v>26</v>
      </c>
      <c r="B234" s="73">
        <v>2005</v>
      </c>
      <c r="C234" s="12">
        <v>2003</v>
      </c>
      <c r="D234" s="16" t="s">
        <v>127</v>
      </c>
      <c r="E234" s="16" t="s">
        <v>109</v>
      </c>
      <c r="F234" s="13">
        <v>1046030</v>
      </c>
      <c r="G234" s="13">
        <v>838759</v>
      </c>
      <c r="H234" s="12"/>
      <c r="I234" s="12"/>
      <c r="J234" s="12"/>
      <c r="K234" s="12"/>
      <c r="L234" s="12"/>
      <c r="M234" s="12"/>
      <c r="N234" s="12"/>
    </row>
    <row r="235" spans="1:16" x14ac:dyDescent="0.3">
      <c r="A235" s="38">
        <v>26</v>
      </c>
      <c r="B235" s="73">
        <v>2005</v>
      </c>
      <c r="C235" s="12">
        <v>2002</v>
      </c>
      <c r="D235" s="16" t="s">
        <v>127</v>
      </c>
      <c r="E235" s="16" t="s">
        <v>109</v>
      </c>
      <c r="F235" s="13">
        <v>17056815</v>
      </c>
      <c r="G235" s="13">
        <v>8169125</v>
      </c>
      <c r="H235" s="12"/>
      <c r="I235" s="12"/>
      <c r="J235" s="12"/>
      <c r="K235" s="12"/>
      <c r="L235" s="12"/>
      <c r="M235" s="12"/>
      <c r="N235" s="12"/>
    </row>
    <row r="236" spans="1:16" x14ac:dyDescent="0.3">
      <c r="A236" s="38">
        <v>26</v>
      </c>
      <c r="B236" s="73">
        <v>2005</v>
      </c>
      <c r="C236" s="12">
        <v>2001</v>
      </c>
      <c r="D236" s="16" t="s">
        <v>127</v>
      </c>
      <c r="E236" s="16" t="s">
        <v>109</v>
      </c>
      <c r="F236" s="13">
        <v>10835631</v>
      </c>
      <c r="G236" s="13">
        <v>5926697</v>
      </c>
      <c r="H236" s="12"/>
      <c r="I236" s="12"/>
      <c r="J236" s="12"/>
      <c r="K236" s="12"/>
      <c r="L236" s="12"/>
      <c r="M236" s="12"/>
      <c r="N236" s="12"/>
    </row>
    <row r="237" spans="1:16" x14ac:dyDescent="0.3">
      <c r="A237" s="14">
        <v>26</v>
      </c>
      <c r="B237" s="4">
        <v>2005</v>
      </c>
      <c r="C237" s="4">
        <v>2000</v>
      </c>
      <c r="D237" s="17" t="s">
        <v>127</v>
      </c>
      <c r="E237" s="17" t="s">
        <v>109</v>
      </c>
      <c r="F237" s="5">
        <v>734052</v>
      </c>
      <c r="G237" s="5">
        <v>581102</v>
      </c>
      <c r="H237" s="4"/>
      <c r="I237" s="4"/>
      <c r="J237" s="4"/>
      <c r="K237" s="4"/>
      <c r="L237" s="4"/>
      <c r="M237" s="4"/>
      <c r="N237" s="4"/>
      <c r="O237" s="87"/>
      <c r="P237" s="87"/>
    </row>
    <row r="238" spans="1:16" ht="28.8" x14ac:dyDescent="0.3">
      <c r="A238" s="31">
        <v>25</v>
      </c>
      <c r="B238" s="8" t="s">
        <v>128</v>
      </c>
      <c r="C238" s="73">
        <v>2003</v>
      </c>
      <c r="D238" s="73" t="s">
        <v>50</v>
      </c>
      <c r="E238" s="73" t="s">
        <v>118</v>
      </c>
      <c r="F238" s="74">
        <v>17382102</v>
      </c>
      <c r="G238" s="74">
        <v>76264950</v>
      </c>
      <c r="H238" s="13">
        <f>AVERAGE(F241:F246)</f>
        <v>94903772.333333328</v>
      </c>
      <c r="I238" s="13">
        <f>AVERAGE(G241:G246)</f>
        <v>249932478.16666666</v>
      </c>
      <c r="J238" s="57">
        <f>F238/H238</f>
        <v>0.18315501663040673</v>
      </c>
      <c r="K238" s="57">
        <f>G238/I238</f>
        <v>0.3051422150471495</v>
      </c>
      <c r="L238" s="62">
        <f>K238-1</f>
        <v>-0.69485778495285055</v>
      </c>
      <c r="M238" s="21">
        <f>I238-G238</f>
        <v>173667528.16666666</v>
      </c>
      <c r="N238" s="15">
        <f>M238*1.42</f>
        <v>246607889.99666664</v>
      </c>
      <c r="O238" s="85" t="s">
        <v>39</v>
      </c>
      <c r="P238" s="85" t="s">
        <v>122</v>
      </c>
    </row>
    <row r="239" spans="1:16" x14ac:dyDescent="0.3">
      <c r="A239" s="31">
        <v>25</v>
      </c>
      <c r="B239" s="8" t="s">
        <v>128</v>
      </c>
      <c r="C239" s="73">
        <v>2002</v>
      </c>
      <c r="D239" s="73" t="s">
        <v>50</v>
      </c>
      <c r="E239" s="73" t="s">
        <v>118</v>
      </c>
      <c r="F239" s="74">
        <v>20839528</v>
      </c>
      <c r="G239" s="74">
        <v>73385686</v>
      </c>
      <c r="H239" s="73"/>
      <c r="I239" s="73"/>
      <c r="J239" s="57">
        <f>F239/H238</f>
        <v>0.21958587617365419</v>
      </c>
      <c r="K239" s="58">
        <f>G239/I238</f>
        <v>0.29362204759584304</v>
      </c>
      <c r="L239" s="63">
        <f>K239-1</f>
        <v>-0.70637795240415691</v>
      </c>
      <c r="M239" s="15">
        <f>I238-G239</f>
        <v>176546792.16666666</v>
      </c>
      <c r="N239" s="33">
        <f>M239*1.45</f>
        <v>255992848.64166665</v>
      </c>
    </row>
    <row r="240" spans="1:16" x14ac:dyDescent="0.3">
      <c r="A240" s="31">
        <v>25</v>
      </c>
      <c r="B240" s="8" t="s">
        <v>128</v>
      </c>
      <c r="C240" s="73">
        <v>2001</v>
      </c>
      <c r="D240" s="73" t="s">
        <v>50</v>
      </c>
      <c r="E240" s="73" t="s">
        <v>118</v>
      </c>
      <c r="F240" s="74">
        <v>15145534</v>
      </c>
      <c r="G240" s="74">
        <v>56227671</v>
      </c>
      <c r="H240" s="73"/>
      <c r="I240" s="73"/>
      <c r="J240" s="57">
        <f>F240/H238</f>
        <v>0.15958832433766587</v>
      </c>
      <c r="K240" s="58">
        <f>G240/I238</f>
        <v>0.22497144593790952</v>
      </c>
      <c r="L240" s="63">
        <f>K240-1</f>
        <v>-0.77502855406209048</v>
      </c>
      <c r="M240" s="15">
        <f>I238-G240</f>
        <v>193704807.16666666</v>
      </c>
      <c r="N240" s="33">
        <f>M240*1.47</f>
        <v>284746066.53499997</v>
      </c>
    </row>
    <row r="241" spans="1:16" x14ac:dyDescent="0.3">
      <c r="A241" s="31">
        <v>25</v>
      </c>
      <c r="B241" s="8" t="s">
        <v>128</v>
      </c>
      <c r="C241" s="73">
        <v>2000</v>
      </c>
      <c r="D241" s="73" t="s">
        <v>50</v>
      </c>
      <c r="E241" s="73" t="s">
        <v>118</v>
      </c>
      <c r="F241" s="74">
        <v>22782665</v>
      </c>
      <c r="G241" s="74">
        <v>79513641</v>
      </c>
      <c r="H241" s="73"/>
      <c r="I241" s="73"/>
      <c r="J241" s="73"/>
      <c r="K241" s="73"/>
      <c r="L241" s="73"/>
      <c r="M241" s="73"/>
      <c r="N241" s="73"/>
    </row>
    <row r="242" spans="1:16" x14ac:dyDescent="0.3">
      <c r="A242" s="31">
        <v>25</v>
      </c>
      <c r="B242" s="8" t="s">
        <v>128</v>
      </c>
      <c r="C242" s="73">
        <v>1999</v>
      </c>
      <c r="D242" s="73" t="s">
        <v>50</v>
      </c>
      <c r="E242" s="73" t="s">
        <v>118</v>
      </c>
      <c r="F242" s="74">
        <v>116911960</v>
      </c>
      <c r="G242" s="74">
        <v>338062150</v>
      </c>
      <c r="H242" s="73"/>
      <c r="I242" s="73"/>
      <c r="J242" s="73"/>
      <c r="K242" s="73"/>
      <c r="L242" s="73"/>
      <c r="M242" s="73"/>
      <c r="N242" s="73"/>
    </row>
    <row r="243" spans="1:16" x14ac:dyDescent="0.3">
      <c r="A243" s="31">
        <v>25</v>
      </c>
      <c r="B243" s="8" t="s">
        <v>128</v>
      </c>
      <c r="C243" s="73">
        <v>1998</v>
      </c>
      <c r="D243" s="73" t="s">
        <v>50</v>
      </c>
      <c r="E243" s="73" t="s">
        <v>118</v>
      </c>
      <c r="F243" s="74">
        <v>157196897</v>
      </c>
      <c r="G243" s="74">
        <v>318298954</v>
      </c>
      <c r="H243" s="73"/>
      <c r="I243" s="73"/>
      <c r="J243" s="73"/>
      <c r="K243" s="73"/>
      <c r="L243" s="73"/>
      <c r="M243" s="73"/>
      <c r="N243" s="73"/>
    </row>
    <row r="244" spans="1:16" x14ac:dyDescent="0.3">
      <c r="A244" s="31">
        <v>25</v>
      </c>
      <c r="B244" s="8" t="s">
        <v>128</v>
      </c>
      <c r="C244" s="73">
        <v>1997</v>
      </c>
      <c r="D244" s="73" t="s">
        <v>50</v>
      </c>
      <c r="E244" s="73" t="s">
        <v>118</v>
      </c>
      <c r="F244" s="74">
        <v>188175252</v>
      </c>
      <c r="G244" s="74">
        <v>400162786</v>
      </c>
      <c r="H244" s="73"/>
      <c r="I244" s="73"/>
      <c r="J244" s="73"/>
      <c r="K244" s="73"/>
      <c r="L244" s="73"/>
      <c r="M244" s="73"/>
      <c r="N244" s="73"/>
    </row>
    <row r="245" spans="1:16" x14ac:dyDescent="0.3">
      <c r="A245" s="31">
        <v>25</v>
      </c>
      <c r="B245" s="8" t="s">
        <v>128</v>
      </c>
      <c r="C245" s="73">
        <v>1996</v>
      </c>
      <c r="D245" s="73" t="s">
        <v>50</v>
      </c>
      <c r="E245" s="73" t="s">
        <v>118</v>
      </c>
      <c r="F245" s="74">
        <v>40092150</v>
      </c>
      <c r="G245" s="74">
        <v>129260582</v>
      </c>
      <c r="H245" s="73"/>
      <c r="I245" s="73"/>
      <c r="J245" s="73"/>
      <c r="K245" s="73"/>
      <c r="L245" s="73"/>
      <c r="M245" s="73"/>
      <c r="N245" s="73"/>
    </row>
    <row r="246" spans="1:16" x14ac:dyDescent="0.3">
      <c r="A246" s="32">
        <v>25</v>
      </c>
      <c r="B246" s="29" t="s">
        <v>128</v>
      </c>
      <c r="C246" s="4">
        <v>1995</v>
      </c>
      <c r="D246" s="4" t="s">
        <v>50</v>
      </c>
      <c r="E246" s="4" t="s">
        <v>118</v>
      </c>
      <c r="F246" s="5">
        <v>44263710</v>
      </c>
      <c r="G246" s="5">
        <v>234296756</v>
      </c>
      <c r="H246" s="4"/>
      <c r="I246" s="4"/>
      <c r="J246" s="4"/>
      <c r="K246" s="4"/>
      <c r="L246" s="4"/>
      <c r="M246" s="4" t="s">
        <v>36</v>
      </c>
      <c r="N246" s="77">
        <f>N238+N239+N240</f>
        <v>787346805.17333329</v>
      </c>
      <c r="O246" s="87"/>
      <c r="P246" s="87"/>
    </row>
    <row r="247" spans="1:16" s="35" customFormat="1" x14ac:dyDescent="0.3">
      <c r="A247" s="16">
        <v>23</v>
      </c>
      <c r="B247" s="16">
        <v>2003</v>
      </c>
      <c r="C247" s="73">
        <v>2003</v>
      </c>
      <c r="D247" s="73" t="s">
        <v>86</v>
      </c>
      <c r="E247" s="73" t="s">
        <v>129</v>
      </c>
      <c r="F247" s="74">
        <v>1713197</v>
      </c>
      <c r="G247" s="74">
        <v>1970493</v>
      </c>
      <c r="H247" s="13">
        <f>AVERAGE(F248:F252)</f>
        <v>3443853</v>
      </c>
      <c r="I247" s="13">
        <f>AVERAGE(G248:G252)</f>
        <v>2621628.7999999998</v>
      </c>
      <c r="J247" s="19">
        <f>F247/H247</f>
        <v>0.49746519378149995</v>
      </c>
      <c r="K247" s="19">
        <f>G247/I247</f>
        <v>0.75162929244597865</v>
      </c>
      <c r="L247" s="20">
        <f>K247-1</f>
        <v>-0.24837070755402135</v>
      </c>
      <c r="M247" s="21">
        <f>I247-G247</f>
        <v>651135.79999999981</v>
      </c>
      <c r="N247" s="36">
        <f>M247*1.42</f>
        <v>924612.83599999966</v>
      </c>
      <c r="O247" s="71" t="s">
        <v>31</v>
      </c>
      <c r="P247" s="71" t="s">
        <v>58</v>
      </c>
    </row>
    <row r="248" spans="1:16" s="35" customFormat="1" x14ac:dyDescent="0.3">
      <c r="A248" s="16">
        <v>23</v>
      </c>
      <c r="B248" s="16">
        <v>2003</v>
      </c>
      <c r="C248" s="73">
        <v>2002</v>
      </c>
      <c r="D248" s="73" t="s">
        <v>86</v>
      </c>
      <c r="E248" s="73" t="s">
        <v>129</v>
      </c>
      <c r="F248" s="74">
        <v>1988950</v>
      </c>
      <c r="G248" s="74">
        <v>2166268</v>
      </c>
      <c r="H248" s="16"/>
      <c r="I248" s="16"/>
      <c r="J248" s="16"/>
      <c r="K248" s="16"/>
      <c r="L248" s="16"/>
      <c r="M248" s="16"/>
      <c r="N248" s="16"/>
      <c r="O248" s="71"/>
      <c r="P248" s="71"/>
    </row>
    <row r="249" spans="1:16" s="35" customFormat="1" x14ac:dyDescent="0.3">
      <c r="A249" s="16">
        <v>23</v>
      </c>
      <c r="B249" s="16">
        <v>2003</v>
      </c>
      <c r="C249" s="73">
        <v>2001</v>
      </c>
      <c r="D249" s="73" t="s">
        <v>86</v>
      </c>
      <c r="E249" s="73" t="s">
        <v>129</v>
      </c>
      <c r="F249" s="74">
        <v>2771377</v>
      </c>
      <c r="G249" s="74">
        <v>2902474</v>
      </c>
      <c r="H249" s="16"/>
      <c r="I249" s="16"/>
      <c r="J249" s="16"/>
      <c r="K249" s="16"/>
      <c r="L249" s="16"/>
      <c r="M249" s="16"/>
      <c r="N249" s="16"/>
      <c r="O249" s="71"/>
      <c r="P249" s="71"/>
    </row>
    <row r="250" spans="1:16" s="35" customFormat="1" x14ac:dyDescent="0.3">
      <c r="A250" s="16">
        <v>23</v>
      </c>
      <c r="B250" s="16">
        <v>2003</v>
      </c>
      <c r="C250" s="73">
        <v>2000</v>
      </c>
      <c r="D250" s="73" t="s">
        <v>86</v>
      </c>
      <c r="E250" s="73" t="s">
        <v>129</v>
      </c>
      <c r="F250" s="74">
        <v>3296255</v>
      </c>
      <c r="G250" s="74">
        <v>2476530</v>
      </c>
      <c r="H250" s="16"/>
      <c r="I250" s="16"/>
      <c r="J250" s="16"/>
      <c r="K250" s="16"/>
      <c r="L250" s="16"/>
      <c r="M250" s="16"/>
      <c r="N250" s="16"/>
      <c r="O250" s="71"/>
      <c r="P250" s="71"/>
    </row>
    <row r="251" spans="1:16" s="35" customFormat="1" x14ac:dyDescent="0.3">
      <c r="A251" s="16">
        <v>23</v>
      </c>
      <c r="B251" s="16">
        <v>2003</v>
      </c>
      <c r="C251" s="73">
        <v>1999</v>
      </c>
      <c r="D251" s="73" t="s">
        <v>86</v>
      </c>
      <c r="E251" s="73" t="s">
        <v>129</v>
      </c>
      <c r="F251" s="74">
        <v>3992980</v>
      </c>
      <c r="G251" s="74">
        <v>2474415</v>
      </c>
      <c r="H251" s="16"/>
      <c r="I251" s="16"/>
      <c r="J251" s="16"/>
      <c r="K251" s="16"/>
      <c r="L251" s="16"/>
      <c r="M251" s="16"/>
      <c r="N251" s="16"/>
      <c r="O251" s="71"/>
      <c r="P251" s="71"/>
    </row>
    <row r="252" spans="1:16" s="35" customFormat="1" x14ac:dyDescent="0.3">
      <c r="A252" s="17">
        <v>23</v>
      </c>
      <c r="B252" s="17">
        <v>2003</v>
      </c>
      <c r="C252" s="4">
        <v>1998</v>
      </c>
      <c r="D252" s="4" t="s">
        <v>86</v>
      </c>
      <c r="E252" s="4" t="s">
        <v>129</v>
      </c>
      <c r="F252" s="5">
        <v>5169703</v>
      </c>
      <c r="G252" s="5">
        <v>3088457</v>
      </c>
      <c r="H252" s="17"/>
      <c r="I252" s="17"/>
      <c r="J252" s="17"/>
      <c r="K252" s="17"/>
      <c r="L252" s="17"/>
      <c r="M252" s="17"/>
      <c r="N252" s="17"/>
      <c r="O252" s="86"/>
      <c r="P252" s="86"/>
    </row>
    <row r="253" spans="1:16" ht="28.8" x14ac:dyDescent="0.3">
      <c r="A253" s="31">
        <v>22</v>
      </c>
      <c r="B253" s="8">
        <v>2002</v>
      </c>
      <c r="C253" s="73">
        <v>2002</v>
      </c>
      <c r="D253" s="73" t="s">
        <v>50</v>
      </c>
      <c r="E253" s="73" t="s">
        <v>118</v>
      </c>
      <c r="F253" s="74">
        <v>20839528</v>
      </c>
      <c r="G253" s="74">
        <v>73385686</v>
      </c>
      <c r="H253" s="13">
        <f>AVERAGE(F254:F258)</f>
        <v>100042461.59999999</v>
      </c>
      <c r="I253" s="13">
        <f>AVERAGE(G254:G258)</f>
        <v>238453040.40000001</v>
      </c>
      <c r="J253" s="19">
        <f>F253/H253</f>
        <v>0.208306829587248</v>
      </c>
      <c r="K253" s="19">
        <f>G253/I253</f>
        <v>0.30775739272142238</v>
      </c>
      <c r="L253" s="20">
        <f>K253-1</f>
        <v>-0.69224260727857767</v>
      </c>
      <c r="M253" s="21">
        <f>I253-G253</f>
        <v>165067354.40000001</v>
      </c>
      <c r="N253" s="2">
        <f>M253*1.45</f>
        <v>239347663.88</v>
      </c>
      <c r="O253" s="85" t="s">
        <v>39</v>
      </c>
      <c r="P253" s="85" t="s">
        <v>122</v>
      </c>
    </row>
    <row r="254" spans="1:16" x14ac:dyDescent="0.3">
      <c r="A254" s="31">
        <v>22</v>
      </c>
      <c r="B254" s="8">
        <v>2002</v>
      </c>
      <c r="C254" s="73">
        <v>2001</v>
      </c>
      <c r="D254" s="73" t="s">
        <v>50</v>
      </c>
      <c r="E254" s="73" t="s">
        <v>118</v>
      </c>
      <c r="F254" s="74">
        <v>15145534</v>
      </c>
      <c r="G254" s="74">
        <v>56227671</v>
      </c>
      <c r="H254" s="73"/>
      <c r="I254" s="73"/>
      <c r="J254" s="73"/>
      <c r="K254" s="73"/>
      <c r="L254" s="73"/>
      <c r="M254" s="73"/>
      <c r="N254" s="73"/>
    </row>
    <row r="255" spans="1:16" x14ac:dyDescent="0.3">
      <c r="A255" s="31">
        <v>22</v>
      </c>
      <c r="B255" s="8">
        <v>2002</v>
      </c>
      <c r="C255" s="73">
        <v>2000</v>
      </c>
      <c r="D255" s="73" t="s">
        <v>50</v>
      </c>
      <c r="E255" s="73" t="s">
        <v>118</v>
      </c>
      <c r="F255" s="74">
        <v>22782665</v>
      </c>
      <c r="G255" s="74">
        <v>79513641</v>
      </c>
      <c r="H255" s="73"/>
      <c r="I255" s="73"/>
      <c r="J255" s="73"/>
      <c r="K255" s="73"/>
      <c r="L255" s="73"/>
      <c r="M255" s="73"/>
      <c r="N255" s="73"/>
    </row>
    <row r="256" spans="1:16" x14ac:dyDescent="0.3">
      <c r="A256" s="31">
        <v>22</v>
      </c>
      <c r="B256" s="8">
        <v>2002</v>
      </c>
      <c r="C256" s="73">
        <v>1999</v>
      </c>
      <c r="D256" s="73" t="s">
        <v>50</v>
      </c>
      <c r="E256" s="73" t="s">
        <v>118</v>
      </c>
      <c r="F256" s="74">
        <v>116911960</v>
      </c>
      <c r="G256" s="74">
        <v>338062150</v>
      </c>
      <c r="H256" s="73"/>
      <c r="I256" s="73"/>
      <c r="J256" s="73"/>
      <c r="K256" s="73"/>
      <c r="L256" s="73"/>
      <c r="M256" s="73"/>
      <c r="N256" s="73"/>
    </row>
    <row r="257" spans="1:16" x14ac:dyDescent="0.3">
      <c r="A257" s="31">
        <v>22</v>
      </c>
      <c r="B257" s="8">
        <v>2002</v>
      </c>
      <c r="C257" s="73">
        <v>1998</v>
      </c>
      <c r="D257" s="73" t="s">
        <v>50</v>
      </c>
      <c r="E257" s="73" t="s">
        <v>118</v>
      </c>
      <c r="F257" s="74">
        <v>157196897</v>
      </c>
      <c r="G257" s="74">
        <v>318298954</v>
      </c>
      <c r="H257" s="73"/>
      <c r="I257" s="73"/>
      <c r="J257" s="73"/>
      <c r="K257" s="73"/>
      <c r="L257" s="73"/>
      <c r="M257" s="73"/>
      <c r="N257" s="73"/>
    </row>
    <row r="258" spans="1:16" x14ac:dyDescent="0.3">
      <c r="A258" s="32">
        <v>22</v>
      </c>
      <c r="B258" s="29">
        <v>2002</v>
      </c>
      <c r="C258" s="4">
        <v>1997</v>
      </c>
      <c r="D258" s="4" t="s">
        <v>50</v>
      </c>
      <c r="E258" s="4" t="s">
        <v>118</v>
      </c>
      <c r="F258" s="5">
        <v>188175252</v>
      </c>
      <c r="G258" s="5">
        <v>400162786</v>
      </c>
      <c r="H258" s="4"/>
      <c r="I258" s="4"/>
      <c r="J258" s="4"/>
      <c r="K258" s="4"/>
      <c r="L258" s="4"/>
      <c r="M258" s="4"/>
      <c r="N258" s="4"/>
      <c r="O258" s="87"/>
      <c r="P258" s="87"/>
    </row>
    <row r="259" spans="1:16" ht="28.8" x14ac:dyDescent="0.3">
      <c r="A259" s="31">
        <v>21</v>
      </c>
      <c r="B259" s="8">
        <v>2001</v>
      </c>
      <c r="C259" s="73">
        <v>2001</v>
      </c>
      <c r="D259" s="73" t="s">
        <v>50</v>
      </c>
      <c r="E259" s="73" t="s">
        <v>118</v>
      </c>
      <c r="F259" s="74">
        <v>15145534</v>
      </c>
      <c r="G259" s="74">
        <v>56227671</v>
      </c>
      <c r="H259" s="13">
        <f>AVERAGE(F260:F264)</f>
        <v>105031784.8</v>
      </c>
      <c r="I259" s="13">
        <f>AVERAGE(G260:G264)</f>
        <v>253059622.59999999</v>
      </c>
      <c r="J259" s="19">
        <f>F259/H259</f>
        <v>0.14419952996933172</v>
      </c>
      <c r="K259" s="19">
        <f>G259/I259</f>
        <v>0.22219139672422794</v>
      </c>
      <c r="L259" s="20">
        <f>K259-1</f>
        <v>-0.77780860327577206</v>
      </c>
      <c r="M259" s="21">
        <f>I259-G259</f>
        <v>196831951.59999999</v>
      </c>
      <c r="N259" s="2">
        <f>M259*1.47</f>
        <v>289342968.852</v>
      </c>
      <c r="O259" s="85" t="s">
        <v>39</v>
      </c>
      <c r="P259" s="85" t="s">
        <v>122</v>
      </c>
    </row>
    <row r="260" spans="1:16" x14ac:dyDescent="0.3">
      <c r="A260" s="31">
        <v>21</v>
      </c>
      <c r="B260" s="8">
        <v>2001</v>
      </c>
      <c r="C260" s="73">
        <v>2000</v>
      </c>
      <c r="D260" s="73" t="s">
        <v>50</v>
      </c>
      <c r="E260" s="73" t="s">
        <v>118</v>
      </c>
      <c r="F260" s="74">
        <v>22782665</v>
      </c>
      <c r="G260" s="74">
        <v>79513641</v>
      </c>
      <c r="H260" s="73"/>
      <c r="I260" s="73"/>
      <c r="J260" s="73"/>
      <c r="K260" s="73"/>
      <c r="L260" s="73"/>
      <c r="M260" s="73"/>
      <c r="N260" s="73"/>
    </row>
    <row r="261" spans="1:16" x14ac:dyDescent="0.3">
      <c r="A261" s="31">
        <v>21</v>
      </c>
      <c r="B261" s="8">
        <v>2001</v>
      </c>
      <c r="C261" s="73">
        <v>1999</v>
      </c>
      <c r="D261" s="73" t="s">
        <v>50</v>
      </c>
      <c r="E261" s="73" t="s">
        <v>118</v>
      </c>
      <c r="F261" s="74">
        <v>116911960</v>
      </c>
      <c r="G261" s="74">
        <v>338062150</v>
      </c>
      <c r="H261" s="73"/>
      <c r="I261" s="73"/>
      <c r="J261" s="73"/>
      <c r="K261" s="73"/>
      <c r="L261" s="73"/>
      <c r="M261" s="73"/>
      <c r="N261" s="73"/>
    </row>
    <row r="262" spans="1:16" x14ac:dyDescent="0.3">
      <c r="A262" s="31">
        <v>21</v>
      </c>
      <c r="B262" s="8">
        <v>2001</v>
      </c>
      <c r="C262" s="73">
        <v>1998</v>
      </c>
      <c r="D262" s="73" t="s">
        <v>50</v>
      </c>
      <c r="E262" s="73" t="s">
        <v>118</v>
      </c>
      <c r="F262" s="74">
        <v>157196897</v>
      </c>
      <c r="G262" s="74">
        <v>318298954</v>
      </c>
      <c r="H262" s="73"/>
      <c r="I262" s="73"/>
      <c r="J262" s="73"/>
      <c r="K262" s="73"/>
      <c r="L262" s="73"/>
      <c r="M262" s="73"/>
      <c r="N262" s="73"/>
    </row>
    <row r="263" spans="1:16" x14ac:dyDescent="0.3">
      <c r="A263" s="31">
        <v>21</v>
      </c>
      <c r="B263" s="8">
        <v>2001</v>
      </c>
      <c r="C263" s="73">
        <v>1997</v>
      </c>
      <c r="D263" s="73" t="s">
        <v>50</v>
      </c>
      <c r="E263" s="73" t="s">
        <v>118</v>
      </c>
      <c r="F263" s="74">
        <v>188175252</v>
      </c>
      <c r="G263" s="74">
        <v>400162786</v>
      </c>
      <c r="H263" s="73"/>
      <c r="I263" s="73"/>
      <c r="J263" s="73"/>
      <c r="K263" s="73"/>
      <c r="L263" s="73"/>
      <c r="M263" s="73"/>
      <c r="N263" s="73"/>
    </row>
    <row r="264" spans="1:16" x14ac:dyDescent="0.3">
      <c r="A264" s="32">
        <v>21</v>
      </c>
      <c r="B264" s="29">
        <v>2001</v>
      </c>
      <c r="C264" s="4">
        <v>1996</v>
      </c>
      <c r="D264" s="4" t="s">
        <v>50</v>
      </c>
      <c r="E264" s="4" t="s">
        <v>118</v>
      </c>
      <c r="F264" s="5">
        <v>40092150</v>
      </c>
      <c r="G264" s="5">
        <v>129260582</v>
      </c>
      <c r="H264" s="4"/>
      <c r="I264" s="4"/>
      <c r="J264" s="4"/>
      <c r="K264" s="4"/>
      <c r="L264" s="4"/>
      <c r="M264" s="4"/>
      <c r="N264" s="4"/>
      <c r="O264" s="87"/>
      <c r="P264" s="87"/>
    </row>
    <row r="265" spans="1:16" x14ac:dyDescent="0.3">
      <c r="A265" s="31">
        <v>18</v>
      </c>
      <c r="B265" s="73" t="s">
        <v>130</v>
      </c>
      <c r="C265" s="73">
        <v>2000</v>
      </c>
      <c r="D265" s="73" t="s">
        <v>50</v>
      </c>
      <c r="E265" s="73" t="s">
        <v>100</v>
      </c>
      <c r="F265" s="74">
        <v>3861618</v>
      </c>
      <c r="G265" s="74">
        <v>1956995</v>
      </c>
      <c r="H265" s="13">
        <f>AVERAGE(F268:F273)</f>
        <v>14284572.333333334</v>
      </c>
      <c r="I265" s="13">
        <f>AVERAGE(G268:G273)</f>
        <v>10377241.666666666</v>
      </c>
      <c r="J265" s="19">
        <f>F265/H265</f>
        <v>0.27033486966836506</v>
      </c>
      <c r="K265" s="19">
        <f>G265/I265</f>
        <v>0.18858527755850343</v>
      </c>
      <c r="L265" s="20">
        <f>K265-1</f>
        <v>-0.81141472244149659</v>
      </c>
      <c r="M265" s="21">
        <f>I265-G265</f>
        <v>8420246.666666666</v>
      </c>
      <c r="N265" s="2">
        <f>M265*1.52</f>
        <v>12798774.933333332</v>
      </c>
      <c r="O265" s="85" t="s">
        <v>31</v>
      </c>
      <c r="P265" s="85" t="s">
        <v>131</v>
      </c>
    </row>
    <row r="266" spans="1:16" x14ac:dyDescent="0.3">
      <c r="A266" s="31">
        <v>18</v>
      </c>
      <c r="B266" s="73" t="s">
        <v>130</v>
      </c>
      <c r="C266" s="73">
        <v>1999</v>
      </c>
      <c r="D266" s="73" t="s">
        <v>50</v>
      </c>
      <c r="E266" s="73" t="s">
        <v>100</v>
      </c>
      <c r="F266" s="74">
        <v>3494416</v>
      </c>
      <c r="G266" s="74">
        <v>5707098</v>
      </c>
      <c r="H266" s="73"/>
      <c r="I266" s="73"/>
      <c r="J266" s="59">
        <f>F266/H265</f>
        <v>0.24462867480083464</v>
      </c>
      <c r="K266" s="19">
        <f>G266/I265</f>
        <v>0.5499629076127327</v>
      </c>
      <c r="L266" s="64">
        <f>K266-1</f>
        <v>-0.4500370923872673</v>
      </c>
      <c r="M266" s="74">
        <f>I265-G266</f>
        <v>4670143.666666666</v>
      </c>
      <c r="N266" s="2">
        <f>M266*1.57</f>
        <v>7332125.5566666657</v>
      </c>
    </row>
    <row r="267" spans="1:16" x14ac:dyDescent="0.3">
      <c r="A267" s="31">
        <v>18</v>
      </c>
      <c r="B267" s="73" t="s">
        <v>130</v>
      </c>
      <c r="C267" s="73">
        <v>1998</v>
      </c>
      <c r="D267" s="73" t="s">
        <v>50</v>
      </c>
      <c r="E267" s="73" t="s">
        <v>100</v>
      </c>
      <c r="F267" s="74">
        <v>7207941</v>
      </c>
      <c r="G267" s="74">
        <v>3876544</v>
      </c>
      <c r="H267" s="73"/>
      <c r="I267" s="73"/>
      <c r="J267" s="59">
        <f>F267/H265</f>
        <v>0.50459620573869934</v>
      </c>
      <c r="K267" s="19">
        <f>G267/I265</f>
        <v>0.37356208176707206</v>
      </c>
      <c r="L267" s="64">
        <f>K267-1</f>
        <v>-0.62643791823292794</v>
      </c>
      <c r="M267" s="74">
        <f>I265-G267</f>
        <v>6500697.666666666</v>
      </c>
      <c r="N267" s="2">
        <f>M267*1.59</f>
        <v>10336109.289999999</v>
      </c>
    </row>
    <row r="268" spans="1:16" x14ac:dyDescent="0.3">
      <c r="A268" s="31">
        <v>18</v>
      </c>
      <c r="B268" s="73" t="s">
        <v>130</v>
      </c>
      <c r="C268" s="73">
        <v>1997</v>
      </c>
      <c r="D268" s="73" t="s">
        <v>50</v>
      </c>
      <c r="E268" s="73" t="s">
        <v>100</v>
      </c>
      <c r="F268" s="74">
        <v>7774198</v>
      </c>
      <c r="G268" s="74">
        <v>7307369</v>
      </c>
      <c r="H268" s="73"/>
      <c r="I268" s="73"/>
      <c r="J268" s="73"/>
      <c r="K268" s="73"/>
      <c r="L268" s="73"/>
      <c r="M268" s="73"/>
      <c r="N268" s="73"/>
    </row>
    <row r="269" spans="1:16" x14ac:dyDescent="0.3">
      <c r="A269" s="31">
        <v>18</v>
      </c>
      <c r="B269" s="73" t="s">
        <v>130</v>
      </c>
      <c r="C269" s="73">
        <v>1996</v>
      </c>
      <c r="D269" s="73" t="s">
        <v>50</v>
      </c>
      <c r="E269" s="73" t="s">
        <v>100</v>
      </c>
      <c r="F269" s="74">
        <v>16855835</v>
      </c>
      <c r="G269" s="74">
        <v>7086573</v>
      </c>
      <c r="H269" s="73"/>
      <c r="I269" s="73"/>
      <c r="J269" s="73"/>
      <c r="K269" s="73"/>
      <c r="L269" s="73"/>
      <c r="M269" s="73"/>
      <c r="N269" s="73"/>
    </row>
    <row r="270" spans="1:16" x14ac:dyDescent="0.3">
      <c r="A270" s="31">
        <v>18</v>
      </c>
      <c r="B270" s="73" t="s">
        <v>130</v>
      </c>
      <c r="C270" s="73">
        <v>1995</v>
      </c>
      <c r="D270" s="73" t="s">
        <v>50</v>
      </c>
      <c r="E270" s="73" t="s">
        <v>100</v>
      </c>
      <c r="F270" s="74">
        <v>18763549</v>
      </c>
      <c r="G270" s="74">
        <v>10773607</v>
      </c>
      <c r="H270" s="73"/>
      <c r="I270" s="73"/>
      <c r="J270" s="73"/>
      <c r="K270" s="73"/>
      <c r="L270" s="73"/>
      <c r="M270" s="73"/>
      <c r="N270" s="73"/>
    </row>
    <row r="271" spans="1:16" x14ac:dyDescent="0.3">
      <c r="A271" s="31">
        <v>18</v>
      </c>
      <c r="B271" s="73" t="s">
        <v>130</v>
      </c>
      <c r="C271" s="73">
        <v>1994</v>
      </c>
      <c r="D271" s="73" t="s">
        <v>50</v>
      </c>
      <c r="E271" s="73" t="s">
        <v>100</v>
      </c>
      <c r="F271" s="74">
        <v>14674108</v>
      </c>
      <c r="G271" s="74">
        <v>10523990</v>
      </c>
      <c r="H271" s="73"/>
      <c r="I271" s="73"/>
      <c r="J271" s="73"/>
      <c r="K271" s="73"/>
      <c r="L271" s="73"/>
      <c r="M271" s="73"/>
      <c r="N271" s="73"/>
    </row>
    <row r="272" spans="1:16" x14ac:dyDescent="0.3">
      <c r="A272" s="31">
        <v>18</v>
      </c>
      <c r="B272" s="73" t="s">
        <v>130</v>
      </c>
      <c r="C272" s="73">
        <v>1993</v>
      </c>
      <c r="D272" s="73" t="s">
        <v>50</v>
      </c>
      <c r="E272" s="73" t="s">
        <v>100</v>
      </c>
      <c r="F272" s="74">
        <v>10066980</v>
      </c>
      <c r="G272" s="74">
        <v>9840114</v>
      </c>
      <c r="H272" s="73"/>
      <c r="I272" s="73"/>
      <c r="J272" s="73"/>
      <c r="K272" s="73"/>
      <c r="L272" s="73"/>
      <c r="M272" s="73"/>
      <c r="N272" s="73"/>
    </row>
    <row r="273" spans="1:16" x14ac:dyDescent="0.3">
      <c r="A273" s="32">
        <v>18</v>
      </c>
      <c r="B273" s="4" t="s">
        <v>130</v>
      </c>
      <c r="C273" s="4">
        <v>1992</v>
      </c>
      <c r="D273" s="4" t="s">
        <v>50</v>
      </c>
      <c r="E273" s="4" t="s">
        <v>100</v>
      </c>
      <c r="F273" s="5">
        <v>17572764</v>
      </c>
      <c r="G273" s="5">
        <v>16731797</v>
      </c>
      <c r="H273" s="4"/>
      <c r="I273" s="4"/>
      <c r="J273" s="4"/>
      <c r="K273" s="4"/>
      <c r="L273" s="4"/>
      <c r="M273" s="4" t="s">
        <v>36</v>
      </c>
      <c r="N273" s="99">
        <f>N265+N266+N267</f>
        <v>30467009.779999997</v>
      </c>
      <c r="O273" s="87"/>
      <c r="P273" s="87"/>
    </row>
    <row r="274" spans="1:16" x14ac:dyDescent="0.3">
      <c r="A274" s="31">
        <v>17</v>
      </c>
      <c r="B274" s="73">
        <v>2000</v>
      </c>
      <c r="C274" s="73">
        <v>2000</v>
      </c>
      <c r="D274" s="73" t="s">
        <v>50</v>
      </c>
      <c r="E274" s="73" t="s">
        <v>118</v>
      </c>
      <c r="F274" s="74">
        <v>22782665</v>
      </c>
      <c r="G274" s="74">
        <v>79513641</v>
      </c>
      <c r="H274" s="13">
        <f>AVERAGE(F275:F279)</f>
        <v>109327993.8</v>
      </c>
      <c r="I274" s="13">
        <f>AVERAGE(G275:G279)</f>
        <v>284016245.60000002</v>
      </c>
      <c r="J274" s="19">
        <f>F274/H274</f>
        <v>0.20838821063228913</v>
      </c>
      <c r="K274" s="19">
        <f>G274/I274</f>
        <v>0.27996159456309633</v>
      </c>
      <c r="L274" s="20">
        <f>K274-1</f>
        <v>-0.72003840543690367</v>
      </c>
      <c r="M274" s="21">
        <f>I274-G274</f>
        <v>204502604.60000002</v>
      </c>
      <c r="N274" s="2">
        <f>M274*1.47</f>
        <v>300618828.76200002</v>
      </c>
      <c r="O274" s="85" t="s">
        <v>31</v>
      </c>
      <c r="P274" s="85" t="s">
        <v>131</v>
      </c>
    </row>
    <row r="275" spans="1:16" x14ac:dyDescent="0.3">
      <c r="A275" s="31">
        <v>17</v>
      </c>
      <c r="B275" s="73">
        <v>2000</v>
      </c>
      <c r="C275" s="73">
        <v>1999</v>
      </c>
      <c r="D275" s="73" t="s">
        <v>50</v>
      </c>
      <c r="E275" s="73" t="s">
        <v>118</v>
      </c>
      <c r="F275" s="74">
        <v>116911960</v>
      </c>
      <c r="G275" s="74">
        <v>338062150</v>
      </c>
      <c r="H275" s="73"/>
      <c r="I275" s="73"/>
      <c r="J275" s="73"/>
      <c r="K275" s="73"/>
      <c r="L275" s="73"/>
      <c r="M275" s="73"/>
      <c r="N275" s="73"/>
    </row>
    <row r="276" spans="1:16" x14ac:dyDescent="0.3">
      <c r="A276" s="31">
        <v>17</v>
      </c>
      <c r="B276" s="73">
        <v>2000</v>
      </c>
      <c r="C276" s="73">
        <v>1998</v>
      </c>
      <c r="D276" s="73" t="s">
        <v>50</v>
      </c>
      <c r="E276" s="73" t="s">
        <v>118</v>
      </c>
      <c r="F276" s="74">
        <v>157196897</v>
      </c>
      <c r="G276" s="74">
        <v>318298954</v>
      </c>
      <c r="H276" s="73"/>
      <c r="I276" s="73"/>
      <c r="J276" s="73"/>
      <c r="K276" s="73"/>
      <c r="L276" s="73"/>
      <c r="M276" s="73"/>
      <c r="N276" s="73"/>
    </row>
    <row r="277" spans="1:16" x14ac:dyDescent="0.3">
      <c r="A277" s="31">
        <v>17</v>
      </c>
      <c r="B277" s="73">
        <v>2000</v>
      </c>
      <c r="C277" s="73">
        <v>1997</v>
      </c>
      <c r="D277" s="73" t="s">
        <v>50</v>
      </c>
      <c r="E277" s="73" t="s">
        <v>118</v>
      </c>
      <c r="F277" s="74">
        <v>188175252</v>
      </c>
      <c r="G277" s="74">
        <v>400162786</v>
      </c>
      <c r="H277" s="73"/>
      <c r="I277" s="73"/>
      <c r="J277" s="73"/>
      <c r="K277" s="73"/>
      <c r="L277" s="73"/>
      <c r="M277" s="73"/>
      <c r="N277" s="73"/>
    </row>
    <row r="278" spans="1:16" x14ac:dyDescent="0.3">
      <c r="A278" s="31">
        <v>17</v>
      </c>
      <c r="B278" s="73">
        <v>2000</v>
      </c>
      <c r="C278" s="73">
        <v>1996</v>
      </c>
      <c r="D278" s="73" t="s">
        <v>50</v>
      </c>
      <c r="E278" s="73" t="s">
        <v>118</v>
      </c>
      <c r="F278" s="74">
        <v>40092150</v>
      </c>
      <c r="G278" s="74">
        <v>129260582</v>
      </c>
      <c r="H278" s="73"/>
      <c r="I278" s="73"/>
      <c r="J278" s="73"/>
      <c r="K278" s="73"/>
      <c r="L278" s="73"/>
      <c r="M278" s="73"/>
      <c r="N278" s="73"/>
    </row>
    <row r="279" spans="1:16" x14ac:dyDescent="0.3">
      <c r="A279" s="32">
        <v>17</v>
      </c>
      <c r="B279" s="4">
        <v>2000</v>
      </c>
      <c r="C279" s="4">
        <v>1995</v>
      </c>
      <c r="D279" s="4" t="s">
        <v>50</v>
      </c>
      <c r="E279" s="4" t="s">
        <v>118</v>
      </c>
      <c r="F279" s="5">
        <v>44263710</v>
      </c>
      <c r="G279" s="5">
        <v>234296756</v>
      </c>
      <c r="H279" s="4"/>
      <c r="I279" s="4"/>
      <c r="J279" s="4"/>
      <c r="K279" s="4"/>
      <c r="L279" s="4"/>
      <c r="M279" s="4"/>
      <c r="N279" s="4"/>
      <c r="O279" s="87"/>
      <c r="P279" s="87"/>
    </row>
    <row r="280" spans="1:16" ht="86.4" x14ac:dyDescent="0.3">
      <c r="A280" s="28">
        <v>19</v>
      </c>
      <c r="B280" s="16" t="s">
        <v>132</v>
      </c>
      <c r="C280" s="73">
        <v>1999</v>
      </c>
      <c r="D280" s="16" t="s">
        <v>133</v>
      </c>
      <c r="E280" s="16" t="s">
        <v>134</v>
      </c>
      <c r="F280" s="13"/>
      <c r="G280" s="13"/>
      <c r="H280" s="12"/>
      <c r="I280" s="12"/>
      <c r="J280" s="12"/>
      <c r="K280" s="12"/>
      <c r="L280" s="12"/>
      <c r="M280" s="21">
        <v>9000000</v>
      </c>
      <c r="N280" s="21">
        <f>M280*1.57</f>
        <v>14130000</v>
      </c>
      <c r="O280" s="85" t="s">
        <v>55</v>
      </c>
      <c r="P280" s="85" t="s">
        <v>135</v>
      </c>
    </row>
    <row r="281" spans="1:16" x14ac:dyDescent="0.3">
      <c r="A281" s="28">
        <v>19</v>
      </c>
      <c r="B281" s="16" t="s">
        <v>132</v>
      </c>
      <c r="C281" s="73">
        <v>1998</v>
      </c>
      <c r="D281" s="16" t="s">
        <v>133</v>
      </c>
      <c r="E281" s="16" t="s">
        <v>134</v>
      </c>
      <c r="F281" s="13"/>
      <c r="G281" s="13"/>
      <c r="H281" s="12"/>
      <c r="I281" s="12"/>
      <c r="J281" s="12"/>
      <c r="K281" s="12"/>
      <c r="L281" s="12"/>
      <c r="M281" s="12"/>
      <c r="N281" s="12"/>
    </row>
    <row r="282" spans="1:16" x14ac:dyDescent="0.3">
      <c r="A282" s="28">
        <v>19</v>
      </c>
      <c r="B282" s="16" t="s">
        <v>132</v>
      </c>
      <c r="C282" s="73">
        <v>1997</v>
      </c>
      <c r="D282" s="16" t="s">
        <v>133</v>
      </c>
      <c r="E282" s="16" t="s">
        <v>134</v>
      </c>
      <c r="F282" s="13"/>
      <c r="G282" s="13"/>
      <c r="H282" s="12"/>
      <c r="I282" s="12"/>
      <c r="J282" s="12"/>
      <c r="K282" s="12"/>
      <c r="L282" s="12"/>
      <c r="M282" s="12"/>
      <c r="N282" s="12"/>
    </row>
    <row r="283" spans="1:16" x14ac:dyDescent="0.3">
      <c r="A283" s="28">
        <v>19</v>
      </c>
      <c r="B283" s="16" t="s">
        <v>132</v>
      </c>
      <c r="C283" s="73">
        <v>1996</v>
      </c>
      <c r="D283" s="16" t="s">
        <v>133</v>
      </c>
      <c r="E283" s="16" t="s">
        <v>134</v>
      </c>
      <c r="F283" s="13"/>
      <c r="G283" s="13"/>
      <c r="H283" s="12"/>
      <c r="I283" s="12"/>
      <c r="J283" s="12"/>
      <c r="K283" s="12"/>
      <c r="L283" s="12"/>
      <c r="M283" s="12"/>
      <c r="N283" s="12"/>
    </row>
    <row r="284" spans="1:16" x14ac:dyDescent="0.3">
      <c r="A284" s="28">
        <v>19</v>
      </c>
      <c r="B284" s="16" t="s">
        <v>132</v>
      </c>
      <c r="C284" s="73">
        <v>1995</v>
      </c>
      <c r="D284" s="16" t="s">
        <v>133</v>
      </c>
      <c r="E284" s="16" t="s">
        <v>134</v>
      </c>
      <c r="F284" s="13"/>
      <c r="G284" s="13"/>
      <c r="H284" s="12"/>
      <c r="I284" s="12"/>
      <c r="J284" s="12"/>
      <c r="K284" s="12"/>
      <c r="L284" s="12"/>
      <c r="M284" s="12"/>
      <c r="N284" s="12"/>
    </row>
    <row r="285" spans="1:16" x14ac:dyDescent="0.3">
      <c r="A285" s="29">
        <v>19</v>
      </c>
      <c r="B285" s="16" t="s">
        <v>132</v>
      </c>
      <c r="C285" s="4">
        <v>1994</v>
      </c>
      <c r="D285" s="17" t="s">
        <v>133</v>
      </c>
      <c r="E285" s="17" t="s">
        <v>134</v>
      </c>
      <c r="F285" s="5"/>
      <c r="G285" s="5"/>
      <c r="H285" s="4"/>
      <c r="I285" s="4"/>
      <c r="J285" s="4"/>
      <c r="K285" s="4"/>
      <c r="L285" s="4"/>
      <c r="M285" s="4"/>
      <c r="N285" s="4"/>
      <c r="O285" s="87"/>
      <c r="P285" s="87"/>
    </row>
    <row r="286" spans="1:16" ht="28.8" x14ac:dyDescent="0.3">
      <c r="A286" s="6">
        <v>15</v>
      </c>
      <c r="B286" s="8">
        <v>1999</v>
      </c>
      <c r="C286" s="73">
        <v>1999</v>
      </c>
      <c r="D286" s="73" t="s">
        <v>41</v>
      </c>
      <c r="E286" s="73" t="s">
        <v>136</v>
      </c>
      <c r="F286" s="74">
        <v>67913933</v>
      </c>
      <c r="G286" s="74">
        <v>60286590</v>
      </c>
      <c r="H286" s="13">
        <f>AVERAGE(F287:F291)</f>
        <v>65409325</v>
      </c>
      <c r="I286" s="13">
        <f>AVERAGE(G287:G291)</f>
        <v>53874186.600000001</v>
      </c>
      <c r="J286" s="19">
        <f>F286/H286</f>
        <v>1.0382912986795079</v>
      </c>
      <c r="K286" s="19">
        <f>G286/I286</f>
        <v>1.1190255260392181</v>
      </c>
      <c r="L286" s="20">
        <f>K286-1</f>
        <v>0.11902552603921812</v>
      </c>
      <c r="M286" s="21">
        <f>I286-G286</f>
        <v>-6412403.3999999985</v>
      </c>
      <c r="N286" s="2">
        <f>M286*1.57</f>
        <v>-10067473.337999998</v>
      </c>
      <c r="O286" s="85" t="s">
        <v>39</v>
      </c>
      <c r="P286" s="85" t="s">
        <v>126</v>
      </c>
    </row>
    <row r="287" spans="1:16" x14ac:dyDescent="0.3">
      <c r="A287" s="6">
        <v>15</v>
      </c>
      <c r="B287" s="8">
        <v>1999</v>
      </c>
      <c r="C287" s="73">
        <v>1998</v>
      </c>
      <c r="D287" s="73" t="s">
        <v>41</v>
      </c>
      <c r="E287" s="73" t="s">
        <v>136</v>
      </c>
      <c r="F287" s="74">
        <v>69909657</v>
      </c>
      <c r="G287" s="74">
        <v>59995947</v>
      </c>
      <c r="H287" s="73"/>
      <c r="I287" s="73"/>
      <c r="J287" s="73"/>
      <c r="K287" s="73"/>
      <c r="L287" s="73"/>
      <c r="M287" s="73"/>
      <c r="N287" s="73"/>
    </row>
    <row r="288" spans="1:16" x14ac:dyDescent="0.3">
      <c r="A288" s="6">
        <v>15</v>
      </c>
      <c r="B288" s="8">
        <v>1999</v>
      </c>
      <c r="C288" s="73">
        <v>1997</v>
      </c>
      <c r="D288" s="73" t="s">
        <v>41</v>
      </c>
      <c r="E288" s="73" t="s">
        <v>136</v>
      </c>
      <c r="F288" s="74">
        <v>62451443</v>
      </c>
      <c r="G288" s="74">
        <v>50710934</v>
      </c>
      <c r="H288" s="73"/>
      <c r="I288" s="73"/>
      <c r="J288" s="73"/>
      <c r="K288" s="73"/>
      <c r="L288" s="73"/>
      <c r="M288" s="73"/>
      <c r="N288" s="73"/>
    </row>
    <row r="289" spans="1:16" x14ac:dyDescent="0.3">
      <c r="A289" s="6">
        <v>15</v>
      </c>
      <c r="B289" s="8">
        <v>1999</v>
      </c>
      <c r="C289" s="73">
        <v>1996</v>
      </c>
      <c r="D289" s="73" t="s">
        <v>41</v>
      </c>
      <c r="E289" s="73" t="s">
        <v>136</v>
      </c>
      <c r="F289" s="74">
        <v>75811319</v>
      </c>
      <c r="G289" s="74">
        <v>58934193</v>
      </c>
      <c r="H289" s="73"/>
      <c r="I289" s="73"/>
      <c r="J289" s="73"/>
      <c r="K289" s="73"/>
      <c r="L289" s="73"/>
      <c r="M289" s="73"/>
      <c r="N289" s="73"/>
    </row>
    <row r="290" spans="1:16" x14ac:dyDescent="0.3">
      <c r="A290" s="6">
        <v>15</v>
      </c>
      <c r="B290" s="8">
        <v>1999</v>
      </c>
      <c r="C290" s="73">
        <v>1995</v>
      </c>
      <c r="D290" s="73" t="s">
        <v>41</v>
      </c>
      <c r="E290" s="73" t="s">
        <v>136</v>
      </c>
      <c r="F290" s="74">
        <v>56127687</v>
      </c>
      <c r="G290" s="74">
        <v>54365662</v>
      </c>
      <c r="H290" s="73"/>
      <c r="I290" s="73"/>
      <c r="J290" s="73"/>
      <c r="K290" s="73"/>
      <c r="L290" s="73"/>
      <c r="M290" s="73"/>
      <c r="N290" s="73"/>
    </row>
    <row r="291" spans="1:16" x14ac:dyDescent="0.3">
      <c r="A291" s="14">
        <v>15</v>
      </c>
      <c r="B291" s="29">
        <v>1999</v>
      </c>
      <c r="C291" s="4">
        <v>1994</v>
      </c>
      <c r="D291" s="4" t="s">
        <v>41</v>
      </c>
      <c r="E291" s="4" t="s">
        <v>136</v>
      </c>
      <c r="F291" s="5">
        <v>62746519</v>
      </c>
      <c r="G291" s="5">
        <v>45364197</v>
      </c>
      <c r="H291" s="4"/>
      <c r="I291" s="4"/>
      <c r="J291" s="4"/>
      <c r="K291" s="4"/>
      <c r="L291" s="4"/>
      <c r="M291" s="4"/>
      <c r="N291" s="4"/>
      <c r="O291" s="87"/>
      <c r="P291" s="87"/>
    </row>
    <row r="292" spans="1:16" x14ac:dyDescent="0.3">
      <c r="A292" s="73">
        <v>14</v>
      </c>
      <c r="B292" s="73">
        <v>1999</v>
      </c>
      <c r="C292" s="73">
        <v>1999</v>
      </c>
      <c r="D292" s="73" t="s">
        <v>137</v>
      </c>
      <c r="E292" s="73" t="s">
        <v>138</v>
      </c>
      <c r="F292" s="74">
        <v>9048236</v>
      </c>
      <c r="G292" s="74">
        <v>34573110</v>
      </c>
      <c r="H292" s="13">
        <f>AVERAGE(F293:F297)</f>
        <v>10322470.4</v>
      </c>
      <c r="I292" s="13">
        <f>AVERAGE(G293:G297)</f>
        <v>34794991.799999997</v>
      </c>
      <c r="J292" s="19">
        <f>F292/H292</f>
        <v>0.87655722413115367</v>
      </c>
      <c r="K292" s="19">
        <f>G292/I292</f>
        <v>0.99362316849288645</v>
      </c>
      <c r="L292" s="20">
        <f>K292-1</f>
        <v>-6.3768315071135451E-3</v>
      </c>
      <c r="M292" s="21">
        <f>I292-G292</f>
        <v>221881.79999999702</v>
      </c>
      <c r="N292" s="2">
        <f>M292*1.57</f>
        <v>348354.42599999532</v>
      </c>
      <c r="O292" s="85" t="s">
        <v>31</v>
      </c>
      <c r="P292" s="85" t="s">
        <v>58</v>
      </c>
    </row>
    <row r="293" spans="1:16" x14ac:dyDescent="0.3">
      <c r="A293" s="73">
        <v>14</v>
      </c>
      <c r="B293" s="73">
        <v>1999</v>
      </c>
      <c r="C293" s="73">
        <v>1998</v>
      </c>
      <c r="D293" s="73" t="s">
        <v>137</v>
      </c>
      <c r="E293" s="73" t="s">
        <v>138</v>
      </c>
      <c r="F293" s="74">
        <v>11612113</v>
      </c>
      <c r="G293" s="74">
        <v>39777472</v>
      </c>
      <c r="H293" s="73"/>
      <c r="I293" s="73"/>
      <c r="J293" s="73"/>
      <c r="K293" s="73"/>
      <c r="L293" s="73"/>
      <c r="M293" s="73"/>
      <c r="N293" s="73"/>
    </row>
    <row r="294" spans="1:16" x14ac:dyDescent="0.3">
      <c r="A294" s="73">
        <v>14</v>
      </c>
      <c r="B294" s="73">
        <v>1999</v>
      </c>
      <c r="C294" s="73">
        <v>1997</v>
      </c>
      <c r="D294" s="73" t="s">
        <v>137</v>
      </c>
      <c r="E294" s="73" t="s">
        <v>138</v>
      </c>
      <c r="F294" s="74">
        <v>12346446</v>
      </c>
      <c r="G294" s="74">
        <v>42178243</v>
      </c>
      <c r="H294" s="73"/>
      <c r="I294" s="73"/>
      <c r="J294" s="73"/>
      <c r="K294" s="73"/>
      <c r="L294" s="73"/>
      <c r="M294" s="73"/>
      <c r="N294" s="73"/>
    </row>
    <row r="295" spans="1:16" x14ac:dyDescent="0.3">
      <c r="A295" s="73">
        <v>14</v>
      </c>
      <c r="B295" s="73">
        <v>1999</v>
      </c>
      <c r="C295" s="73">
        <v>1996</v>
      </c>
      <c r="D295" s="73" t="s">
        <v>137</v>
      </c>
      <c r="E295" s="73" t="s">
        <v>138</v>
      </c>
      <c r="F295" s="74">
        <v>12297202</v>
      </c>
      <c r="G295" s="74">
        <v>42745821</v>
      </c>
      <c r="H295" s="73"/>
      <c r="I295" s="73"/>
      <c r="J295" s="73"/>
      <c r="K295" s="73"/>
      <c r="L295" s="73"/>
      <c r="M295" s="73"/>
      <c r="N295" s="73"/>
    </row>
    <row r="296" spans="1:16" x14ac:dyDescent="0.3">
      <c r="A296" s="73">
        <v>14</v>
      </c>
      <c r="B296" s="73">
        <v>1999</v>
      </c>
      <c r="C296" s="73">
        <v>1995</v>
      </c>
      <c r="D296" s="73" t="s">
        <v>137</v>
      </c>
      <c r="E296" s="73" t="s">
        <v>138</v>
      </c>
      <c r="F296" s="74">
        <v>9189957</v>
      </c>
      <c r="G296" s="74">
        <v>30157223</v>
      </c>
      <c r="H296" s="73"/>
      <c r="I296" s="73"/>
      <c r="J296" s="73"/>
      <c r="K296" s="73"/>
      <c r="L296" s="73"/>
      <c r="M296" s="73"/>
      <c r="N296" s="73"/>
    </row>
    <row r="297" spans="1:16" x14ac:dyDescent="0.3">
      <c r="A297" s="4">
        <v>14</v>
      </c>
      <c r="B297" s="4">
        <v>1999</v>
      </c>
      <c r="C297" s="4">
        <v>1994</v>
      </c>
      <c r="D297" s="4" t="s">
        <v>137</v>
      </c>
      <c r="E297" s="4" t="s">
        <v>138</v>
      </c>
      <c r="F297" s="5">
        <v>6166634</v>
      </c>
      <c r="G297" s="5">
        <v>19116200</v>
      </c>
      <c r="H297" s="4"/>
      <c r="I297" s="4"/>
      <c r="J297" s="4"/>
      <c r="K297" s="4"/>
      <c r="L297" s="4"/>
      <c r="M297" s="4"/>
      <c r="N297" s="4"/>
      <c r="O297" s="87"/>
      <c r="P297" s="87"/>
    </row>
    <row r="298" spans="1:16" ht="57.6" x14ac:dyDescent="0.3">
      <c r="A298" s="16">
        <v>13</v>
      </c>
      <c r="B298" s="73">
        <v>1999</v>
      </c>
      <c r="C298" s="73">
        <v>1999</v>
      </c>
      <c r="D298" s="16" t="s">
        <v>139</v>
      </c>
      <c r="E298" s="16" t="s">
        <v>140</v>
      </c>
      <c r="F298" s="13">
        <v>618084911.78999996</v>
      </c>
      <c r="G298" s="40">
        <v>87321808</v>
      </c>
      <c r="H298" s="13">
        <f>AVERAGE(F299:F303)</f>
        <v>459797637.24479997</v>
      </c>
      <c r="I298" s="13">
        <f>AVERAGE(G299:G303)</f>
        <v>97939412</v>
      </c>
      <c r="J298" s="19">
        <f>F298/H298</f>
        <v>1.3442542147317007</v>
      </c>
      <c r="K298" s="19">
        <f>G298/I298</f>
        <v>0.89159007815975044</v>
      </c>
      <c r="L298" s="20">
        <f>K298-1</f>
        <v>-0.10840992184024956</v>
      </c>
      <c r="M298" s="21">
        <f>I298-G298</f>
        <v>10617604</v>
      </c>
      <c r="N298" s="2">
        <f>M298*1.57</f>
        <v>16669638.280000001</v>
      </c>
      <c r="O298" s="85" t="s">
        <v>39</v>
      </c>
      <c r="P298" s="85" t="s">
        <v>141</v>
      </c>
    </row>
    <row r="299" spans="1:16" x14ac:dyDescent="0.3">
      <c r="A299" s="16">
        <v>13</v>
      </c>
      <c r="B299" s="73">
        <v>1999</v>
      </c>
      <c r="C299" s="73">
        <v>1998</v>
      </c>
      <c r="D299" s="16" t="s">
        <v>139</v>
      </c>
      <c r="E299" s="16" t="s">
        <v>140</v>
      </c>
      <c r="F299" s="13">
        <v>616451065.96500003</v>
      </c>
      <c r="G299" s="13">
        <v>71766172</v>
      </c>
      <c r="H299" s="12"/>
      <c r="I299" s="12"/>
      <c r="J299" s="12"/>
      <c r="K299" s="12"/>
      <c r="L299" s="12"/>
      <c r="M299" s="12"/>
      <c r="N299" s="12"/>
    </row>
    <row r="300" spans="1:16" x14ac:dyDescent="0.3">
      <c r="A300" s="16">
        <v>13</v>
      </c>
      <c r="B300" s="73">
        <v>1999</v>
      </c>
      <c r="C300" s="73">
        <v>1997</v>
      </c>
      <c r="D300" s="16" t="s">
        <v>139</v>
      </c>
      <c r="E300" s="16" t="s">
        <v>140</v>
      </c>
      <c r="F300" s="13">
        <v>665544704.79999995</v>
      </c>
      <c r="G300" s="13">
        <v>114545889</v>
      </c>
      <c r="H300" s="12"/>
      <c r="I300" s="12"/>
      <c r="J300" s="12"/>
      <c r="K300" s="12"/>
      <c r="L300" s="12"/>
      <c r="M300" s="12"/>
      <c r="N300" s="12"/>
    </row>
    <row r="301" spans="1:16" x14ac:dyDescent="0.3">
      <c r="A301" s="16">
        <v>13</v>
      </c>
      <c r="B301" s="73">
        <v>1999</v>
      </c>
      <c r="C301" s="73">
        <v>1996</v>
      </c>
      <c r="D301" s="16" t="s">
        <v>139</v>
      </c>
      <c r="E301" s="16" t="s">
        <v>140</v>
      </c>
      <c r="F301" s="13">
        <v>356891805.74199998</v>
      </c>
      <c r="G301" s="13">
        <v>104240480</v>
      </c>
      <c r="H301" s="12"/>
      <c r="I301" s="12"/>
      <c r="J301" s="12"/>
      <c r="K301" s="12"/>
      <c r="L301" s="12"/>
      <c r="M301" s="12"/>
      <c r="N301" s="12"/>
    </row>
    <row r="302" spans="1:16" x14ac:dyDescent="0.3">
      <c r="A302" s="16">
        <v>13</v>
      </c>
      <c r="B302" s="73">
        <v>1999</v>
      </c>
      <c r="C302" s="73">
        <v>1995</v>
      </c>
      <c r="D302" s="16" t="s">
        <v>139</v>
      </c>
      <c r="E302" s="16" t="s">
        <v>140</v>
      </c>
      <c r="F302" s="13">
        <v>324630460.60500002</v>
      </c>
      <c r="G302" s="13">
        <v>108502544</v>
      </c>
      <c r="H302" s="12"/>
      <c r="I302" s="12"/>
      <c r="J302" s="12"/>
      <c r="K302" s="12"/>
      <c r="L302" s="12"/>
      <c r="M302" s="12"/>
      <c r="N302" s="12"/>
    </row>
    <row r="303" spans="1:16" x14ac:dyDescent="0.3">
      <c r="A303" s="17">
        <v>13</v>
      </c>
      <c r="B303" s="4">
        <v>1999</v>
      </c>
      <c r="C303" s="4">
        <v>1994</v>
      </c>
      <c r="D303" s="17" t="s">
        <v>139</v>
      </c>
      <c r="E303" s="17" t="s">
        <v>140</v>
      </c>
      <c r="F303" s="5">
        <v>335470149.11199999</v>
      </c>
      <c r="G303" s="5">
        <v>90641975</v>
      </c>
      <c r="H303" s="4"/>
      <c r="I303" s="4"/>
      <c r="J303" s="4"/>
      <c r="K303" s="4"/>
      <c r="L303" s="4"/>
      <c r="M303" s="4"/>
      <c r="N303" s="4"/>
      <c r="O303" s="87"/>
      <c r="P303" s="87"/>
    </row>
    <row r="304" spans="1:16" ht="45" customHeight="1" x14ac:dyDescent="0.3">
      <c r="A304" s="73">
        <v>12</v>
      </c>
      <c r="B304" s="73">
        <v>1998</v>
      </c>
      <c r="C304" s="73">
        <v>1998</v>
      </c>
      <c r="D304" s="73" t="s">
        <v>45</v>
      </c>
      <c r="E304" s="73" t="s">
        <v>142</v>
      </c>
      <c r="F304" s="73">
        <v>6658034</v>
      </c>
      <c r="G304" s="102">
        <v>29464741</v>
      </c>
      <c r="H304" s="13">
        <f>AVERAGE(F305:F309)</f>
        <v>7396537.5999999996</v>
      </c>
      <c r="I304" s="13">
        <f>AVERAGE(G305:G309)</f>
        <v>32917031.600000001</v>
      </c>
      <c r="J304" s="19">
        <f>F304/H304</f>
        <v>0.90015549978411524</v>
      </c>
      <c r="K304" s="19">
        <f>G304/I304</f>
        <v>0.89512144831431273</v>
      </c>
      <c r="L304" s="20">
        <f>K304-1</f>
        <v>-0.10487855168568727</v>
      </c>
      <c r="M304" s="21">
        <f>I304-G304</f>
        <v>3452290.6000000015</v>
      </c>
      <c r="N304" s="2">
        <f>M304*1.59</f>
        <v>5489142.0540000023</v>
      </c>
      <c r="O304" s="85" t="s">
        <v>31</v>
      </c>
      <c r="P304" s="85" t="s">
        <v>46</v>
      </c>
    </row>
    <row r="305" spans="1:16" x14ac:dyDescent="0.3">
      <c r="A305" s="73">
        <v>12</v>
      </c>
      <c r="B305" s="73">
        <v>1998</v>
      </c>
      <c r="C305" s="73">
        <v>1997</v>
      </c>
      <c r="D305" s="73" t="s">
        <v>45</v>
      </c>
      <c r="E305" s="73" t="s">
        <v>142</v>
      </c>
      <c r="F305" s="74">
        <v>7890347</v>
      </c>
      <c r="G305" s="74">
        <v>36816637</v>
      </c>
      <c r="H305" s="73"/>
      <c r="I305" s="73"/>
      <c r="J305" s="73"/>
      <c r="K305" s="73"/>
      <c r="L305" s="73"/>
      <c r="M305" s="73"/>
      <c r="N305" s="73"/>
    </row>
    <row r="306" spans="1:16" x14ac:dyDescent="0.3">
      <c r="A306" s="73">
        <v>12</v>
      </c>
      <c r="B306" s="73">
        <v>1998</v>
      </c>
      <c r="C306" s="73">
        <v>1996</v>
      </c>
      <c r="D306" s="73" t="s">
        <v>45</v>
      </c>
      <c r="E306" s="73" t="s">
        <v>142</v>
      </c>
      <c r="F306" s="74">
        <v>8313328</v>
      </c>
      <c r="G306" s="74">
        <v>35363173</v>
      </c>
      <c r="H306" s="73"/>
      <c r="I306" s="73"/>
      <c r="J306" s="73"/>
      <c r="K306" s="73"/>
      <c r="L306" s="73"/>
      <c r="M306" s="73"/>
      <c r="N306" s="73"/>
    </row>
    <row r="307" spans="1:16" x14ac:dyDescent="0.3">
      <c r="A307" s="73">
        <v>12</v>
      </c>
      <c r="B307" s="73">
        <v>1998</v>
      </c>
      <c r="C307" s="73">
        <v>1995</v>
      </c>
      <c r="D307" s="73" t="s">
        <v>45</v>
      </c>
      <c r="E307" s="73" t="s">
        <v>142</v>
      </c>
      <c r="F307" s="74">
        <v>7425540</v>
      </c>
      <c r="G307" s="74">
        <v>35706715</v>
      </c>
      <c r="H307" s="73"/>
      <c r="I307" s="73"/>
      <c r="J307" s="73"/>
      <c r="K307" s="73"/>
      <c r="L307" s="73"/>
      <c r="M307" s="73"/>
      <c r="N307" s="73"/>
    </row>
    <row r="308" spans="1:16" x14ac:dyDescent="0.3">
      <c r="A308" s="73">
        <v>12</v>
      </c>
      <c r="B308" s="73">
        <v>1998</v>
      </c>
      <c r="C308" s="73">
        <v>1994</v>
      </c>
      <c r="D308" s="73" t="s">
        <v>45</v>
      </c>
      <c r="E308" s="73" t="s">
        <v>142</v>
      </c>
      <c r="F308" s="74">
        <v>7594211</v>
      </c>
      <c r="G308" s="74">
        <v>34648350</v>
      </c>
      <c r="H308" s="73"/>
      <c r="I308" s="73"/>
      <c r="J308" s="73"/>
      <c r="K308" s="73"/>
      <c r="L308" s="73"/>
      <c r="M308" s="73"/>
      <c r="N308" s="73"/>
    </row>
    <row r="309" spans="1:16" x14ac:dyDescent="0.3">
      <c r="A309" s="4">
        <v>12</v>
      </c>
      <c r="B309" s="4">
        <v>1998</v>
      </c>
      <c r="C309" s="4">
        <v>1993</v>
      </c>
      <c r="D309" s="4" t="s">
        <v>45</v>
      </c>
      <c r="E309" s="4" t="s">
        <v>142</v>
      </c>
      <c r="F309" s="5">
        <v>5759262</v>
      </c>
      <c r="G309" s="5">
        <v>22050283</v>
      </c>
      <c r="H309" s="4"/>
      <c r="I309" s="4"/>
      <c r="J309" s="4"/>
      <c r="K309" s="4"/>
      <c r="L309" s="4"/>
      <c r="M309" s="4"/>
      <c r="N309" s="4"/>
      <c r="O309" s="87"/>
      <c r="P309" s="87"/>
    </row>
    <row r="310" spans="1:16" x14ac:dyDescent="0.3">
      <c r="A310" s="31">
        <v>11</v>
      </c>
      <c r="B310" s="73">
        <v>1998</v>
      </c>
      <c r="C310" s="73">
        <v>1998</v>
      </c>
      <c r="D310" s="73" t="s">
        <v>50</v>
      </c>
      <c r="E310" s="73" t="s">
        <v>100</v>
      </c>
      <c r="F310" s="74">
        <v>69631243</v>
      </c>
      <c r="G310" s="74">
        <v>74824285</v>
      </c>
      <c r="H310" s="13">
        <f>AVERAGE(F311:F315)</f>
        <v>208130768.59999999</v>
      </c>
      <c r="I310" s="13">
        <f>AVERAGE(G311:G315)</f>
        <v>164892596.80000001</v>
      </c>
      <c r="J310" s="19">
        <f>F310/H310</f>
        <v>0.33455525806384784</v>
      </c>
      <c r="K310" s="19">
        <f>G310/I310</f>
        <v>0.45377589080457731</v>
      </c>
      <c r="L310" s="20">
        <f>K310-1</f>
        <v>-0.54622410919542275</v>
      </c>
      <c r="M310" s="21">
        <f>I310-G310</f>
        <v>90068311.800000012</v>
      </c>
      <c r="N310" s="2">
        <f>M310*1.59</f>
        <v>143208615.76200002</v>
      </c>
      <c r="O310" s="85" t="s">
        <v>31</v>
      </c>
      <c r="P310" s="85" t="s">
        <v>131</v>
      </c>
    </row>
    <row r="311" spans="1:16" x14ac:dyDescent="0.3">
      <c r="A311" s="31">
        <v>11</v>
      </c>
      <c r="B311" s="73">
        <v>1998</v>
      </c>
      <c r="C311" s="73">
        <v>1997</v>
      </c>
      <c r="D311" s="73" t="s">
        <v>50</v>
      </c>
      <c r="E311" s="73" t="s">
        <v>100</v>
      </c>
      <c r="F311" s="74">
        <v>82850770</v>
      </c>
      <c r="G311" s="74">
        <v>75761972</v>
      </c>
      <c r="H311" s="73"/>
      <c r="I311" s="73"/>
      <c r="J311" s="73"/>
      <c r="K311" s="73"/>
      <c r="L311" s="73"/>
      <c r="M311" s="73"/>
      <c r="N311" s="73"/>
    </row>
    <row r="312" spans="1:16" x14ac:dyDescent="0.3">
      <c r="A312" s="31">
        <v>11</v>
      </c>
      <c r="B312" s="73">
        <v>1998</v>
      </c>
      <c r="C312" s="73">
        <v>1996</v>
      </c>
      <c r="D312" s="73" t="s">
        <v>50</v>
      </c>
      <c r="E312" s="73" t="s">
        <v>100</v>
      </c>
      <c r="F312" s="74">
        <v>209479508</v>
      </c>
      <c r="G312" s="74">
        <v>158616936</v>
      </c>
      <c r="H312" s="73"/>
      <c r="I312" s="73"/>
      <c r="J312" s="73"/>
      <c r="K312" s="73"/>
      <c r="L312" s="73"/>
      <c r="M312" s="73"/>
      <c r="N312" s="73"/>
    </row>
    <row r="313" spans="1:16" x14ac:dyDescent="0.3">
      <c r="A313" s="31">
        <v>11</v>
      </c>
      <c r="B313" s="73">
        <v>1998</v>
      </c>
      <c r="C313" s="73">
        <v>1995</v>
      </c>
      <c r="D313" s="73" t="s">
        <v>50</v>
      </c>
      <c r="E313" s="73" t="s">
        <v>100</v>
      </c>
      <c r="F313" s="74">
        <v>269387584</v>
      </c>
      <c r="G313" s="74">
        <v>206529802</v>
      </c>
      <c r="H313" s="73"/>
      <c r="I313" s="73"/>
      <c r="J313" s="73"/>
      <c r="K313" s="73"/>
      <c r="L313" s="73"/>
      <c r="M313" s="73"/>
      <c r="N313" s="73"/>
    </row>
    <row r="314" spans="1:16" x14ac:dyDescent="0.3">
      <c r="A314" s="31">
        <v>11</v>
      </c>
      <c r="B314" s="73">
        <v>1998</v>
      </c>
      <c r="C314" s="73">
        <v>1994</v>
      </c>
      <c r="D314" s="73" t="s">
        <v>50</v>
      </c>
      <c r="E314" s="73" t="s">
        <v>100</v>
      </c>
      <c r="F314" s="74">
        <v>218490624</v>
      </c>
      <c r="G314" s="74">
        <v>206862379</v>
      </c>
      <c r="H314" s="73"/>
      <c r="I314" s="73"/>
      <c r="J314" s="73"/>
      <c r="K314" s="73"/>
      <c r="L314" s="73"/>
      <c r="M314" s="73"/>
      <c r="N314" s="73"/>
    </row>
    <row r="315" spans="1:16" x14ac:dyDescent="0.3">
      <c r="A315" s="32">
        <v>11</v>
      </c>
      <c r="B315" s="4">
        <v>1998</v>
      </c>
      <c r="C315" s="4">
        <v>1993</v>
      </c>
      <c r="D315" s="4" t="s">
        <v>50</v>
      </c>
      <c r="E315" s="4" t="s">
        <v>100</v>
      </c>
      <c r="F315" s="5">
        <v>260445357</v>
      </c>
      <c r="G315" s="5">
        <v>176691895</v>
      </c>
      <c r="H315" s="4"/>
      <c r="I315" s="4"/>
      <c r="J315" s="4"/>
      <c r="K315" s="4"/>
      <c r="L315" s="4"/>
      <c r="M315" s="4"/>
      <c r="N315" s="4"/>
      <c r="O315" s="87"/>
      <c r="P315" s="87"/>
    </row>
    <row r="316" spans="1:16" x14ac:dyDescent="0.3">
      <c r="A316" s="31">
        <v>10</v>
      </c>
      <c r="B316" s="73">
        <v>1998</v>
      </c>
      <c r="C316" s="73">
        <v>1998</v>
      </c>
      <c r="D316" s="73" t="s">
        <v>115</v>
      </c>
      <c r="E316" s="73" t="s">
        <v>116</v>
      </c>
      <c r="F316" s="74">
        <v>17568014</v>
      </c>
      <c r="G316" s="74">
        <v>14199816</v>
      </c>
      <c r="H316" s="13">
        <f>AVERAGE(F317:F321)</f>
        <v>32718907.600000001</v>
      </c>
      <c r="I316" s="13">
        <f>AVERAGE(G317:G321)</f>
        <v>26691645.800000001</v>
      </c>
      <c r="J316" s="19">
        <f>F316/H316</f>
        <v>0.53693766964273582</v>
      </c>
      <c r="K316" s="19">
        <f>G316/I316</f>
        <v>0.53199477118791971</v>
      </c>
      <c r="L316" s="20">
        <f>K316-1</f>
        <v>-0.46800522881208029</v>
      </c>
      <c r="M316" s="21">
        <f>I316-G316</f>
        <v>12491829.800000001</v>
      </c>
      <c r="N316" s="2">
        <f>M316*1.59</f>
        <v>19862009.382000003</v>
      </c>
      <c r="O316" s="85" t="s">
        <v>31</v>
      </c>
      <c r="P316" s="85" t="s">
        <v>58</v>
      </c>
    </row>
    <row r="317" spans="1:16" x14ac:dyDescent="0.3">
      <c r="A317" s="31">
        <v>10</v>
      </c>
      <c r="B317" s="73">
        <v>1998</v>
      </c>
      <c r="C317" s="73">
        <v>1997</v>
      </c>
      <c r="D317" s="73" t="s">
        <v>115</v>
      </c>
      <c r="E317" s="73" t="s">
        <v>116</v>
      </c>
      <c r="F317" s="74">
        <v>30932343</v>
      </c>
      <c r="G317" s="74">
        <v>23568460</v>
      </c>
      <c r="H317" s="73"/>
      <c r="I317" s="73"/>
      <c r="J317" s="73"/>
      <c r="K317" s="73"/>
      <c r="L317" s="73"/>
      <c r="M317" s="73"/>
      <c r="N317" s="73"/>
    </row>
    <row r="318" spans="1:16" x14ac:dyDescent="0.3">
      <c r="A318" s="31">
        <v>10</v>
      </c>
      <c r="B318" s="73">
        <v>1998</v>
      </c>
      <c r="C318" s="73">
        <v>1996</v>
      </c>
      <c r="D318" s="73" t="s">
        <v>115</v>
      </c>
      <c r="E318" s="73" t="s">
        <v>116</v>
      </c>
      <c r="F318" s="74">
        <v>21969939</v>
      </c>
      <c r="G318" s="74">
        <v>17534922</v>
      </c>
      <c r="H318" s="73"/>
      <c r="I318" s="73"/>
      <c r="J318" s="73"/>
      <c r="K318" s="73"/>
      <c r="L318" s="73"/>
      <c r="M318" s="73"/>
      <c r="N318" s="73"/>
    </row>
    <row r="319" spans="1:16" x14ac:dyDescent="0.3">
      <c r="A319" s="31">
        <v>10</v>
      </c>
      <c r="B319" s="73">
        <v>1998</v>
      </c>
      <c r="C319" s="73">
        <v>1995</v>
      </c>
      <c r="D319" s="73" t="s">
        <v>115</v>
      </c>
      <c r="E319" s="73" t="s">
        <v>116</v>
      </c>
      <c r="F319" s="74">
        <v>35281970</v>
      </c>
      <c r="G319" s="74">
        <v>25845982</v>
      </c>
      <c r="H319" s="73"/>
      <c r="I319" s="73"/>
      <c r="J319" s="73"/>
      <c r="K319" s="73"/>
      <c r="L319" s="73"/>
      <c r="M319" s="73"/>
      <c r="N319" s="73"/>
    </row>
    <row r="320" spans="1:16" x14ac:dyDescent="0.3">
      <c r="A320" s="31">
        <v>10</v>
      </c>
      <c r="B320" s="73">
        <v>1998</v>
      </c>
      <c r="C320" s="73">
        <v>1994</v>
      </c>
      <c r="D320" s="73" t="s">
        <v>115</v>
      </c>
      <c r="E320" s="73" t="s">
        <v>116</v>
      </c>
      <c r="F320" s="74">
        <v>33926060</v>
      </c>
      <c r="G320" s="74">
        <v>33067131</v>
      </c>
      <c r="H320" s="73"/>
      <c r="I320" s="73"/>
      <c r="J320" s="73"/>
      <c r="K320" s="73"/>
      <c r="L320" s="73"/>
      <c r="M320" s="73"/>
      <c r="N320" s="73"/>
    </row>
    <row r="321" spans="1:16" x14ac:dyDescent="0.3">
      <c r="A321" s="32">
        <v>10</v>
      </c>
      <c r="B321" s="4">
        <v>1998</v>
      </c>
      <c r="C321" s="4">
        <v>1993</v>
      </c>
      <c r="D321" s="4" t="s">
        <v>115</v>
      </c>
      <c r="E321" s="4" t="s">
        <v>116</v>
      </c>
      <c r="F321" s="5">
        <v>41484226</v>
      </c>
      <c r="G321" s="5">
        <v>33441734</v>
      </c>
      <c r="H321" s="4"/>
      <c r="I321" s="4"/>
      <c r="J321" s="4"/>
      <c r="K321" s="4"/>
      <c r="L321" s="4"/>
      <c r="M321" s="4"/>
      <c r="N321" s="4"/>
      <c r="O321" s="92"/>
      <c r="P321" s="92"/>
    </row>
    <row r="322" spans="1:16" x14ac:dyDescent="0.3">
      <c r="A322" s="6">
        <v>9</v>
      </c>
      <c r="B322" s="73">
        <v>1997</v>
      </c>
      <c r="C322" s="73">
        <v>1997</v>
      </c>
      <c r="D322" s="73" t="s">
        <v>143</v>
      </c>
      <c r="E322" s="73" t="s">
        <v>144</v>
      </c>
      <c r="F322" s="74">
        <v>62988716</v>
      </c>
      <c r="G322" s="74">
        <v>112481181</v>
      </c>
      <c r="H322" s="13">
        <f>AVERAGE(F323:F327)</f>
        <v>58907565.200000003</v>
      </c>
      <c r="I322" s="13">
        <f>AVERAGE(G323:G327)</f>
        <v>84528035.400000006</v>
      </c>
      <c r="J322" s="19">
        <f>F322/H322</f>
        <v>1.0692805887689276</v>
      </c>
      <c r="K322" s="19">
        <f>G322/I322</f>
        <v>1.3306967382800428</v>
      </c>
      <c r="L322" s="20">
        <f>K322-1</f>
        <v>0.33069673828004276</v>
      </c>
      <c r="M322" s="21">
        <f>I322-G322</f>
        <v>-27953145.599999994</v>
      </c>
      <c r="N322" s="2">
        <f>M322*1.62</f>
        <v>-45284095.871999994</v>
      </c>
      <c r="O322" s="85" t="s">
        <v>31</v>
      </c>
      <c r="P322" s="85" t="s">
        <v>58</v>
      </c>
    </row>
    <row r="323" spans="1:16" x14ac:dyDescent="0.3">
      <c r="A323" s="6">
        <v>9</v>
      </c>
      <c r="B323" s="73">
        <v>1997</v>
      </c>
      <c r="C323" s="73">
        <v>1996</v>
      </c>
      <c r="D323" s="73" t="s">
        <v>143</v>
      </c>
      <c r="E323" s="73" t="s">
        <v>144</v>
      </c>
      <c r="F323" s="74">
        <v>67795221</v>
      </c>
      <c r="G323" s="74">
        <v>89748532</v>
      </c>
      <c r="H323" s="73"/>
      <c r="I323" s="73"/>
      <c r="J323" s="73"/>
      <c r="K323" s="73"/>
      <c r="L323" s="73"/>
      <c r="M323" s="73"/>
      <c r="N323" s="73"/>
    </row>
    <row r="324" spans="1:16" x14ac:dyDescent="0.3">
      <c r="A324" s="6">
        <v>9</v>
      </c>
      <c r="B324" s="73">
        <v>1997</v>
      </c>
      <c r="C324" s="73">
        <v>1995</v>
      </c>
      <c r="D324" s="73" t="s">
        <v>143</v>
      </c>
      <c r="E324" s="73" t="s">
        <v>144</v>
      </c>
      <c r="F324" s="74">
        <v>66588255</v>
      </c>
      <c r="G324" s="74">
        <v>93430317</v>
      </c>
      <c r="H324" s="73"/>
      <c r="I324" s="73"/>
      <c r="J324" s="73"/>
      <c r="K324" s="73"/>
      <c r="L324" s="73"/>
      <c r="M324" s="73"/>
      <c r="N324" s="73"/>
    </row>
    <row r="325" spans="1:16" x14ac:dyDescent="0.3">
      <c r="A325" s="6">
        <v>9</v>
      </c>
      <c r="B325" s="73">
        <v>1997</v>
      </c>
      <c r="C325" s="73">
        <v>1994</v>
      </c>
      <c r="D325" s="73" t="s">
        <v>143</v>
      </c>
      <c r="E325" s="73" t="s">
        <v>144</v>
      </c>
      <c r="F325" s="74">
        <v>47927182</v>
      </c>
      <c r="G325" s="74">
        <v>86603523</v>
      </c>
      <c r="H325" s="73"/>
      <c r="I325" s="73"/>
      <c r="J325" s="73"/>
      <c r="K325" s="73"/>
      <c r="L325" s="73"/>
      <c r="M325" s="73"/>
      <c r="N325" s="73"/>
    </row>
    <row r="326" spans="1:16" x14ac:dyDescent="0.3">
      <c r="A326" s="6">
        <v>9</v>
      </c>
      <c r="B326" s="73">
        <v>1997</v>
      </c>
      <c r="C326" s="73">
        <v>1993</v>
      </c>
      <c r="D326" s="73" t="s">
        <v>143</v>
      </c>
      <c r="E326" s="73" t="s">
        <v>144</v>
      </c>
      <c r="F326" s="73">
        <v>57188435</v>
      </c>
      <c r="G326" s="73">
        <v>68390580</v>
      </c>
      <c r="H326" s="73"/>
      <c r="I326" s="73"/>
      <c r="J326" s="73"/>
      <c r="K326" s="73"/>
      <c r="L326" s="73"/>
      <c r="M326" s="73"/>
      <c r="N326" s="73"/>
    </row>
    <row r="327" spans="1:16" x14ac:dyDescent="0.3">
      <c r="A327" s="14">
        <v>9</v>
      </c>
      <c r="B327" s="4">
        <v>1997</v>
      </c>
      <c r="C327" s="4">
        <v>1992</v>
      </c>
      <c r="D327" s="4" t="s">
        <v>143</v>
      </c>
      <c r="E327" s="4" t="s">
        <v>144</v>
      </c>
      <c r="F327" s="5">
        <v>55038733</v>
      </c>
      <c r="G327" s="5">
        <v>84467225</v>
      </c>
      <c r="H327" s="4"/>
      <c r="I327" s="4"/>
      <c r="J327" s="4"/>
      <c r="K327" s="4"/>
      <c r="L327" s="4"/>
      <c r="M327" s="4"/>
      <c r="N327" s="4"/>
      <c r="O327" s="87"/>
      <c r="P327" s="87"/>
    </row>
    <row r="328" spans="1:16" x14ac:dyDescent="0.3">
      <c r="A328" s="31">
        <v>7</v>
      </c>
      <c r="B328" s="73">
        <v>1997</v>
      </c>
      <c r="C328" s="73">
        <v>1997</v>
      </c>
      <c r="D328" s="73" t="s">
        <v>145</v>
      </c>
      <c r="E328" s="73" t="s">
        <v>100</v>
      </c>
      <c r="F328" s="74">
        <v>79180546</v>
      </c>
      <c r="G328" s="74">
        <v>69893371</v>
      </c>
      <c r="H328" s="13">
        <f>AVERAGE(F329:F333)</f>
        <v>229119949.19999999</v>
      </c>
      <c r="I328" s="13">
        <f>AVERAGE(G329:G333)</f>
        <v>188447449.80000001</v>
      </c>
      <c r="J328" s="19">
        <f>F328/H328</f>
        <v>0.34558556021188225</v>
      </c>
      <c r="K328" s="19">
        <f>G328/I328</f>
        <v>0.37089051124957167</v>
      </c>
      <c r="L328" s="20">
        <f>K328-1</f>
        <v>-0.62910948875042827</v>
      </c>
      <c r="M328" s="21">
        <f>I328-G328</f>
        <v>118554078.80000001</v>
      </c>
      <c r="N328" s="2">
        <f>M328*1.62</f>
        <v>192057607.65600002</v>
      </c>
      <c r="O328" s="85" t="s">
        <v>31</v>
      </c>
      <c r="P328" s="85" t="s">
        <v>131</v>
      </c>
    </row>
    <row r="329" spans="1:16" x14ac:dyDescent="0.3">
      <c r="A329" s="31">
        <v>7</v>
      </c>
      <c r="B329" s="73">
        <v>1997</v>
      </c>
      <c r="C329" s="73">
        <v>1996</v>
      </c>
      <c r="D329" s="73" t="s">
        <v>145</v>
      </c>
      <c r="E329" s="73" t="s">
        <v>100</v>
      </c>
      <c r="F329" s="74">
        <v>205863188</v>
      </c>
      <c r="G329" s="74">
        <v>154778656</v>
      </c>
      <c r="H329" s="73"/>
      <c r="I329" s="73"/>
      <c r="J329" s="73"/>
      <c r="K329" s="73"/>
      <c r="L329" s="73"/>
      <c r="M329" s="73"/>
      <c r="N329" s="73"/>
    </row>
    <row r="330" spans="1:16" x14ac:dyDescent="0.3">
      <c r="A330" s="31">
        <v>7</v>
      </c>
      <c r="B330" s="73">
        <v>1997</v>
      </c>
      <c r="C330" s="73">
        <v>1995</v>
      </c>
      <c r="D330" s="73" t="s">
        <v>145</v>
      </c>
      <c r="E330" s="73" t="s">
        <v>100</v>
      </c>
      <c r="F330" s="74">
        <v>262906719</v>
      </c>
      <c r="G330" s="74">
        <v>200453826</v>
      </c>
      <c r="H330" s="73"/>
      <c r="I330" s="73"/>
      <c r="J330" s="73"/>
      <c r="K330" s="73"/>
      <c r="L330" s="73"/>
      <c r="M330" s="73"/>
      <c r="N330" s="73"/>
    </row>
    <row r="331" spans="1:16" x14ac:dyDescent="0.3">
      <c r="A331" s="31">
        <v>7</v>
      </c>
      <c r="B331" s="73">
        <v>1997</v>
      </c>
      <c r="C331" s="73">
        <v>1994</v>
      </c>
      <c r="D331" s="73" t="s">
        <v>145</v>
      </c>
      <c r="E331" s="73" t="s">
        <v>100</v>
      </c>
      <c r="F331" s="74">
        <v>215701896</v>
      </c>
      <c r="G331" s="74">
        <v>202252903</v>
      </c>
      <c r="H331" s="73"/>
      <c r="I331" s="73"/>
      <c r="J331" s="73"/>
      <c r="K331" s="73"/>
      <c r="L331" s="73"/>
      <c r="M331" s="73"/>
      <c r="N331" s="73"/>
    </row>
    <row r="332" spans="1:16" x14ac:dyDescent="0.3">
      <c r="A332" s="31">
        <v>7</v>
      </c>
      <c r="B332" s="73">
        <v>1997</v>
      </c>
      <c r="C332" s="73">
        <v>1993</v>
      </c>
      <c r="D332" s="73" t="s">
        <v>145</v>
      </c>
      <c r="E332" s="73" t="s">
        <v>100</v>
      </c>
      <c r="F332" s="74">
        <v>257633577</v>
      </c>
      <c r="G332" s="74">
        <v>171281050</v>
      </c>
      <c r="H332" s="73"/>
      <c r="I332" s="73"/>
      <c r="J332" s="73"/>
      <c r="K332" s="73"/>
      <c r="L332" s="73"/>
      <c r="M332" s="73"/>
      <c r="N332" s="73"/>
    </row>
    <row r="333" spans="1:16" x14ac:dyDescent="0.3">
      <c r="A333" s="32">
        <v>7</v>
      </c>
      <c r="B333" s="4">
        <v>1997</v>
      </c>
      <c r="C333" s="4">
        <v>1992</v>
      </c>
      <c r="D333" s="4" t="s">
        <v>145</v>
      </c>
      <c r="E333" s="4" t="s">
        <v>100</v>
      </c>
      <c r="F333" s="5">
        <v>203494366</v>
      </c>
      <c r="G333" s="5">
        <v>213470814</v>
      </c>
      <c r="H333" s="4"/>
      <c r="I333" s="4"/>
      <c r="J333" s="4"/>
      <c r="K333" s="4"/>
      <c r="L333" s="4"/>
      <c r="M333" s="4"/>
      <c r="N333" s="4"/>
      <c r="O333" s="87"/>
      <c r="P333" s="87"/>
    </row>
    <row r="334" spans="1:16" x14ac:dyDescent="0.3">
      <c r="A334" s="31">
        <v>6</v>
      </c>
      <c r="B334" s="73">
        <v>1995</v>
      </c>
      <c r="C334" s="73">
        <v>1995</v>
      </c>
      <c r="D334" s="73" t="s">
        <v>115</v>
      </c>
      <c r="E334" s="73" t="s">
        <v>100</v>
      </c>
      <c r="F334" s="74">
        <v>35281970</v>
      </c>
      <c r="G334" s="74">
        <v>25845982</v>
      </c>
      <c r="H334" s="13">
        <f>AVERAGE(F335:F339)</f>
        <v>42233636.399999999</v>
      </c>
      <c r="I334" s="13">
        <f>AVERAGE(G335:G339)</f>
        <v>43780522.399999999</v>
      </c>
      <c r="J334" s="19">
        <f>F334/H334</f>
        <v>0.83539976680767181</v>
      </c>
      <c r="K334" s="19">
        <f>G334/I334</f>
        <v>0.590353439912357</v>
      </c>
      <c r="L334" s="20">
        <f>K334-1</f>
        <v>-0.409646560087643</v>
      </c>
      <c r="M334" s="21">
        <f>I334-G334</f>
        <v>17934540.399999999</v>
      </c>
      <c r="N334" s="2">
        <f>M334*1.71</f>
        <v>30668064.083999995</v>
      </c>
      <c r="O334" s="85" t="s">
        <v>31</v>
      </c>
      <c r="P334" s="85" t="s">
        <v>58</v>
      </c>
    </row>
    <row r="335" spans="1:16" x14ac:dyDescent="0.3">
      <c r="A335" s="31">
        <v>6</v>
      </c>
      <c r="B335" s="73">
        <v>1995</v>
      </c>
      <c r="C335" s="73">
        <v>1994</v>
      </c>
      <c r="D335" s="73" t="s">
        <v>115</v>
      </c>
      <c r="E335" s="73" t="s">
        <v>100</v>
      </c>
      <c r="F335" s="74">
        <v>33926060</v>
      </c>
      <c r="G335" s="74">
        <v>33067131</v>
      </c>
      <c r="H335" s="73"/>
      <c r="I335" s="73"/>
      <c r="J335" s="73"/>
      <c r="K335" s="73"/>
      <c r="L335" s="73"/>
      <c r="M335" s="73"/>
      <c r="N335" s="73"/>
    </row>
    <row r="336" spans="1:16" x14ac:dyDescent="0.3">
      <c r="A336" s="31">
        <v>6</v>
      </c>
      <c r="B336" s="73">
        <v>1995</v>
      </c>
      <c r="C336" s="73">
        <v>1993</v>
      </c>
      <c r="D336" s="73" t="s">
        <v>115</v>
      </c>
      <c r="E336" s="73" t="s">
        <v>100</v>
      </c>
      <c r="F336" s="74">
        <v>41484226</v>
      </c>
      <c r="G336" s="74">
        <v>33441734</v>
      </c>
      <c r="H336" s="73"/>
      <c r="I336" s="73"/>
      <c r="J336" s="73"/>
      <c r="K336" s="73"/>
      <c r="L336" s="73"/>
      <c r="M336" s="73"/>
      <c r="N336" s="73"/>
    </row>
    <row r="337" spans="1:16" x14ac:dyDescent="0.3">
      <c r="A337" s="31">
        <v>6</v>
      </c>
      <c r="B337" s="73">
        <v>1995</v>
      </c>
      <c r="C337" s="73">
        <v>1992</v>
      </c>
      <c r="D337" s="73" t="s">
        <v>115</v>
      </c>
      <c r="E337" s="73" t="s">
        <v>100</v>
      </c>
      <c r="F337" s="74">
        <v>29621080</v>
      </c>
      <c r="G337" s="74">
        <v>30483631</v>
      </c>
      <c r="H337" s="73"/>
      <c r="I337" s="73"/>
      <c r="J337" s="73"/>
      <c r="K337" s="73"/>
      <c r="L337" s="73"/>
      <c r="M337" s="73"/>
      <c r="N337" s="73"/>
    </row>
    <row r="338" spans="1:16" x14ac:dyDescent="0.3">
      <c r="A338" s="31">
        <v>6</v>
      </c>
      <c r="B338" s="73">
        <v>1995</v>
      </c>
      <c r="C338" s="73">
        <v>1991</v>
      </c>
      <c r="D338" s="73" t="s">
        <v>115</v>
      </c>
      <c r="E338" s="73" t="s">
        <v>100</v>
      </c>
      <c r="F338" s="74">
        <v>55258418</v>
      </c>
      <c r="G338" s="74">
        <v>47347751</v>
      </c>
      <c r="H338" s="73"/>
      <c r="I338" s="73"/>
      <c r="J338" s="73"/>
      <c r="K338" s="73"/>
      <c r="L338" s="73"/>
      <c r="M338" s="73"/>
      <c r="N338" s="73"/>
    </row>
    <row r="339" spans="1:16" x14ac:dyDescent="0.3">
      <c r="A339" s="32">
        <v>6</v>
      </c>
      <c r="B339" s="4">
        <v>1995</v>
      </c>
      <c r="C339" s="4">
        <v>1990</v>
      </c>
      <c r="D339" s="4" t="s">
        <v>115</v>
      </c>
      <c r="E339" s="4" t="s">
        <v>100</v>
      </c>
      <c r="F339" s="5">
        <v>50878398</v>
      </c>
      <c r="G339" s="5">
        <v>74562365</v>
      </c>
      <c r="H339" s="4"/>
      <c r="I339" s="4"/>
      <c r="J339" s="4"/>
      <c r="K339" s="4"/>
      <c r="L339" s="4"/>
      <c r="M339" s="4"/>
      <c r="N339" s="4"/>
      <c r="O339" s="87"/>
      <c r="P339" s="87"/>
    </row>
    <row r="340" spans="1:16" ht="28.8" x14ac:dyDescent="0.3">
      <c r="A340" s="31">
        <v>5</v>
      </c>
      <c r="B340" s="73">
        <v>1995</v>
      </c>
      <c r="C340" s="73">
        <v>1995</v>
      </c>
      <c r="D340" s="73" t="s">
        <v>146</v>
      </c>
      <c r="E340" s="73" t="s">
        <v>96</v>
      </c>
      <c r="F340" s="74">
        <v>68057429</v>
      </c>
      <c r="G340" s="74">
        <v>70160579</v>
      </c>
      <c r="H340" s="13">
        <f>AVERAGE(F341:F345)</f>
        <v>138179975.19999999</v>
      </c>
      <c r="I340" s="13">
        <f>AVERAGE(G341:G345)</f>
        <v>113588322.2</v>
      </c>
      <c r="J340" s="19">
        <f>F340/H340</f>
        <v>0.49252743678303978</v>
      </c>
      <c r="K340" s="19">
        <f>G340/I340</f>
        <v>0.61767422602180133</v>
      </c>
      <c r="L340" s="20">
        <f>K340-1</f>
        <v>-0.38232577397819867</v>
      </c>
      <c r="M340" s="21">
        <f>I340-G340</f>
        <v>43427743.200000003</v>
      </c>
      <c r="N340" s="2">
        <f>M340*1.71</f>
        <v>74261440.872000009</v>
      </c>
      <c r="O340" s="85" t="s">
        <v>39</v>
      </c>
      <c r="P340" s="85" t="s">
        <v>147</v>
      </c>
    </row>
    <row r="341" spans="1:16" x14ac:dyDescent="0.3">
      <c r="A341" s="31">
        <v>5</v>
      </c>
      <c r="B341" s="73">
        <v>1995</v>
      </c>
      <c r="C341" s="73">
        <v>1994</v>
      </c>
      <c r="D341" s="73" t="s">
        <v>146</v>
      </c>
      <c r="E341" s="73" t="s">
        <v>96</v>
      </c>
      <c r="F341" s="74">
        <v>80883415</v>
      </c>
      <c r="G341" s="74">
        <v>78910127</v>
      </c>
      <c r="H341" s="73"/>
      <c r="I341" s="73"/>
      <c r="J341" s="73"/>
      <c r="K341" s="73"/>
      <c r="L341" s="73"/>
      <c r="M341" s="73"/>
      <c r="N341" s="73"/>
    </row>
    <row r="342" spans="1:16" x14ac:dyDescent="0.3">
      <c r="A342" s="31">
        <v>5</v>
      </c>
      <c r="B342" s="73">
        <v>1995</v>
      </c>
      <c r="C342" s="73">
        <v>1993</v>
      </c>
      <c r="D342" s="73" t="s">
        <v>146</v>
      </c>
      <c r="E342" s="73" t="s">
        <v>96</v>
      </c>
      <c r="F342" s="74">
        <v>111504372</v>
      </c>
      <c r="G342" s="74">
        <v>99321666</v>
      </c>
      <c r="H342" s="73"/>
      <c r="I342" s="73"/>
      <c r="J342" s="73"/>
      <c r="K342" s="73"/>
      <c r="L342" s="73"/>
      <c r="M342" s="73"/>
      <c r="N342" s="73"/>
    </row>
    <row r="343" spans="1:16" x14ac:dyDescent="0.3">
      <c r="A343" s="31">
        <v>5</v>
      </c>
      <c r="B343" s="73">
        <v>1995</v>
      </c>
      <c r="C343" s="73">
        <v>1992</v>
      </c>
      <c r="D343" s="73" t="s">
        <v>146</v>
      </c>
      <c r="E343" s="73" t="s">
        <v>96</v>
      </c>
      <c r="F343" s="74">
        <v>137812519</v>
      </c>
      <c r="G343" s="74">
        <v>115186645</v>
      </c>
      <c r="H343" s="73"/>
      <c r="I343" s="73"/>
      <c r="J343" s="73"/>
      <c r="K343" s="73"/>
      <c r="L343" s="73"/>
      <c r="M343" s="73"/>
      <c r="N343" s="73"/>
    </row>
    <row r="344" spans="1:16" x14ac:dyDescent="0.3">
      <c r="A344" s="31">
        <v>5</v>
      </c>
      <c r="B344" s="73">
        <v>1995</v>
      </c>
      <c r="C344" s="73">
        <v>1991</v>
      </c>
      <c r="D344" s="73" t="s">
        <v>146</v>
      </c>
      <c r="E344" s="73" t="s">
        <v>96</v>
      </c>
      <c r="F344" s="74">
        <v>172698743</v>
      </c>
      <c r="G344" s="74">
        <v>140603941</v>
      </c>
      <c r="H344" s="73"/>
      <c r="I344" s="73"/>
      <c r="J344" s="73"/>
      <c r="K344" s="73"/>
      <c r="L344" s="73"/>
      <c r="M344" s="73"/>
      <c r="N344" s="73"/>
    </row>
    <row r="345" spans="1:16" x14ac:dyDescent="0.3">
      <c r="A345" s="32">
        <v>5</v>
      </c>
      <c r="B345" s="4">
        <v>1995</v>
      </c>
      <c r="C345" s="4">
        <v>1990</v>
      </c>
      <c r="D345" s="4" t="s">
        <v>146</v>
      </c>
      <c r="E345" s="4" t="s">
        <v>96</v>
      </c>
      <c r="F345" s="5">
        <v>188000827</v>
      </c>
      <c r="G345" s="5">
        <v>133919232</v>
      </c>
      <c r="H345" s="4"/>
      <c r="I345" s="4"/>
      <c r="J345" s="4"/>
      <c r="K345" s="4"/>
      <c r="L345" s="4"/>
      <c r="M345" s="4"/>
      <c r="N345" s="4"/>
      <c r="O345" s="87"/>
      <c r="P345" s="87"/>
    </row>
    <row r="346" spans="1:16" x14ac:dyDescent="0.3">
      <c r="A346" s="6">
        <v>4</v>
      </c>
      <c r="B346" s="73">
        <v>1995</v>
      </c>
      <c r="C346" s="73">
        <v>1995</v>
      </c>
      <c r="D346" s="73" t="s">
        <v>148</v>
      </c>
      <c r="E346" s="73" t="s">
        <v>42</v>
      </c>
      <c r="F346" s="74">
        <v>1616681638</v>
      </c>
      <c r="G346" s="74">
        <v>772669696</v>
      </c>
      <c r="H346" s="13">
        <f>AVERAGE(F347:F351)</f>
        <v>1909524556</v>
      </c>
      <c r="I346" s="13">
        <f>AVERAGE(G347:G351)</f>
        <v>690850258.20000005</v>
      </c>
      <c r="J346" s="19">
        <f>F346/H346</f>
        <v>0.84664092583682904</v>
      </c>
      <c r="K346" s="19">
        <f>G346/I346</f>
        <v>1.118432955374699</v>
      </c>
      <c r="L346" s="20">
        <f>K346-1</f>
        <v>0.118432955374699</v>
      </c>
      <c r="M346" s="21">
        <f>I346-G346</f>
        <v>-81819437.799999952</v>
      </c>
      <c r="N346" s="2">
        <f>M346*1.71</f>
        <v>-139911238.63799992</v>
      </c>
      <c r="O346" s="85" t="s">
        <v>31</v>
      </c>
      <c r="P346" s="85" t="s">
        <v>58</v>
      </c>
    </row>
    <row r="347" spans="1:16" x14ac:dyDescent="0.3">
      <c r="A347" s="6">
        <v>4</v>
      </c>
      <c r="B347" s="73">
        <v>1995</v>
      </c>
      <c r="C347" s="73">
        <v>1994</v>
      </c>
      <c r="D347" s="73" t="s">
        <v>148</v>
      </c>
      <c r="E347" s="73" t="s">
        <v>42</v>
      </c>
      <c r="F347" s="74">
        <v>2362718651</v>
      </c>
      <c r="G347" s="74">
        <v>813669032</v>
      </c>
      <c r="H347" s="73"/>
      <c r="I347" s="73"/>
      <c r="J347" s="73"/>
      <c r="K347" s="73"/>
      <c r="L347" s="73"/>
      <c r="M347" s="73"/>
      <c r="N347" s="73"/>
    </row>
    <row r="348" spans="1:16" x14ac:dyDescent="0.3">
      <c r="A348" s="6">
        <v>4</v>
      </c>
      <c r="B348" s="73">
        <v>1995</v>
      </c>
      <c r="C348" s="73">
        <v>1993</v>
      </c>
      <c r="D348" s="73" t="s">
        <v>148</v>
      </c>
      <c r="E348" s="73" t="s">
        <v>42</v>
      </c>
      <c r="F348" s="74">
        <v>1862537147</v>
      </c>
      <c r="G348" s="74">
        <v>621431115</v>
      </c>
      <c r="H348" s="73"/>
      <c r="I348" s="73"/>
      <c r="J348" s="73"/>
      <c r="K348" s="73"/>
      <c r="L348" s="73"/>
      <c r="M348" s="73"/>
      <c r="N348" s="73"/>
    </row>
    <row r="349" spans="1:16" x14ac:dyDescent="0.3">
      <c r="A349" s="6">
        <v>4</v>
      </c>
      <c r="B349" s="73">
        <v>1995</v>
      </c>
      <c r="C349" s="73">
        <v>1992</v>
      </c>
      <c r="D349" s="73" t="s">
        <v>148</v>
      </c>
      <c r="E349" s="73" t="s">
        <v>42</v>
      </c>
      <c r="F349" s="74">
        <v>1553668770</v>
      </c>
      <c r="G349" s="74">
        <v>647160923</v>
      </c>
      <c r="H349" s="73"/>
      <c r="I349" s="73"/>
      <c r="J349" s="73"/>
      <c r="K349" s="73"/>
      <c r="L349" s="73"/>
      <c r="M349" s="73"/>
      <c r="N349" s="73"/>
    </row>
    <row r="350" spans="1:16" x14ac:dyDescent="0.3">
      <c r="A350" s="6">
        <v>4</v>
      </c>
      <c r="B350" s="73">
        <v>1995</v>
      </c>
      <c r="C350" s="73">
        <v>1991</v>
      </c>
      <c r="D350" s="73" t="s">
        <v>148</v>
      </c>
      <c r="E350" s="73" t="s">
        <v>42</v>
      </c>
      <c r="F350" s="74">
        <v>1847673466</v>
      </c>
      <c r="G350" s="74">
        <v>683320206</v>
      </c>
      <c r="H350" s="73"/>
      <c r="I350" s="73"/>
      <c r="J350" s="73"/>
      <c r="K350" s="73"/>
      <c r="L350" s="73"/>
      <c r="M350" s="73"/>
      <c r="N350" s="73"/>
    </row>
    <row r="351" spans="1:16" x14ac:dyDescent="0.3">
      <c r="A351" s="14">
        <v>4</v>
      </c>
      <c r="B351" s="4">
        <v>1995</v>
      </c>
      <c r="C351" s="4">
        <v>1990</v>
      </c>
      <c r="D351" s="4" t="s">
        <v>148</v>
      </c>
      <c r="E351" s="4" t="s">
        <v>42</v>
      </c>
      <c r="F351" s="5">
        <v>1921024746</v>
      </c>
      <c r="G351" s="5">
        <v>688670015</v>
      </c>
      <c r="H351" s="4"/>
      <c r="I351" s="4"/>
      <c r="J351" s="4"/>
      <c r="K351" s="4"/>
      <c r="L351" s="4"/>
      <c r="M351" s="4"/>
      <c r="N351" s="4"/>
      <c r="O351" s="87"/>
      <c r="P351" s="87"/>
    </row>
    <row r="352" spans="1:16" x14ac:dyDescent="0.3">
      <c r="A352" s="31">
        <v>3</v>
      </c>
      <c r="B352" s="73" t="s">
        <v>149</v>
      </c>
      <c r="C352" s="73">
        <v>1994</v>
      </c>
      <c r="D352" s="73" t="s">
        <v>115</v>
      </c>
      <c r="E352" s="73" t="s">
        <v>100</v>
      </c>
      <c r="F352" s="74">
        <v>33926060</v>
      </c>
      <c r="G352" s="74">
        <v>33067131</v>
      </c>
      <c r="H352" s="13">
        <f>AVERAGE(F355:F359)</f>
        <v>68005613</v>
      </c>
      <c r="I352" s="13">
        <f>AVERAGE(G355:G359)</f>
        <v>98976159.599999994</v>
      </c>
      <c r="J352" s="57">
        <f>F352/H352</f>
        <v>0.49887146815366551</v>
      </c>
      <c r="K352" s="19">
        <f>G352/I352</f>
        <v>0.33409187761615272</v>
      </c>
      <c r="L352" s="20">
        <f>K352-1</f>
        <v>-0.66590812238384722</v>
      </c>
      <c r="M352" s="21">
        <f>I352-G352</f>
        <v>65909028.599999994</v>
      </c>
      <c r="N352" s="2">
        <f>M352*1.76</f>
        <v>115999890.336</v>
      </c>
      <c r="O352" s="85" t="s">
        <v>31</v>
      </c>
      <c r="P352" s="85" t="s">
        <v>58</v>
      </c>
    </row>
    <row r="353" spans="1:16" x14ac:dyDescent="0.3">
      <c r="A353" s="31">
        <v>3</v>
      </c>
      <c r="B353" s="73" t="s">
        <v>149</v>
      </c>
      <c r="C353" s="73">
        <v>1993</v>
      </c>
      <c r="D353" s="73" t="s">
        <v>115</v>
      </c>
      <c r="E353" s="73" t="s">
        <v>100</v>
      </c>
      <c r="F353" s="74">
        <v>41484226</v>
      </c>
      <c r="G353" s="74">
        <v>33441734</v>
      </c>
      <c r="H353" s="73"/>
      <c r="I353" s="73"/>
      <c r="J353" s="58">
        <f>F353/H352</f>
        <v>0.61001179417351914</v>
      </c>
      <c r="K353" s="58">
        <f>G353/I352</f>
        <v>0.33787665772394754</v>
      </c>
      <c r="L353" s="1">
        <f>K353-1</f>
        <v>-0.66212334227605241</v>
      </c>
      <c r="M353" s="74">
        <f>I352-G353</f>
        <v>65534425.599999994</v>
      </c>
      <c r="N353" s="2">
        <f>M353*1.8</f>
        <v>117961966.08</v>
      </c>
    </row>
    <row r="354" spans="1:16" x14ac:dyDescent="0.3">
      <c r="A354" s="31">
        <v>3</v>
      </c>
      <c r="B354" s="73" t="s">
        <v>149</v>
      </c>
      <c r="C354" s="73">
        <v>1992</v>
      </c>
      <c r="D354" s="73" t="s">
        <v>115</v>
      </c>
      <c r="E354" s="73" t="s">
        <v>100</v>
      </c>
      <c r="F354" s="74">
        <v>29621080</v>
      </c>
      <c r="G354" s="74">
        <v>30483631</v>
      </c>
      <c r="H354" s="73"/>
      <c r="I354" s="73"/>
      <c r="J354" s="58">
        <f>F354/H352</f>
        <v>0.43556816405728155</v>
      </c>
      <c r="K354" s="58">
        <f>G354/I352</f>
        <v>0.30798963228312609</v>
      </c>
      <c r="L354" s="1">
        <f>K354-1</f>
        <v>-0.69201036771687385</v>
      </c>
      <c r="M354" s="74">
        <f>I352-G354</f>
        <v>68492528.599999994</v>
      </c>
      <c r="N354" s="2">
        <f>M354*1.86</f>
        <v>127396103.19599999</v>
      </c>
    </row>
    <row r="355" spans="1:16" x14ac:dyDescent="0.3">
      <c r="A355" s="31">
        <v>3</v>
      </c>
      <c r="B355" s="73" t="s">
        <v>149</v>
      </c>
      <c r="C355" s="73">
        <v>1991</v>
      </c>
      <c r="D355" s="73" t="s">
        <v>115</v>
      </c>
      <c r="E355" s="73" t="s">
        <v>100</v>
      </c>
      <c r="F355" s="74">
        <v>55258418</v>
      </c>
      <c r="G355" s="74">
        <v>47347751</v>
      </c>
      <c r="H355" s="73"/>
      <c r="I355" s="73"/>
      <c r="J355" s="73"/>
      <c r="K355" s="73"/>
      <c r="L355" s="73"/>
      <c r="M355" s="73"/>
      <c r="N355" s="73"/>
    </row>
    <row r="356" spans="1:16" x14ac:dyDescent="0.3">
      <c r="A356" s="31">
        <v>3</v>
      </c>
      <c r="B356" s="73" t="s">
        <v>149</v>
      </c>
      <c r="C356" s="73">
        <v>1990</v>
      </c>
      <c r="D356" s="73" t="s">
        <v>115</v>
      </c>
      <c r="E356" s="73" t="s">
        <v>100</v>
      </c>
      <c r="F356" s="74">
        <v>50878398</v>
      </c>
      <c r="G356" s="74">
        <v>74562365</v>
      </c>
      <c r="H356" s="73"/>
      <c r="I356" s="73"/>
      <c r="J356" s="73"/>
      <c r="K356" s="73"/>
      <c r="L356" s="73"/>
      <c r="M356" s="73"/>
      <c r="N356" s="73"/>
    </row>
    <row r="357" spans="1:16" x14ac:dyDescent="0.3">
      <c r="A357" s="31">
        <v>3</v>
      </c>
      <c r="B357" s="73" t="s">
        <v>149</v>
      </c>
      <c r="C357" s="73">
        <v>1989</v>
      </c>
      <c r="D357" s="73" t="s">
        <v>115</v>
      </c>
      <c r="E357" s="73" t="s">
        <v>100</v>
      </c>
      <c r="F357" s="74">
        <v>73193216</v>
      </c>
      <c r="G357" s="74">
        <v>84483501</v>
      </c>
      <c r="H357" s="73"/>
      <c r="I357" s="73"/>
      <c r="J357" s="73"/>
      <c r="K357" s="73"/>
      <c r="L357" s="73"/>
      <c r="M357" s="73"/>
      <c r="N357" s="73"/>
    </row>
    <row r="358" spans="1:16" x14ac:dyDescent="0.3">
      <c r="A358" s="31">
        <v>3</v>
      </c>
      <c r="B358" s="73" t="s">
        <v>149</v>
      </c>
      <c r="C358" s="73">
        <v>1988</v>
      </c>
      <c r="D358" s="73" t="s">
        <v>115</v>
      </c>
      <c r="E358" s="73" t="s">
        <v>100</v>
      </c>
      <c r="F358" s="74">
        <v>77213169</v>
      </c>
      <c r="G358" s="74">
        <v>154964026</v>
      </c>
      <c r="H358" s="73"/>
      <c r="I358" s="73"/>
      <c r="J358" s="73"/>
      <c r="K358" s="73"/>
      <c r="L358" s="73"/>
      <c r="M358" s="73"/>
      <c r="N358" s="73"/>
    </row>
    <row r="359" spans="1:16" x14ac:dyDescent="0.3">
      <c r="A359" s="32">
        <v>3</v>
      </c>
      <c r="B359" s="73" t="s">
        <v>149</v>
      </c>
      <c r="C359" s="4">
        <v>1987</v>
      </c>
      <c r="D359" s="4" t="s">
        <v>115</v>
      </c>
      <c r="E359" s="4" t="s">
        <v>100</v>
      </c>
      <c r="F359" s="5">
        <v>83484864</v>
      </c>
      <c r="G359" s="5">
        <v>133523155</v>
      </c>
      <c r="H359" s="4"/>
      <c r="I359" s="4"/>
      <c r="J359" s="4"/>
      <c r="K359" s="4"/>
      <c r="L359" s="4"/>
      <c r="M359" s="4" t="s">
        <v>150</v>
      </c>
      <c r="N359" s="99">
        <f>N352+N353+N354</f>
        <v>361357959.61199999</v>
      </c>
      <c r="O359" s="87"/>
      <c r="P359" s="87"/>
    </row>
    <row r="360" spans="1:16" ht="28.8" x14ac:dyDescent="0.3">
      <c r="A360" s="31">
        <v>2</v>
      </c>
      <c r="B360" s="73">
        <v>1994</v>
      </c>
      <c r="C360" s="73">
        <v>1994</v>
      </c>
      <c r="D360" s="73" t="s">
        <v>151</v>
      </c>
      <c r="E360" s="73" t="s">
        <v>96</v>
      </c>
      <c r="F360" s="74">
        <v>51430549</v>
      </c>
      <c r="G360" s="74">
        <v>52146561</v>
      </c>
      <c r="H360" s="13">
        <f>AVERAGE(F361:F365)</f>
        <v>104036425.8</v>
      </c>
      <c r="I360" s="13">
        <f>AVERAGE(G361:G365)</f>
        <v>85127906.599999994</v>
      </c>
      <c r="J360" s="19">
        <f>F360/H360</f>
        <v>0.49435136400081903</v>
      </c>
      <c r="K360" s="19">
        <f>G360/I360</f>
        <v>0.61256717195016752</v>
      </c>
      <c r="L360" s="20">
        <f>K360-1</f>
        <v>-0.38743282804983248</v>
      </c>
      <c r="M360" s="21">
        <f>I360-G360</f>
        <v>32981345.599999994</v>
      </c>
      <c r="N360" s="2">
        <f>M360*1.76</f>
        <v>58047168.25599999</v>
      </c>
      <c r="O360" s="85" t="s">
        <v>39</v>
      </c>
      <c r="P360" s="85" t="s">
        <v>147</v>
      </c>
    </row>
    <row r="361" spans="1:16" x14ac:dyDescent="0.3">
      <c r="A361" s="31">
        <v>2</v>
      </c>
      <c r="B361" s="73">
        <v>1994</v>
      </c>
      <c r="C361" s="73">
        <v>1993</v>
      </c>
      <c r="D361" s="73" t="s">
        <v>151</v>
      </c>
      <c r="E361" s="73" t="s">
        <v>96</v>
      </c>
      <c r="F361" s="74">
        <v>71043668</v>
      </c>
      <c r="G361" s="74">
        <v>68309139</v>
      </c>
      <c r="H361" s="73"/>
      <c r="I361" s="73"/>
      <c r="J361" s="73"/>
      <c r="K361" s="73"/>
      <c r="L361" s="73"/>
      <c r="M361" s="73"/>
      <c r="N361" s="73"/>
    </row>
    <row r="362" spans="1:16" x14ac:dyDescent="0.3">
      <c r="A362" s="31">
        <v>2</v>
      </c>
      <c r="B362" s="73">
        <v>1994</v>
      </c>
      <c r="C362" s="73">
        <v>1992</v>
      </c>
      <c r="D362" s="73" t="s">
        <v>151</v>
      </c>
      <c r="E362" s="73" t="s">
        <v>96</v>
      </c>
      <c r="F362" s="74">
        <v>87779127</v>
      </c>
      <c r="G362" s="74">
        <v>78134345</v>
      </c>
      <c r="H362" s="73"/>
      <c r="I362" s="73"/>
      <c r="J362" s="73"/>
      <c r="K362" s="73"/>
      <c r="L362" s="73"/>
      <c r="M362" s="73"/>
      <c r="N362" s="73"/>
    </row>
    <row r="363" spans="1:16" x14ac:dyDescent="0.3">
      <c r="A363" s="31">
        <v>2</v>
      </c>
      <c r="B363" s="73">
        <v>1994</v>
      </c>
      <c r="C363" s="73">
        <v>1991</v>
      </c>
      <c r="D363" s="73" t="s">
        <v>151</v>
      </c>
      <c r="E363" s="73" t="s">
        <v>96</v>
      </c>
      <c r="F363" s="74">
        <v>115984523</v>
      </c>
      <c r="G363" s="74">
        <v>98144951</v>
      </c>
      <c r="H363" s="73"/>
      <c r="I363" s="73"/>
      <c r="J363" s="73"/>
      <c r="K363" s="73"/>
      <c r="L363" s="73"/>
      <c r="M363" s="73"/>
      <c r="N363" s="73"/>
    </row>
    <row r="364" spans="1:16" x14ac:dyDescent="0.3">
      <c r="A364" s="31">
        <v>2</v>
      </c>
      <c r="B364" s="73">
        <v>1994</v>
      </c>
      <c r="C364" s="73">
        <v>1990</v>
      </c>
      <c r="D364" s="73" t="s">
        <v>151</v>
      </c>
      <c r="E364" s="73" t="s">
        <v>96</v>
      </c>
      <c r="F364" s="74">
        <v>138596011</v>
      </c>
      <c r="G364" s="74">
        <v>101437524</v>
      </c>
      <c r="H364" s="73"/>
      <c r="I364" s="73"/>
      <c r="J364" s="73"/>
      <c r="K364" s="73"/>
      <c r="L364" s="73"/>
      <c r="M364" s="73"/>
      <c r="N364" s="73"/>
    </row>
    <row r="365" spans="1:16" x14ac:dyDescent="0.3">
      <c r="A365" s="31">
        <v>2</v>
      </c>
      <c r="B365" s="73">
        <v>1994</v>
      </c>
      <c r="C365" s="73">
        <v>1989</v>
      </c>
      <c r="D365" s="73" t="s">
        <v>151</v>
      </c>
      <c r="E365" s="73" t="s">
        <v>96</v>
      </c>
      <c r="F365" s="74">
        <v>106778800</v>
      </c>
      <c r="G365" s="74">
        <v>79613574</v>
      </c>
      <c r="H365" s="73"/>
      <c r="I365" s="73"/>
      <c r="J365" s="73"/>
      <c r="K365" s="73"/>
      <c r="L365" s="73"/>
      <c r="M365" s="73"/>
      <c r="N365" s="73"/>
    </row>
    <row r="451" spans="1:11" x14ac:dyDescent="0.3">
      <c r="A451" s="73">
        <v>23</v>
      </c>
      <c r="B451" s="73">
        <v>2003</v>
      </c>
      <c r="C451" s="73">
        <v>2017</v>
      </c>
      <c r="D451" s="73" t="s">
        <v>86</v>
      </c>
      <c r="E451" s="73" t="s">
        <v>113</v>
      </c>
      <c r="F451" s="74">
        <v>3838546</v>
      </c>
      <c r="G451" s="74">
        <v>5030422</v>
      </c>
      <c r="H451" s="74">
        <v>3280399</v>
      </c>
      <c r="I451" s="73">
        <v>1.3105019449999999</v>
      </c>
      <c r="J451" s="74">
        <v>1762684</v>
      </c>
      <c r="K451" s="73">
        <v>2030328.9709999999</v>
      </c>
    </row>
    <row r="452" spans="1:11" x14ac:dyDescent="0.3">
      <c r="A452" s="73">
        <v>23</v>
      </c>
      <c r="B452" s="73">
        <v>2003</v>
      </c>
      <c r="C452" s="73">
        <v>2016</v>
      </c>
      <c r="D452" s="73" t="s">
        <v>86</v>
      </c>
      <c r="E452" s="73" t="s">
        <v>113</v>
      </c>
      <c r="F452" s="74">
        <v>3318983</v>
      </c>
      <c r="G452" s="74">
        <v>4011383</v>
      </c>
      <c r="H452" s="74">
        <v>3302035</v>
      </c>
      <c r="I452" s="73">
        <v>1.2086181220000001</v>
      </c>
      <c r="J452" s="73"/>
      <c r="K452" s="73"/>
    </row>
    <row r="453" spans="1:11" x14ac:dyDescent="0.3">
      <c r="A453" s="73">
        <v>23</v>
      </c>
      <c r="B453" s="73">
        <v>2003</v>
      </c>
      <c r="C453" s="73">
        <v>2015</v>
      </c>
      <c r="D453" s="73" t="s">
        <v>86</v>
      </c>
      <c r="E453" s="73" t="s">
        <v>113</v>
      </c>
      <c r="F453" s="74">
        <v>2933730</v>
      </c>
      <c r="G453" s="74">
        <v>4247616</v>
      </c>
      <c r="H453" s="74">
        <v>3181171</v>
      </c>
      <c r="I453" s="73">
        <v>1.4478551200000001</v>
      </c>
      <c r="J453" s="73"/>
      <c r="K453" s="73"/>
    </row>
    <row r="454" spans="1:11" x14ac:dyDescent="0.3">
      <c r="A454" s="73">
        <v>23</v>
      </c>
      <c r="B454" s="73">
        <v>2003</v>
      </c>
      <c r="C454" s="73">
        <v>2014</v>
      </c>
      <c r="D454" s="73" t="s">
        <v>86</v>
      </c>
      <c r="E454" s="73" t="s">
        <v>113</v>
      </c>
      <c r="F454" s="74">
        <v>2667476</v>
      </c>
      <c r="G454" s="74">
        <v>3772328</v>
      </c>
      <c r="H454" s="74">
        <v>3367214</v>
      </c>
      <c r="I454" s="73">
        <v>1.4141937920000001</v>
      </c>
      <c r="J454" s="73"/>
      <c r="K454" s="73"/>
    </row>
    <row r="455" spans="1:11" x14ac:dyDescent="0.3">
      <c r="A455" s="73">
        <v>23</v>
      </c>
      <c r="B455" s="73">
        <v>2003</v>
      </c>
      <c r="C455" s="73">
        <v>2013</v>
      </c>
      <c r="D455" s="73" t="s">
        <v>86</v>
      </c>
      <c r="E455" s="73" t="s">
        <v>113</v>
      </c>
      <c r="F455" s="74">
        <v>3216465</v>
      </c>
      <c r="G455" s="74">
        <v>3974621</v>
      </c>
      <c r="H455" s="74">
        <v>3569470</v>
      </c>
      <c r="I455" s="73">
        <v>1.235710944</v>
      </c>
      <c r="J455" s="73"/>
      <c r="K455" s="73"/>
    </row>
    <row r="456" spans="1:11" x14ac:dyDescent="0.3">
      <c r="A456" s="73">
        <v>23</v>
      </c>
      <c r="B456" s="73">
        <v>2003</v>
      </c>
      <c r="C456" s="73">
        <v>2012</v>
      </c>
      <c r="D456" s="73" t="s">
        <v>86</v>
      </c>
      <c r="E456" s="73" t="s">
        <v>113</v>
      </c>
      <c r="F456" s="74">
        <v>4265341</v>
      </c>
      <c r="G456" s="74">
        <v>4267401</v>
      </c>
      <c r="H456" s="74">
        <v>3596164</v>
      </c>
      <c r="I456" s="73">
        <v>1.0004829630000001</v>
      </c>
      <c r="J456" s="73"/>
      <c r="K456" s="73"/>
    </row>
    <row r="457" spans="1:11" x14ac:dyDescent="0.3">
      <c r="A457" s="73">
        <v>23</v>
      </c>
      <c r="B457" s="73">
        <v>2003</v>
      </c>
      <c r="C457" s="73">
        <v>2011</v>
      </c>
      <c r="D457" s="73" t="s">
        <v>86</v>
      </c>
      <c r="E457" s="73" t="s">
        <v>113</v>
      </c>
      <c r="F457" s="74">
        <v>3427161</v>
      </c>
      <c r="G457" s="74">
        <v>3345488</v>
      </c>
      <c r="H457" s="74">
        <v>3729125</v>
      </c>
      <c r="I457" s="73">
        <v>0.97616890499999998</v>
      </c>
      <c r="J457" s="73"/>
      <c r="K457" s="73"/>
    </row>
    <row r="458" spans="1:11" x14ac:dyDescent="0.3">
      <c r="A458" s="73">
        <v>23</v>
      </c>
      <c r="B458" s="73">
        <v>2003</v>
      </c>
      <c r="C458" s="73">
        <v>2010</v>
      </c>
      <c r="D458" s="73" t="s">
        <v>86</v>
      </c>
      <c r="E458" s="73" t="s">
        <v>113</v>
      </c>
      <c r="F458" s="74">
        <v>2329414</v>
      </c>
      <c r="G458" s="74">
        <v>2657549</v>
      </c>
      <c r="H458" s="74">
        <v>4113013</v>
      </c>
      <c r="I458" s="73">
        <v>1.1408659000000001</v>
      </c>
      <c r="J458" s="73"/>
      <c r="K458" s="73"/>
    </row>
    <row r="459" spans="1:11" x14ac:dyDescent="0.3">
      <c r="A459" s="73">
        <v>23</v>
      </c>
      <c r="B459" s="73">
        <v>2003</v>
      </c>
      <c r="C459" s="73">
        <v>2009</v>
      </c>
      <c r="D459" s="73" t="s">
        <v>86</v>
      </c>
      <c r="E459" s="73" t="s">
        <v>113</v>
      </c>
      <c r="F459" s="74">
        <v>3597687</v>
      </c>
      <c r="G459" s="74">
        <v>3839513</v>
      </c>
      <c r="H459" s="74">
        <v>3976852</v>
      </c>
      <c r="I459" s="73">
        <v>1.0672170759999999</v>
      </c>
      <c r="J459" s="73"/>
      <c r="K459" s="73"/>
    </row>
    <row r="460" spans="1:11" x14ac:dyDescent="0.3">
      <c r="A460" s="73">
        <v>23</v>
      </c>
      <c r="B460" s="73">
        <v>2003</v>
      </c>
      <c r="C460" s="73">
        <v>2008</v>
      </c>
      <c r="D460" s="73" t="s">
        <v>86</v>
      </c>
      <c r="E460" s="73" t="s">
        <v>113</v>
      </c>
      <c r="F460" s="74">
        <v>4227747</v>
      </c>
      <c r="G460" s="74">
        <v>3911828</v>
      </c>
      <c r="H460" s="74">
        <v>3467588</v>
      </c>
      <c r="I460" s="73">
        <v>0.92527485700000001</v>
      </c>
      <c r="J460" s="73"/>
      <c r="K460" s="73"/>
    </row>
    <row r="461" spans="1:11" x14ac:dyDescent="0.3">
      <c r="A461" s="73">
        <v>23</v>
      </c>
      <c r="B461" s="73">
        <v>2003</v>
      </c>
      <c r="C461" s="73">
        <v>2007</v>
      </c>
      <c r="D461" s="73" t="s">
        <v>86</v>
      </c>
      <c r="E461" s="73" t="s">
        <v>113</v>
      </c>
      <c r="F461" s="74">
        <v>4398812</v>
      </c>
      <c r="G461" s="74">
        <v>3807944</v>
      </c>
      <c r="H461" s="74">
        <v>2985718</v>
      </c>
      <c r="I461" s="73">
        <v>0.86567555100000004</v>
      </c>
      <c r="J461" s="73"/>
      <c r="K461" s="73"/>
    </row>
    <row r="462" spans="1:11" x14ac:dyDescent="0.3">
      <c r="A462" s="73">
        <v>23</v>
      </c>
      <c r="B462" s="73">
        <v>2003</v>
      </c>
      <c r="C462" s="73">
        <v>2006</v>
      </c>
      <c r="D462" s="73" t="s">
        <v>86</v>
      </c>
      <c r="E462" s="73" t="s">
        <v>113</v>
      </c>
      <c r="F462" s="74">
        <v>4091967</v>
      </c>
      <c r="G462" s="74">
        <v>2960643</v>
      </c>
      <c r="H462" s="74">
        <v>2721600</v>
      </c>
      <c r="I462" s="73">
        <v>0.72352563000000003</v>
      </c>
      <c r="J462" s="73"/>
      <c r="K462" s="73"/>
    </row>
    <row r="463" spans="1:11" x14ac:dyDescent="0.3">
      <c r="A463" s="73">
        <v>23</v>
      </c>
      <c r="B463" s="73">
        <v>2003</v>
      </c>
      <c r="C463" s="73">
        <v>2005</v>
      </c>
      <c r="D463" s="73" t="s">
        <v>86</v>
      </c>
      <c r="E463" s="73" t="s">
        <v>113</v>
      </c>
      <c r="F463" s="74">
        <v>4248852</v>
      </c>
      <c r="G463" s="74">
        <v>3066019</v>
      </c>
      <c r="H463" s="74">
        <v>2531240</v>
      </c>
      <c r="I463" s="73">
        <v>0.72161115499999995</v>
      </c>
      <c r="J463" s="73"/>
      <c r="K463" s="73"/>
    </row>
    <row r="464" spans="1:11" x14ac:dyDescent="0.3">
      <c r="A464" s="73">
        <v>23</v>
      </c>
      <c r="B464" s="73">
        <v>2003</v>
      </c>
      <c r="C464" s="73">
        <v>2004</v>
      </c>
      <c r="D464" s="73" t="s">
        <v>86</v>
      </c>
      <c r="E464" s="73" t="s">
        <v>113</v>
      </c>
      <c r="F464" s="74">
        <v>2916880</v>
      </c>
      <c r="G464" s="74">
        <v>2492382</v>
      </c>
      <c r="H464" s="74">
        <v>2746460</v>
      </c>
      <c r="I464" s="73">
        <v>0.85446847299999995</v>
      </c>
      <c r="J464" s="73"/>
      <c r="K464" s="73"/>
    </row>
    <row r="465" spans="1:11" x14ac:dyDescent="0.3">
      <c r="A465" s="73">
        <v>23</v>
      </c>
      <c r="B465" s="73">
        <v>2003</v>
      </c>
      <c r="C465" s="73">
        <v>2003</v>
      </c>
      <c r="D465" s="73" t="s">
        <v>86</v>
      </c>
      <c r="E465" s="73" t="s">
        <v>113</v>
      </c>
      <c r="F465" s="74">
        <v>1681431</v>
      </c>
      <c r="G465" s="74">
        <v>1936739</v>
      </c>
      <c r="H465" s="74">
        <v>3444115</v>
      </c>
      <c r="I465" s="73">
        <v>1.151839713</v>
      </c>
      <c r="J465" s="73"/>
      <c r="K465" s="73"/>
    </row>
    <row r="466" spans="1:11" x14ac:dyDescent="0.3">
      <c r="A466" s="73">
        <v>23</v>
      </c>
      <c r="B466" s="73">
        <v>2003</v>
      </c>
      <c r="C466" s="73">
        <v>2002</v>
      </c>
      <c r="D466" s="73" t="s">
        <v>86</v>
      </c>
      <c r="E466" s="73" t="s">
        <v>113</v>
      </c>
      <c r="F466" s="74">
        <v>1989459</v>
      </c>
      <c r="G466" s="74">
        <v>2166555</v>
      </c>
      <c r="H466" s="74">
        <v>4332793</v>
      </c>
      <c r="I466" s="73">
        <v>1.089017165</v>
      </c>
      <c r="J466" s="73"/>
      <c r="K466" s="73"/>
    </row>
    <row r="467" spans="1:11" x14ac:dyDescent="0.3">
      <c r="A467" s="73">
        <v>23</v>
      </c>
      <c r="B467" s="73">
        <v>2003</v>
      </c>
      <c r="C467" s="73">
        <v>2001</v>
      </c>
      <c r="D467" s="73" t="s">
        <v>86</v>
      </c>
      <c r="E467" s="73" t="s">
        <v>113</v>
      </c>
      <c r="F467" s="74">
        <v>2771377</v>
      </c>
      <c r="G467" s="74">
        <v>2902409</v>
      </c>
      <c r="H467" s="74">
        <v>4957011</v>
      </c>
      <c r="I467" s="73">
        <v>1.047280467</v>
      </c>
      <c r="J467" s="73"/>
      <c r="K467" s="73"/>
    </row>
    <row r="468" spans="1:11" x14ac:dyDescent="0.3">
      <c r="A468" s="73">
        <v>23</v>
      </c>
      <c r="B468" s="73">
        <v>2003</v>
      </c>
      <c r="C468" s="73">
        <v>2000</v>
      </c>
      <c r="D468" s="73" t="s">
        <v>86</v>
      </c>
      <c r="E468" s="73" t="s">
        <v>113</v>
      </c>
      <c r="F468" s="74">
        <v>3297054</v>
      </c>
      <c r="G468" s="74">
        <v>2476959</v>
      </c>
      <c r="H468" s="74">
        <v>6172872</v>
      </c>
      <c r="I468" s="73">
        <v>0.75126431100000002</v>
      </c>
      <c r="J468" s="73"/>
      <c r="K468" s="73"/>
    </row>
    <row r="469" spans="1:11" x14ac:dyDescent="0.3">
      <c r="A469" s="73">
        <v>23</v>
      </c>
      <c r="B469" s="73">
        <v>2003</v>
      </c>
      <c r="C469" s="73">
        <v>1999</v>
      </c>
      <c r="D469" s="73" t="s">
        <v>86</v>
      </c>
      <c r="E469" s="73" t="s">
        <v>113</v>
      </c>
      <c r="F469" s="74">
        <v>3992980</v>
      </c>
      <c r="G469" s="74">
        <v>2474415</v>
      </c>
      <c r="H469" s="74">
        <v>7155827</v>
      </c>
      <c r="I469" s="73">
        <v>0.61969130800000005</v>
      </c>
      <c r="J469" s="73"/>
      <c r="K469" s="73"/>
    </row>
    <row r="470" spans="1:11" x14ac:dyDescent="0.3">
      <c r="A470" s="73">
        <v>23</v>
      </c>
      <c r="B470" s="73">
        <v>2003</v>
      </c>
      <c r="C470" s="73">
        <v>1998</v>
      </c>
      <c r="D470" s="73" t="s">
        <v>86</v>
      </c>
      <c r="E470" s="73" t="s">
        <v>113</v>
      </c>
      <c r="F470" s="74">
        <v>5169703</v>
      </c>
      <c r="G470" s="74">
        <v>3088457</v>
      </c>
      <c r="H470" s="74">
        <v>7760008</v>
      </c>
      <c r="I470" s="73">
        <v>0.59741478400000003</v>
      </c>
      <c r="J470" s="73"/>
      <c r="K470" s="73"/>
    </row>
    <row r="471" spans="1:11" x14ac:dyDescent="0.3">
      <c r="A471" s="73">
        <v>23</v>
      </c>
      <c r="B471" s="73">
        <v>2003</v>
      </c>
      <c r="C471" s="73">
        <v>1997</v>
      </c>
      <c r="D471" s="73" t="s">
        <v>86</v>
      </c>
      <c r="E471" s="73" t="s">
        <v>113</v>
      </c>
      <c r="F471" s="74">
        <v>6432853</v>
      </c>
      <c r="G471" s="74">
        <v>4135174</v>
      </c>
      <c r="H471" s="74">
        <v>8227659</v>
      </c>
      <c r="I471" s="73">
        <v>0.642821156</v>
      </c>
      <c r="J471" s="73"/>
      <c r="K471" s="73"/>
    </row>
    <row r="472" spans="1:11" x14ac:dyDescent="0.3">
      <c r="A472" s="73">
        <v>23</v>
      </c>
      <c r="B472" s="73">
        <v>2003</v>
      </c>
      <c r="C472" s="73">
        <v>1996</v>
      </c>
      <c r="D472" s="73" t="s">
        <v>86</v>
      </c>
      <c r="E472" s="73" t="s">
        <v>113</v>
      </c>
      <c r="F472" s="74">
        <v>5892466</v>
      </c>
      <c r="G472" s="74">
        <v>3382582</v>
      </c>
      <c r="H472" s="74">
        <v>8444742</v>
      </c>
      <c r="I472" s="73">
        <v>0.57405201800000005</v>
      </c>
      <c r="J472" s="73"/>
      <c r="K472" s="73"/>
    </row>
    <row r="473" spans="1:11" x14ac:dyDescent="0.3">
      <c r="A473" s="73">
        <v>23</v>
      </c>
      <c r="B473" s="73">
        <v>2003</v>
      </c>
      <c r="C473" s="73">
        <v>1995</v>
      </c>
      <c r="D473" s="73" t="s">
        <v>86</v>
      </c>
      <c r="E473" s="73" t="s">
        <v>113</v>
      </c>
      <c r="F473" s="74">
        <v>9376359</v>
      </c>
      <c r="G473" s="74">
        <v>5274200</v>
      </c>
      <c r="H473" s="74">
        <v>8001585</v>
      </c>
      <c r="I473" s="73">
        <v>0.56249979299999997</v>
      </c>
      <c r="J473" s="73"/>
      <c r="K473" s="73"/>
    </row>
    <row r="474" spans="1:11" x14ac:dyDescent="0.3">
      <c r="A474" s="73">
        <v>23</v>
      </c>
      <c r="B474" s="73">
        <v>2003</v>
      </c>
      <c r="C474" s="73">
        <v>1994</v>
      </c>
      <c r="D474" s="73" t="s">
        <v>86</v>
      </c>
      <c r="E474" s="73" t="s">
        <v>113</v>
      </c>
      <c r="F474" s="74">
        <v>8907755</v>
      </c>
      <c r="G474" s="74">
        <v>4696746</v>
      </c>
      <c r="H474" s="74">
        <v>7692041</v>
      </c>
      <c r="I474" s="73">
        <v>0.52726483800000001</v>
      </c>
      <c r="J474" s="73"/>
      <c r="K474" s="73"/>
    </row>
    <row r="475" spans="1:11" x14ac:dyDescent="0.3">
      <c r="A475" s="73">
        <v>23</v>
      </c>
      <c r="B475" s="73">
        <v>2003</v>
      </c>
      <c r="C475" s="73">
        <v>1993</v>
      </c>
      <c r="D475" s="73" t="s">
        <v>86</v>
      </c>
      <c r="E475" s="73" t="s">
        <v>113</v>
      </c>
      <c r="F475" s="74">
        <v>8190609</v>
      </c>
      <c r="G475" s="74">
        <v>3236117</v>
      </c>
      <c r="H475" s="74">
        <v>7743996</v>
      </c>
      <c r="I475" s="73">
        <v>0.39510090199999998</v>
      </c>
      <c r="J475" s="73"/>
      <c r="K475" s="73"/>
    </row>
    <row r="476" spans="1:11" x14ac:dyDescent="0.3">
      <c r="A476" s="73">
        <v>23</v>
      </c>
      <c r="B476" s="73">
        <v>2003</v>
      </c>
      <c r="C476" s="73">
        <v>1992</v>
      </c>
      <c r="D476" s="73" t="s">
        <v>86</v>
      </c>
      <c r="E476" s="73" t="s">
        <v>113</v>
      </c>
      <c r="F476" s="74">
        <v>8771107</v>
      </c>
      <c r="G476" s="74">
        <v>3192319</v>
      </c>
      <c r="H476" s="74">
        <v>7247828</v>
      </c>
      <c r="I476" s="73">
        <v>0.36395850600000001</v>
      </c>
      <c r="J476" s="73"/>
      <c r="K476" s="73"/>
    </row>
    <row r="477" spans="1:11" x14ac:dyDescent="0.3">
      <c r="A477" s="73">
        <v>23</v>
      </c>
      <c r="B477" s="73">
        <v>2003</v>
      </c>
      <c r="C477" s="73">
        <v>1991</v>
      </c>
      <c r="D477" s="73" t="s">
        <v>86</v>
      </c>
      <c r="E477" s="73" t="s">
        <v>113</v>
      </c>
      <c r="F477" s="74">
        <v>6977878</v>
      </c>
      <c r="G477" s="74">
        <v>2115439</v>
      </c>
      <c r="H477" s="74">
        <v>7179614</v>
      </c>
      <c r="I477" s="73">
        <v>0.30316365499999998</v>
      </c>
      <c r="J477" s="73"/>
      <c r="K477" s="73"/>
    </row>
    <row r="478" spans="1:11" x14ac:dyDescent="0.3">
      <c r="A478" s="73">
        <v>23</v>
      </c>
      <c r="B478" s="73">
        <v>2003</v>
      </c>
      <c r="C478" s="73">
        <v>1990</v>
      </c>
      <c r="D478" s="73" t="s">
        <v>86</v>
      </c>
      <c r="E478" s="73" t="s">
        <v>113</v>
      </c>
      <c r="F478" s="74">
        <v>7160575</v>
      </c>
      <c r="G478" s="74">
        <v>2389997</v>
      </c>
      <c r="H478" s="74">
        <v>7414856</v>
      </c>
      <c r="I478" s="73">
        <v>0.333771659</v>
      </c>
      <c r="J478" s="73"/>
      <c r="K478" s="73"/>
    </row>
    <row r="479" spans="1:11" x14ac:dyDescent="0.3">
      <c r="A479" s="73">
        <v>23</v>
      </c>
      <c r="B479" s="73">
        <v>2003</v>
      </c>
      <c r="C479" s="73">
        <v>1989</v>
      </c>
      <c r="D479" s="73" t="s">
        <v>86</v>
      </c>
      <c r="E479" s="73" t="s">
        <v>113</v>
      </c>
      <c r="F479" s="74">
        <v>7360035</v>
      </c>
      <c r="G479" s="74">
        <v>2519344</v>
      </c>
      <c r="H479" s="74">
        <v>7993450</v>
      </c>
      <c r="I479" s="73">
        <v>0.34230054599999998</v>
      </c>
      <c r="J479" s="73"/>
      <c r="K479" s="73"/>
    </row>
    <row r="480" spans="1:11" x14ac:dyDescent="0.3">
      <c r="A480" s="73">
        <v>23</v>
      </c>
      <c r="B480" s="73">
        <v>2003</v>
      </c>
      <c r="C480" s="73">
        <v>1988</v>
      </c>
      <c r="D480" s="73" t="s">
        <v>86</v>
      </c>
      <c r="E480" s="73" t="s">
        <v>113</v>
      </c>
      <c r="F480" s="74">
        <v>8450385</v>
      </c>
      <c r="G480" s="74">
        <v>3270583</v>
      </c>
      <c r="H480" s="74">
        <v>8525353</v>
      </c>
      <c r="I480" s="73">
        <v>0.387033609</v>
      </c>
      <c r="J480" s="73"/>
      <c r="K480" s="73"/>
    </row>
    <row r="481" spans="1:9" x14ac:dyDescent="0.3">
      <c r="A481" s="73">
        <v>23</v>
      </c>
      <c r="B481" s="73">
        <v>2003</v>
      </c>
      <c r="C481" s="73">
        <v>1987</v>
      </c>
      <c r="D481" s="73" t="s">
        <v>86</v>
      </c>
      <c r="E481" s="73" t="s">
        <v>113</v>
      </c>
      <c r="F481" s="74">
        <v>6290266</v>
      </c>
      <c r="G481" s="74">
        <v>1914997</v>
      </c>
      <c r="H481" s="74">
        <v>9777209</v>
      </c>
      <c r="I481" s="73">
        <v>0.30443815899999999</v>
      </c>
    </row>
    <row r="482" spans="1:9" x14ac:dyDescent="0.3">
      <c r="A482" s="73">
        <v>23</v>
      </c>
      <c r="B482" s="73">
        <v>2003</v>
      </c>
      <c r="C482" s="73">
        <v>1986</v>
      </c>
      <c r="D482" s="73" t="s">
        <v>86</v>
      </c>
      <c r="E482" s="73" t="s">
        <v>113</v>
      </c>
      <c r="F482" s="74">
        <v>6636811</v>
      </c>
      <c r="G482" s="74">
        <v>1977396</v>
      </c>
      <c r="H482" s="74">
        <v>11057525</v>
      </c>
      <c r="I482" s="73">
        <v>0.29794369599999998</v>
      </c>
    </row>
    <row r="483" spans="1:9" x14ac:dyDescent="0.3">
      <c r="A483" s="73">
        <v>23</v>
      </c>
      <c r="B483" s="73">
        <v>2003</v>
      </c>
      <c r="C483" s="73">
        <v>1985</v>
      </c>
      <c r="D483" s="73" t="s">
        <v>86</v>
      </c>
      <c r="E483" s="73" t="s">
        <v>113</v>
      </c>
      <c r="F483" s="74">
        <v>8336783</v>
      </c>
      <c r="G483" s="74">
        <v>1985024</v>
      </c>
      <c r="H483" s="74">
        <v>11402180</v>
      </c>
      <c r="I483" s="73">
        <v>0.23810431400000001</v>
      </c>
    </row>
    <row r="484" spans="1:9" x14ac:dyDescent="0.3">
      <c r="A484" s="73">
        <v>23</v>
      </c>
      <c r="B484" s="73">
        <v>2003</v>
      </c>
      <c r="C484" s="73">
        <v>1984</v>
      </c>
      <c r="D484" s="73" t="s">
        <v>86</v>
      </c>
      <c r="E484" s="73" t="s">
        <v>113</v>
      </c>
      <c r="F484" s="74">
        <v>10253005</v>
      </c>
      <c r="G484" s="74">
        <v>2269688</v>
      </c>
      <c r="H484" s="74">
        <v>11619085</v>
      </c>
      <c r="I484" s="73">
        <v>0.221368077</v>
      </c>
    </row>
    <row r="485" spans="1:9" x14ac:dyDescent="0.3">
      <c r="A485" s="73">
        <v>23</v>
      </c>
      <c r="B485" s="73">
        <v>2003</v>
      </c>
      <c r="C485" s="73">
        <v>1983</v>
      </c>
      <c r="D485" s="73" t="s">
        <v>86</v>
      </c>
      <c r="E485" s="73" t="s">
        <v>113</v>
      </c>
      <c r="F485" s="74">
        <v>11109898</v>
      </c>
      <c r="G485" s="74">
        <v>2682747</v>
      </c>
      <c r="H485" s="74">
        <v>11522764</v>
      </c>
      <c r="I485" s="73">
        <v>0.24147359400000001</v>
      </c>
    </row>
    <row r="486" spans="1:9" x14ac:dyDescent="0.3">
      <c r="A486" s="73">
        <v>23</v>
      </c>
      <c r="B486" s="73">
        <v>2003</v>
      </c>
      <c r="C486" s="73">
        <v>1982</v>
      </c>
      <c r="D486" s="73" t="s">
        <v>86</v>
      </c>
      <c r="E486" s="73" t="s">
        <v>113</v>
      </c>
      <c r="F486" s="74">
        <v>12549550</v>
      </c>
      <c r="G486" s="74">
        <v>2334248</v>
      </c>
      <c r="H486" s="74">
        <v>10557154</v>
      </c>
      <c r="I486" s="73">
        <v>0.186002526</v>
      </c>
    </row>
    <row r="487" spans="1:9" x14ac:dyDescent="0.3">
      <c r="A487" s="73">
        <v>23</v>
      </c>
      <c r="B487" s="73">
        <v>2003</v>
      </c>
      <c r="C487" s="73">
        <v>1981</v>
      </c>
      <c r="D487" s="73" t="s">
        <v>86</v>
      </c>
      <c r="E487" s="73" t="s">
        <v>113</v>
      </c>
      <c r="F487" s="74">
        <v>13038389</v>
      </c>
      <c r="G487" s="74">
        <v>2462701</v>
      </c>
      <c r="H487" s="74">
        <v>9123996</v>
      </c>
      <c r="I487" s="73">
        <v>0.188880774</v>
      </c>
    </row>
    <row r="488" spans="1:9" x14ac:dyDescent="0.3">
      <c r="A488" s="73">
        <v>23</v>
      </c>
      <c r="B488" s="73">
        <v>2003</v>
      </c>
      <c r="C488" s="73">
        <v>1980</v>
      </c>
      <c r="D488" s="73" t="s">
        <v>86</v>
      </c>
      <c r="E488" s="73" t="s">
        <v>113</v>
      </c>
      <c r="F488" s="74">
        <v>10060060</v>
      </c>
      <c r="G488" s="74">
        <v>1964419</v>
      </c>
      <c r="H488" s="74">
        <v>8885024</v>
      </c>
      <c r="I488" s="73">
        <v>0.19526911399999999</v>
      </c>
    </row>
    <row r="489" spans="1:9" x14ac:dyDescent="0.3">
      <c r="A489" s="73">
        <v>23</v>
      </c>
      <c r="B489" s="73">
        <v>2003</v>
      </c>
      <c r="C489" s="73">
        <v>1979</v>
      </c>
      <c r="D489" s="73" t="s">
        <v>86</v>
      </c>
      <c r="E489" s="73" t="s">
        <v>113</v>
      </c>
      <c r="F489" s="74">
        <v>11337528</v>
      </c>
      <c r="G489" s="74">
        <v>1983890</v>
      </c>
      <c r="H489" s="74">
        <v>8643719</v>
      </c>
      <c r="I489" s="73">
        <v>0.17498435300000001</v>
      </c>
    </row>
    <row r="490" spans="1:9" x14ac:dyDescent="0.3">
      <c r="A490" s="73">
        <v>23</v>
      </c>
      <c r="B490" s="73">
        <v>2003</v>
      </c>
      <c r="C490" s="73">
        <v>1978</v>
      </c>
      <c r="D490" s="73" t="s">
        <v>86</v>
      </c>
      <c r="E490" s="73" t="s">
        <v>113</v>
      </c>
      <c r="F490" s="74">
        <v>10628294</v>
      </c>
      <c r="G490" s="74">
        <v>1877446</v>
      </c>
      <c r="H490" s="74">
        <v>8114900</v>
      </c>
      <c r="I490" s="73">
        <v>0.17664603600000001</v>
      </c>
    </row>
    <row r="491" spans="1:9" x14ac:dyDescent="0.3">
      <c r="A491" s="73">
        <v>23</v>
      </c>
      <c r="B491" s="73">
        <v>2003</v>
      </c>
      <c r="C491" s="73">
        <v>1977</v>
      </c>
      <c r="D491" s="73" t="s">
        <v>86</v>
      </c>
      <c r="E491" s="73" t="s">
        <v>113</v>
      </c>
      <c r="F491" s="74">
        <v>7721500</v>
      </c>
      <c r="G491" s="74">
        <v>1632092</v>
      </c>
      <c r="H491" s="74">
        <v>8382320</v>
      </c>
      <c r="I491" s="73">
        <v>0.21136981199999999</v>
      </c>
    </row>
    <row r="492" spans="1:9" x14ac:dyDescent="0.3">
      <c r="A492" s="73">
        <v>23</v>
      </c>
      <c r="B492" s="73">
        <v>2003</v>
      </c>
      <c r="C492" s="73">
        <v>1976</v>
      </c>
      <c r="D492" s="73" t="s">
        <v>86</v>
      </c>
      <c r="E492" s="73" t="s">
        <v>113</v>
      </c>
      <c r="F492" s="74">
        <v>5872600</v>
      </c>
      <c r="G492" s="74">
        <v>1087289</v>
      </c>
      <c r="H492" s="74">
        <v>8894900</v>
      </c>
      <c r="I492" s="73">
        <v>0.18514610200000001</v>
      </c>
    </row>
    <row r="493" spans="1:9" x14ac:dyDescent="0.3">
      <c r="A493" s="73">
        <v>23</v>
      </c>
      <c r="B493" s="73">
        <v>2003</v>
      </c>
      <c r="C493" s="73">
        <v>1975</v>
      </c>
      <c r="D493" s="73" t="s">
        <v>86</v>
      </c>
      <c r="E493" s="73" t="s">
        <v>113</v>
      </c>
      <c r="F493" s="74">
        <v>8865200</v>
      </c>
      <c r="G493" s="74">
        <v>1154720</v>
      </c>
      <c r="H493" s="74">
        <v>8540300</v>
      </c>
      <c r="I493" s="73">
        <v>0.130253125</v>
      </c>
    </row>
    <row r="494" spans="1:9" x14ac:dyDescent="0.3">
      <c r="A494" s="73">
        <v>23</v>
      </c>
      <c r="B494" s="73">
        <v>2003</v>
      </c>
      <c r="C494" s="73">
        <v>1974</v>
      </c>
      <c r="D494" s="73" t="s">
        <v>86</v>
      </c>
      <c r="E494" s="73" t="s">
        <v>113</v>
      </c>
      <c r="F494" s="74">
        <v>10131000</v>
      </c>
      <c r="G494" s="74">
        <v>1225878</v>
      </c>
      <c r="H494" s="74">
        <v>7543460</v>
      </c>
      <c r="I494" s="73">
        <v>0.121002665</v>
      </c>
    </row>
    <row r="495" spans="1:9" x14ac:dyDescent="0.3">
      <c r="A495" s="73">
        <v>23</v>
      </c>
      <c r="B495" s="73">
        <v>2003</v>
      </c>
      <c r="C495" s="73">
        <v>1973</v>
      </c>
      <c r="D495" s="73" t="s">
        <v>86</v>
      </c>
      <c r="E495" s="73" t="s">
        <v>113</v>
      </c>
      <c r="F495" s="74">
        <v>7984200</v>
      </c>
      <c r="G495" s="74">
        <v>968650</v>
      </c>
      <c r="H495" s="74">
        <v>6680400</v>
      </c>
      <c r="I495" s="73">
        <v>0.121320859</v>
      </c>
    </row>
    <row r="496" spans="1:9" x14ac:dyDescent="0.3">
      <c r="A496" s="73">
        <v>23</v>
      </c>
      <c r="B496" s="73">
        <v>2003</v>
      </c>
      <c r="C496" s="73">
        <v>1972</v>
      </c>
      <c r="D496" s="73" t="s">
        <v>86</v>
      </c>
      <c r="E496" s="73" t="s">
        <v>113</v>
      </c>
      <c r="F496" s="74">
        <v>9058600</v>
      </c>
      <c r="G496" s="74">
        <v>825202</v>
      </c>
      <c r="H496" s="74">
        <v>6567980</v>
      </c>
      <c r="I496" s="73">
        <v>9.1095974999999996E-2</v>
      </c>
    </row>
    <row r="497" spans="1:9" x14ac:dyDescent="0.3">
      <c r="A497" s="73">
        <v>23</v>
      </c>
      <c r="B497" s="73">
        <v>2003</v>
      </c>
      <c r="C497" s="73">
        <v>1971</v>
      </c>
      <c r="D497" s="73" t="s">
        <v>86</v>
      </c>
      <c r="E497" s="73" t="s">
        <v>113</v>
      </c>
      <c r="F497" s="74">
        <v>8435500</v>
      </c>
      <c r="G497" s="74">
        <v>680107</v>
      </c>
      <c r="H497" s="74">
        <v>6592020</v>
      </c>
      <c r="I497" s="73">
        <v>8.0624385000000007E-2</v>
      </c>
    </row>
    <row r="498" spans="1:9" x14ac:dyDescent="0.3">
      <c r="A498" s="73">
        <v>23</v>
      </c>
      <c r="B498" s="73">
        <v>2003</v>
      </c>
      <c r="C498" s="73">
        <v>1970</v>
      </c>
      <c r="D498" s="73" t="s">
        <v>86</v>
      </c>
      <c r="E498" s="73" t="s">
        <v>113</v>
      </c>
      <c r="F498" s="74">
        <v>7092200</v>
      </c>
      <c r="G498" s="74">
        <v>428231</v>
      </c>
      <c r="H498" s="74">
        <v>7225380</v>
      </c>
      <c r="I498" s="73">
        <v>6.0380559E-2</v>
      </c>
    </row>
    <row r="499" spans="1:9" x14ac:dyDescent="0.3">
      <c r="A499" s="73">
        <v>23</v>
      </c>
      <c r="B499" s="73">
        <v>2003</v>
      </c>
      <c r="C499" s="73">
        <v>1969</v>
      </c>
      <c r="D499" s="73" t="s">
        <v>86</v>
      </c>
      <c r="E499" s="73" t="s">
        <v>113</v>
      </c>
      <c r="F499" s="74">
        <v>5146800</v>
      </c>
      <c r="G499" s="74">
        <v>437587</v>
      </c>
      <c r="H499" s="74">
        <v>8502400</v>
      </c>
      <c r="I499" s="73">
        <v>8.5021178000000003E-2</v>
      </c>
    </row>
    <row r="500" spans="1:9" x14ac:dyDescent="0.3">
      <c r="A500" s="73">
        <v>23</v>
      </c>
      <c r="B500" s="73">
        <v>2003</v>
      </c>
      <c r="C500" s="73">
        <v>1968</v>
      </c>
      <c r="D500" s="73" t="s">
        <v>86</v>
      </c>
      <c r="E500" s="73" t="s">
        <v>113</v>
      </c>
      <c r="F500" s="74">
        <v>3668900</v>
      </c>
      <c r="G500" s="74">
        <v>298153</v>
      </c>
      <c r="H500" s="74">
        <v>10668620</v>
      </c>
      <c r="I500" s="73">
        <v>8.1264956999999999E-2</v>
      </c>
    </row>
    <row r="501" spans="1:9" x14ac:dyDescent="0.3">
      <c r="A501" s="73">
        <v>23</v>
      </c>
      <c r="B501" s="73">
        <v>2003</v>
      </c>
      <c r="C501" s="73">
        <v>1967</v>
      </c>
      <c r="D501" s="73" t="s">
        <v>86</v>
      </c>
      <c r="E501" s="73" t="s">
        <v>113</v>
      </c>
      <c r="F501" s="74">
        <v>8496500</v>
      </c>
      <c r="G501" s="74">
        <v>379963</v>
      </c>
      <c r="H501" s="74">
        <v>11429960</v>
      </c>
      <c r="I501" s="73">
        <v>4.4719943999999998E-2</v>
      </c>
    </row>
    <row r="502" spans="1:9" x14ac:dyDescent="0.3">
      <c r="A502" s="73">
        <v>23</v>
      </c>
      <c r="B502" s="73">
        <v>2003</v>
      </c>
      <c r="C502" s="73">
        <v>1966</v>
      </c>
      <c r="D502" s="73" t="s">
        <v>86</v>
      </c>
      <c r="E502" s="73" t="s">
        <v>113</v>
      </c>
      <c r="F502" s="74">
        <v>8555700</v>
      </c>
      <c r="G502" s="74">
        <v>324767</v>
      </c>
      <c r="H502" s="74">
        <v>12181260</v>
      </c>
      <c r="I502" s="73">
        <v>3.7959138000000003E-2</v>
      </c>
    </row>
    <row r="503" spans="1:9" x14ac:dyDescent="0.3">
      <c r="A503" s="73">
        <v>23</v>
      </c>
      <c r="B503" s="73">
        <v>2003</v>
      </c>
      <c r="C503" s="73">
        <v>1965</v>
      </c>
      <c r="D503" s="73" t="s">
        <v>86</v>
      </c>
      <c r="E503" s="73" t="s">
        <v>113</v>
      </c>
      <c r="F503" s="74">
        <v>10259000</v>
      </c>
      <c r="G503" s="74">
        <v>426047</v>
      </c>
      <c r="H503" s="74">
        <v>13282660</v>
      </c>
      <c r="I503" s="73">
        <v>4.1529096000000001E-2</v>
      </c>
    </row>
    <row r="504" spans="1:9" x14ac:dyDescent="0.3">
      <c r="A504" s="73">
        <v>23</v>
      </c>
      <c r="B504" s="73">
        <v>2003</v>
      </c>
      <c r="C504" s="73">
        <v>1964</v>
      </c>
      <c r="D504" s="73" t="s">
        <v>86</v>
      </c>
      <c r="E504" s="73" t="s">
        <v>113</v>
      </c>
      <c r="F504" s="74">
        <v>11531900</v>
      </c>
      <c r="G504" s="74">
        <v>471819</v>
      </c>
      <c r="H504" s="74">
        <v>13512780</v>
      </c>
      <c r="I504" s="73">
        <v>4.0914247000000001E-2</v>
      </c>
    </row>
    <row r="505" spans="1:9" x14ac:dyDescent="0.3">
      <c r="A505" s="73">
        <v>23</v>
      </c>
      <c r="B505" s="73">
        <v>2003</v>
      </c>
      <c r="C505" s="73">
        <v>1963</v>
      </c>
      <c r="D505" s="73" t="s">
        <v>86</v>
      </c>
      <c r="E505" s="73" t="s">
        <v>113</v>
      </c>
      <c r="F505" s="74">
        <v>14500000</v>
      </c>
      <c r="G505" s="74">
        <v>596071</v>
      </c>
      <c r="H505" s="74">
        <v>12649760</v>
      </c>
      <c r="I505" s="73">
        <v>4.1108344999999998E-2</v>
      </c>
    </row>
    <row r="506" spans="1:9" x14ac:dyDescent="0.3">
      <c r="A506" s="73">
        <v>23</v>
      </c>
      <c r="B506" s="73">
        <v>2003</v>
      </c>
      <c r="C506" s="73">
        <v>1962</v>
      </c>
      <c r="D506" s="73" t="s">
        <v>86</v>
      </c>
      <c r="E506" s="73" t="s">
        <v>113</v>
      </c>
      <c r="F506" s="74">
        <v>12303200</v>
      </c>
      <c r="G506" s="74">
        <v>437357</v>
      </c>
      <c r="H506" s="74">
        <v>11982680</v>
      </c>
      <c r="I506" s="73">
        <v>3.5548231E-2</v>
      </c>
    </row>
    <row r="507" spans="1:9" x14ac:dyDescent="0.3">
      <c r="A507" s="73">
        <v>23</v>
      </c>
      <c r="B507" s="73">
        <v>2003</v>
      </c>
      <c r="C507" s="73">
        <v>1961</v>
      </c>
      <c r="D507" s="73" t="s">
        <v>86</v>
      </c>
      <c r="E507" s="73" t="s">
        <v>113</v>
      </c>
      <c r="F507" s="74">
        <v>12312200</v>
      </c>
      <c r="G507" s="74">
        <v>450158</v>
      </c>
      <c r="H507" s="74">
        <v>11228700</v>
      </c>
      <c r="I507" s="73">
        <v>3.6561946999999997E-2</v>
      </c>
    </row>
    <row r="508" spans="1:9" x14ac:dyDescent="0.3">
      <c r="A508" s="73">
        <v>23</v>
      </c>
      <c r="B508" s="73">
        <v>2003</v>
      </c>
      <c r="C508" s="73">
        <v>1960</v>
      </c>
      <c r="D508" s="73" t="s">
        <v>86</v>
      </c>
      <c r="E508" s="73" t="s">
        <v>113</v>
      </c>
      <c r="F508" s="74">
        <v>15766000</v>
      </c>
      <c r="G508" s="74">
        <v>516755</v>
      </c>
      <c r="H508" s="74">
        <v>10224560</v>
      </c>
      <c r="I508" s="73">
        <v>3.2776543999999998E-2</v>
      </c>
    </row>
    <row r="509" spans="1:9" x14ac:dyDescent="0.3">
      <c r="A509" s="73">
        <v>23</v>
      </c>
      <c r="B509" s="73">
        <v>2003</v>
      </c>
      <c r="C509" s="73">
        <v>1959</v>
      </c>
      <c r="D509" s="73" t="s">
        <v>86</v>
      </c>
      <c r="E509" s="73" t="s">
        <v>113</v>
      </c>
      <c r="F509" s="74">
        <v>12682500</v>
      </c>
      <c r="G509" s="74">
        <v>592814</v>
      </c>
      <c r="H509" s="74">
        <v>9816040</v>
      </c>
      <c r="I509" s="73">
        <v>4.6742677000000003E-2</v>
      </c>
    </row>
    <row r="510" spans="1:9" x14ac:dyDescent="0.3">
      <c r="A510" s="73">
        <v>23</v>
      </c>
      <c r="B510" s="73">
        <v>2003</v>
      </c>
      <c r="C510" s="73">
        <v>1958</v>
      </c>
      <c r="D510" s="73" t="s">
        <v>86</v>
      </c>
      <c r="E510" s="73" t="s">
        <v>113</v>
      </c>
      <c r="F510" s="74">
        <v>10184900</v>
      </c>
      <c r="G510" s="74">
        <v>487007</v>
      </c>
      <c r="H510" s="74">
        <v>9676220</v>
      </c>
      <c r="I510" s="73">
        <v>4.7816572000000002E-2</v>
      </c>
    </row>
    <row r="511" spans="1:9" x14ac:dyDescent="0.3">
      <c r="A511" s="73">
        <v>23</v>
      </c>
      <c r="B511" s="73">
        <v>2003</v>
      </c>
      <c r="C511" s="73">
        <v>1957</v>
      </c>
      <c r="D511" s="73" t="s">
        <v>86</v>
      </c>
      <c r="E511" s="73" t="s">
        <v>113</v>
      </c>
      <c r="F511" s="74">
        <v>8967800</v>
      </c>
      <c r="G511" s="74">
        <v>352659</v>
      </c>
      <c r="H511" s="74">
        <v>9774300</v>
      </c>
      <c r="I511" s="73">
        <v>3.9325029999999997E-2</v>
      </c>
    </row>
    <row r="512" spans="1:9" x14ac:dyDescent="0.3">
      <c r="A512" s="73">
        <v>23</v>
      </c>
      <c r="B512" s="73">
        <v>2003</v>
      </c>
      <c r="C512" s="73">
        <v>1956</v>
      </c>
      <c r="D512" s="73" t="s">
        <v>86</v>
      </c>
      <c r="E512" s="73" t="s">
        <v>113</v>
      </c>
      <c r="F512" s="74">
        <v>8542300</v>
      </c>
      <c r="G512" s="74">
        <v>320848</v>
      </c>
      <c r="H512" s="74">
        <v>9371120</v>
      </c>
      <c r="I512" s="73">
        <v>3.7559908000000003E-2</v>
      </c>
    </row>
    <row r="513" spans="1:11" x14ac:dyDescent="0.3">
      <c r="A513" s="73">
        <v>23</v>
      </c>
      <c r="B513" s="73">
        <v>2003</v>
      </c>
      <c r="C513" s="73">
        <v>1955</v>
      </c>
      <c r="D513" s="73" t="s">
        <v>86</v>
      </c>
      <c r="E513" s="73" t="s">
        <v>113</v>
      </c>
      <c r="F513" s="74">
        <v>10745300</v>
      </c>
      <c r="G513" s="74">
        <v>429812</v>
      </c>
      <c r="H513" s="74">
        <v>8227580</v>
      </c>
      <c r="I513" s="73">
        <v>0.04</v>
      </c>
      <c r="J513" s="73"/>
      <c r="K513" s="73"/>
    </row>
    <row r="514" spans="1:11" x14ac:dyDescent="0.3">
      <c r="A514" s="73">
        <v>23</v>
      </c>
      <c r="B514" s="73">
        <v>2003</v>
      </c>
      <c r="C514" s="73">
        <v>1954</v>
      </c>
      <c r="D514" s="73" t="s">
        <v>86</v>
      </c>
      <c r="E514" s="73" t="s">
        <v>113</v>
      </c>
      <c r="F514" s="74">
        <v>10639900</v>
      </c>
      <c r="G514" s="74">
        <v>425596</v>
      </c>
      <c r="H514" s="74">
        <v>10363547</v>
      </c>
      <c r="I514" s="73">
        <v>0.04</v>
      </c>
      <c r="J514" s="73"/>
      <c r="K514" s="73"/>
    </row>
    <row r="515" spans="1:11" x14ac:dyDescent="0.3">
      <c r="A515" s="73">
        <v>23</v>
      </c>
      <c r="B515" s="73">
        <v>2003</v>
      </c>
      <c r="C515" s="73">
        <v>1953</v>
      </c>
      <c r="D515" s="73" t="s">
        <v>86</v>
      </c>
      <c r="E515" s="73" t="s">
        <v>113</v>
      </c>
      <c r="F515" s="74">
        <v>9485800</v>
      </c>
      <c r="G515" s="74">
        <v>380881</v>
      </c>
      <c r="H515" s="74">
        <v>16381108</v>
      </c>
      <c r="I515" s="73">
        <v>4.0152754999999998E-2</v>
      </c>
      <c r="J515" s="73"/>
      <c r="K515" s="73"/>
    </row>
    <row r="516" spans="1:11" x14ac:dyDescent="0.3">
      <c r="A516" s="73">
        <v>23</v>
      </c>
      <c r="B516" s="73">
        <v>2003</v>
      </c>
      <c r="C516" s="73">
        <v>1952</v>
      </c>
      <c r="D516" s="73" t="s">
        <v>86</v>
      </c>
      <c r="E516" s="73" t="s">
        <v>113</v>
      </c>
      <c r="F516" s="74">
        <v>9458200</v>
      </c>
      <c r="G516" s="74">
        <v>364649</v>
      </c>
      <c r="H516" s="74">
        <v>26671837</v>
      </c>
      <c r="I516" s="73">
        <v>3.8553742000000002E-2</v>
      </c>
      <c r="J516" s="73"/>
      <c r="K516" s="73"/>
    </row>
    <row r="517" spans="1:11" x14ac:dyDescent="0.3">
      <c r="A517" s="73">
        <v>23</v>
      </c>
      <c r="B517" s="73">
        <v>2003</v>
      </c>
      <c r="C517" s="73">
        <v>1951</v>
      </c>
      <c r="D517" s="73" t="s">
        <v>86</v>
      </c>
      <c r="E517" s="73" t="s">
        <v>113</v>
      </c>
      <c r="F517" s="74">
        <v>6526400</v>
      </c>
      <c r="G517" s="74">
        <v>256448</v>
      </c>
      <c r="H517" s="74">
        <v>36410487</v>
      </c>
      <c r="I517" s="73">
        <v>3.9293944999999997E-2</v>
      </c>
      <c r="J517" s="73"/>
      <c r="K517" s="73"/>
    </row>
    <row r="518" spans="1:11" x14ac:dyDescent="0.3">
      <c r="A518" s="73">
        <v>23</v>
      </c>
      <c r="B518" s="73">
        <v>2003</v>
      </c>
      <c r="C518" s="73">
        <v>1950</v>
      </c>
      <c r="D518" s="73" t="s">
        <v>86</v>
      </c>
      <c r="E518" s="73" t="s">
        <v>113</v>
      </c>
      <c r="F518" s="74">
        <v>5027600</v>
      </c>
      <c r="G518" s="74">
        <v>194834</v>
      </c>
      <c r="H518" s="74">
        <v>49543279</v>
      </c>
      <c r="I518" s="73">
        <v>3.8752884000000001E-2</v>
      </c>
      <c r="J518" s="73"/>
      <c r="K518" s="73"/>
    </row>
    <row r="519" spans="1:11" x14ac:dyDescent="0.3">
      <c r="A519" s="73">
        <v>17</v>
      </c>
      <c r="B519" s="73">
        <v>2000</v>
      </c>
      <c r="C519" s="73">
        <v>2017</v>
      </c>
      <c r="D519" s="73" t="s">
        <v>50</v>
      </c>
      <c r="E519" s="73" t="s">
        <v>118</v>
      </c>
      <c r="F519" s="74">
        <v>21319734</v>
      </c>
      <c r="G519" s="74">
        <v>57928755</v>
      </c>
      <c r="H519" s="74">
        <v>62924487</v>
      </c>
      <c r="I519" s="73">
        <v>2.717142484</v>
      </c>
      <c r="J519" s="74">
        <v>102985228</v>
      </c>
      <c r="K519" s="73">
        <v>190007750.40000001</v>
      </c>
    </row>
    <row r="520" spans="1:11" x14ac:dyDescent="0.3">
      <c r="A520" s="73">
        <v>17</v>
      </c>
      <c r="B520" s="73">
        <v>2000</v>
      </c>
      <c r="C520" s="73">
        <v>2016</v>
      </c>
      <c r="D520" s="73" t="s">
        <v>50</v>
      </c>
      <c r="E520" s="73" t="s">
        <v>118</v>
      </c>
      <c r="F520" s="74">
        <v>39573607</v>
      </c>
      <c r="G520" s="74">
        <v>105808302</v>
      </c>
      <c r="H520" s="74">
        <v>65819688</v>
      </c>
      <c r="I520" s="73">
        <v>2.6737088180000002</v>
      </c>
      <c r="J520" s="73"/>
      <c r="K520" s="73"/>
    </row>
    <row r="521" spans="1:11" x14ac:dyDescent="0.3">
      <c r="A521" s="73">
        <v>17</v>
      </c>
      <c r="B521" s="73">
        <v>2000</v>
      </c>
      <c r="C521" s="73">
        <v>2015</v>
      </c>
      <c r="D521" s="73" t="s">
        <v>50</v>
      </c>
      <c r="E521" s="73" t="s">
        <v>118</v>
      </c>
      <c r="F521" s="74">
        <v>60911842</v>
      </c>
      <c r="G521" s="74">
        <v>124614335</v>
      </c>
      <c r="H521" s="74">
        <v>63205162</v>
      </c>
      <c r="I521" s="73">
        <v>2.0458145889999999</v>
      </c>
      <c r="J521" s="73"/>
      <c r="K521" s="73"/>
    </row>
    <row r="522" spans="1:11" x14ac:dyDescent="0.3">
      <c r="A522" s="73">
        <v>17</v>
      </c>
      <c r="B522" s="73">
        <v>2000</v>
      </c>
      <c r="C522" s="73">
        <v>2014</v>
      </c>
      <c r="D522" s="73" t="s">
        <v>50</v>
      </c>
      <c r="E522" s="73" t="s">
        <v>118</v>
      </c>
      <c r="F522" s="74">
        <v>55219654</v>
      </c>
      <c r="G522" s="74">
        <v>128451108</v>
      </c>
      <c r="H522" s="74">
        <v>63697958</v>
      </c>
      <c r="I522" s="73">
        <v>2.3261845860000001</v>
      </c>
      <c r="J522" s="73"/>
      <c r="K522" s="73"/>
    </row>
    <row r="523" spans="1:11" x14ac:dyDescent="0.3">
      <c r="A523" s="73">
        <v>17</v>
      </c>
      <c r="B523" s="73">
        <v>2000</v>
      </c>
      <c r="C523" s="73">
        <v>2013</v>
      </c>
      <c r="D523" s="73" t="s">
        <v>50</v>
      </c>
      <c r="E523" s="73" t="s">
        <v>118</v>
      </c>
      <c r="F523" s="74">
        <v>70691558</v>
      </c>
      <c r="G523" s="74">
        <v>161983618</v>
      </c>
      <c r="H523" s="74">
        <v>62048098</v>
      </c>
      <c r="I523" s="73">
        <v>2.2914138909999999</v>
      </c>
      <c r="J523" s="73"/>
      <c r="K523" s="73"/>
    </row>
    <row r="524" spans="1:11" x14ac:dyDescent="0.3">
      <c r="A524" s="73">
        <v>17</v>
      </c>
      <c r="B524" s="73">
        <v>2000</v>
      </c>
      <c r="C524" s="73">
        <v>2012</v>
      </c>
      <c r="D524" s="73" t="s">
        <v>50</v>
      </c>
      <c r="E524" s="73" t="s">
        <v>118</v>
      </c>
      <c r="F524" s="74">
        <v>88225773</v>
      </c>
      <c r="G524" s="74">
        <v>190433965</v>
      </c>
      <c r="H524" s="74">
        <v>51227868</v>
      </c>
      <c r="I524" s="73">
        <v>2.1584845170000002</v>
      </c>
      <c r="J524" s="73"/>
      <c r="K524" s="73"/>
    </row>
    <row r="525" spans="1:11" x14ac:dyDescent="0.3">
      <c r="A525" s="73">
        <v>17</v>
      </c>
      <c r="B525" s="73">
        <v>2000</v>
      </c>
      <c r="C525" s="73">
        <v>2011</v>
      </c>
      <c r="D525" s="73" t="s">
        <v>50</v>
      </c>
      <c r="E525" s="73" t="s">
        <v>118</v>
      </c>
      <c r="F525" s="74">
        <v>54049614</v>
      </c>
      <c r="G525" s="74">
        <v>137252235</v>
      </c>
      <c r="H525" s="74">
        <v>48021822</v>
      </c>
      <c r="I525" s="73">
        <v>2.539374934</v>
      </c>
      <c r="J525" s="73"/>
      <c r="K525" s="73"/>
    </row>
    <row r="526" spans="1:11" x14ac:dyDescent="0.3">
      <c r="A526" s="73">
        <v>17</v>
      </c>
      <c r="B526" s="73">
        <v>2000</v>
      </c>
      <c r="C526" s="73">
        <v>2010</v>
      </c>
      <c r="D526" s="73" t="s">
        <v>50</v>
      </c>
      <c r="E526" s="73" t="s">
        <v>118</v>
      </c>
      <c r="F526" s="74">
        <v>47839212</v>
      </c>
      <c r="G526" s="74">
        <v>62507867</v>
      </c>
      <c r="H526" s="74">
        <v>43426936</v>
      </c>
      <c r="I526" s="73">
        <v>1.3066240929999999</v>
      </c>
      <c r="J526" s="73"/>
      <c r="K526" s="73"/>
    </row>
    <row r="527" spans="1:11" x14ac:dyDescent="0.3">
      <c r="A527" s="73">
        <v>17</v>
      </c>
      <c r="B527" s="73">
        <v>2000</v>
      </c>
      <c r="C527" s="73">
        <v>2009</v>
      </c>
      <c r="D527" s="73" t="s">
        <v>50</v>
      </c>
      <c r="E527" s="73" t="s">
        <v>118</v>
      </c>
      <c r="F527" s="74">
        <v>57683635</v>
      </c>
      <c r="G527" s="74">
        <v>80551200</v>
      </c>
      <c r="H527" s="74">
        <v>36627713</v>
      </c>
      <c r="I527" s="73">
        <v>1.396430721</v>
      </c>
      <c r="J527" s="73"/>
      <c r="K527" s="73"/>
    </row>
    <row r="528" spans="1:11" x14ac:dyDescent="0.3">
      <c r="A528" s="73">
        <v>17</v>
      </c>
      <c r="B528" s="73">
        <v>2000</v>
      </c>
      <c r="C528" s="73">
        <v>2008</v>
      </c>
      <c r="D528" s="73" t="s">
        <v>50</v>
      </c>
      <c r="E528" s="73" t="s">
        <v>118</v>
      </c>
      <c r="F528" s="74">
        <v>62442257</v>
      </c>
      <c r="G528" s="74">
        <v>106296177</v>
      </c>
      <c r="H528" s="74">
        <v>29641390</v>
      </c>
      <c r="I528" s="73">
        <v>1.7023115769999999</v>
      </c>
      <c r="J528" s="73"/>
      <c r="K528" s="73"/>
    </row>
    <row r="529" spans="1:11" x14ac:dyDescent="0.3">
      <c r="A529" s="73">
        <v>17</v>
      </c>
      <c r="B529" s="73">
        <v>2000</v>
      </c>
      <c r="C529" s="73">
        <v>2007</v>
      </c>
      <c r="D529" s="73" t="s">
        <v>50</v>
      </c>
      <c r="E529" s="73" t="s">
        <v>118</v>
      </c>
      <c r="F529" s="74">
        <v>34124621</v>
      </c>
      <c r="G529" s="74">
        <v>50403015</v>
      </c>
      <c r="H529" s="74">
        <v>29203669</v>
      </c>
      <c r="I529" s="73">
        <v>1.477027833</v>
      </c>
      <c r="J529" s="73"/>
      <c r="K529" s="73"/>
    </row>
    <row r="530" spans="1:11" x14ac:dyDescent="0.3">
      <c r="A530" s="73">
        <v>17</v>
      </c>
      <c r="B530" s="73">
        <v>2000</v>
      </c>
      <c r="C530" s="73">
        <v>2006</v>
      </c>
      <c r="D530" s="73" t="s">
        <v>50</v>
      </c>
      <c r="E530" s="73" t="s">
        <v>118</v>
      </c>
      <c r="F530" s="74">
        <v>38019384</v>
      </c>
      <c r="G530" s="74">
        <v>30453809</v>
      </c>
      <c r="H530" s="74">
        <v>26558221</v>
      </c>
      <c r="I530" s="73">
        <v>0.80100742800000002</v>
      </c>
      <c r="J530" s="73"/>
      <c r="K530" s="73"/>
    </row>
    <row r="531" spans="1:11" x14ac:dyDescent="0.3">
      <c r="A531" s="73">
        <v>17</v>
      </c>
      <c r="B531" s="73">
        <v>2000</v>
      </c>
      <c r="C531" s="73">
        <v>2005</v>
      </c>
      <c r="D531" s="73" t="s">
        <v>50</v>
      </c>
      <c r="E531" s="73" t="s">
        <v>118</v>
      </c>
      <c r="F531" s="74">
        <v>24864785</v>
      </c>
      <c r="G531" s="74">
        <v>42760967</v>
      </c>
      <c r="H531" s="74">
        <v>28147374</v>
      </c>
      <c r="I531" s="73">
        <v>1.719740066</v>
      </c>
      <c r="J531" s="73"/>
      <c r="K531" s="73"/>
    </row>
    <row r="532" spans="1:11" x14ac:dyDescent="0.3">
      <c r="A532" s="73">
        <v>17</v>
      </c>
      <c r="B532" s="73">
        <v>2000</v>
      </c>
      <c r="C532" s="73">
        <v>2004</v>
      </c>
      <c r="D532" s="73" t="s">
        <v>50</v>
      </c>
      <c r="E532" s="73" t="s">
        <v>118</v>
      </c>
      <c r="F532" s="74">
        <v>23687517</v>
      </c>
      <c r="G532" s="74">
        <v>48635717</v>
      </c>
      <c r="H532" s="74">
        <v>60009280</v>
      </c>
      <c r="I532" s="73">
        <v>2.0532214080000002</v>
      </c>
      <c r="J532" s="73"/>
      <c r="K532" s="73"/>
    </row>
    <row r="533" spans="1:11" x14ac:dyDescent="0.3">
      <c r="A533" s="73">
        <v>17</v>
      </c>
      <c r="B533" s="73">
        <v>2000</v>
      </c>
      <c r="C533" s="73">
        <v>2003</v>
      </c>
      <c r="D533" s="73" t="s">
        <v>50</v>
      </c>
      <c r="E533" s="73" t="s">
        <v>118</v>
      </c>
      <c r="F533" s="74">
        <v>27510643</v>
      </c>
      <c r="G533" s="74">
        <v>50423551</v>
      </c>
      <c r="H533" s="74">
        <v>102593882</v>
      </c>
      <c r="I533" s="73">
        <v>1.8328743169999999</v>
      </c>
      <c r="J533" s="73"/>
      <c r="K533" s="73"/>
    </row>
    <row r="534" spans="1:11" x14ac:dyDescent="0.3">
      <c r="A534" s="73">
        <v>17</v>
      </c>
      <c r="B534" s="73">
        <v>2000</v>
      </c>
      <c r="C534" s="73">
        <v>2002</v>
      </c>
      <c r="D534" s="73" t="s">
        <v>50</v>
      </c>
      <c r="E534" s="73" t="s">
        <v>118</v>
      </c>
      <c r="F534" s="74">
        <v>31936016</v>
      </c>
      <c r="G534" s="74">
        <v>43976897</v>
      </c>
      <c r="H534" s="74">
        <v>119642615</v>
      </c>
      <c r="I534" s="73">
        <v>1.377031406</v>
      </c>
      <c r="J534" s="73"/>
      <c r="K534" s="73"/>
    </row>
    <row r="535" spans="1:11" x14ac:dyDescent="0.3">
      <c r="A535" s="73">
        <v>17</v>
      </c>
      <c r="B535" s="73">
        <v>2000</v>
      </c>
      <c r="C535" s="73">
        <v>2001</v>
      </c>
      <c r="D535" s="73" t="s">
        <v>50</v>
      </c>
      <c r="E535" s="73" t="s">
        <v>118</v>
      </c>
      <c r="F535" s="74">
        <v>24792145</v>
      </c>
      <c r="G535" s="74">
        <v>38319216</v>
      </c>
      <c r="H535" s="74">
        <v>127556818</v>
      </c>
      <c r="I535" s="73">
        <v>1.545619227</v>
      </c>
      <c r="J535" s="73"/>
      <c r="K535" s="73"/>
    </row>
    <row r="536" spans="1:11" x14ac:dyDescent="0.3">
      <c r="A536" s="73">
        <v>17</v>
      </c>
      <c r="B536" s="73">
        <v>2000</v>
      </c>
      <c r="C536" s="73">
        <v>2000</v>
      </c>
      <c r="D536" s="73" t="s">
        <v>50</v>
      </c>
      <c r="E536" s="73" t="s">
        <v>118</v>
      </c>
      <c r="F536" s="74">
        <v>32810551</v>
      </c>
      <c r="G536" s="74">
        <v>60535468</v>
      </c>
      <c r="H536" s="74">
        <v>135795779</v>
      </c>
      <c r="I536" s="73">
        <v>1.845000043</v>
      </c>
      <c r="J536" s="73"/>
      <c r="K536" s="73"/>
    </row>
    <row r="537" spans="1:11" x14ac:dyDescent="0.3">
      <c r="A537" s="73">
        <v>17</v>
      </c>
      <c r="B537" s="73">
        <v>2000</v>
      </c>
      <c r="C537" s="73">
        <v>1999</v>
      </c>
      <c r="D537" s="73" t="s">
        <v>50</v>
      </c>
      <c r="E537" s="73" t="s">
        <v>118</v>
      </c>
      <c r="F537" s="74">
        <v>182997046</v>
      </c>
      <c r="G537" s="74">
        <v>161037400</v>
      </c>
      <c r="H537" s="74">
        <v>128794961</v>
      </c>
      <c r="I537" s="73">
        <v>0.87999999699999998</v>
      </c>
      <c r="J537" s="73"/>
      <c r="K537" s="73"/>
    </row>
    <row r="538" spans="1:11" x14ac:dyDescent="0.3">
      <c r="A538" s="73">
        <v>17</v>
      </c>
      <c r="B538" s="73">
        <v>2000</v>
      </c>
      <c r="C538" s="73">
        <v>1998</v>
      </c>
      <c r="D538" s="73" t="s">
        <v>50</v>
      </c>
      <c r="E538" s="73" t="s">
        <v>118</v>
      </c>
      <c r="F538" s="74">
        <v>240433650</v>
      </c>
      <c r="G538" s="74">
        <v>135847412</v>
      </c>
      <c r="H538" s="74">
        <v>126550841</v>
      </c>
      <c r="I538" s="73">
        <v>0.56500998099999999</v>
      </c>
      <c r="J538" s="73"/>
      <c r="K538" s="73"/>
    </row>
    <row r="539" spans="1:11" x14ac:dyDescent="0.3">
      <c r="A539" s="73">
        <v>17</v>
      </c>
      <c r="B539" s="73">
        <v>2000</v>
      </c>
      <c r="C539" s="73">
        <v>1997</v>
      </c>
      <c r="D539" s="73" t="s">
        <v>50</v>
      </c>
      <c r="E539" s="73" t="s">
        <v>118</v>
      </c>
      <c r="F539" s="74">
        <v>117179683</v>
      </c>
      <c r="G539" s="74">
        <v>92337590</v>
      </c>
      <c r="H539" s="74">
        <v>165710140</v>
      </c>
      <c r="I539" s="73">
        <v>0.78799999799999998</v>
      </c>
      <c r="J539" s="73"/>
      <c r="K539" s="73"/>
    </row>
    <row r="540" spans="1:11" x14ac:dyDescent="0.3">
      <c r="A540" s="73">
        <v>17</v>
      </c>
      <c r="B540" s="73">
        <v>2000</v>
      </c>
      <c r="C540" s="73">
        <v>1996</v>
      </c>
      <c r="D540" s="73" t="s">
        <v>50</v>
      </c>
      <c r="E540" s="73" t="s">
        <v>118</v>
      </c>
      <c r="F540" s="74">
        <v>64363158</v>
      </c>
      <c r="G540" s="74">
        <v>87949038</v>
      </c>
      <c r="H540" s="74">
        <v>217874155</v>
      </c>
      <c r="I540" s="73">
        <v>1.366450012</v>
      </c>
      <c r="J540" s="73"/>
      <c r="K540" s="73"/>
    </row>
    <row r="541" spans="1:11" x14ac:dyDescent="0.3">
      <c r="A541" s="73">
        <v>17</v>
      </c>
      <c r="B541" s="73">
        <v>2000</v>
      </c>
      <c r="C541" s="73">
        <v>1995</v>
      </c>
      <c r="D541" s="73" t="s">
        <v>50</v>
      </c>
      <c r="E541" s="73" t="s">
        <v>118</v>
      </c>
      <c r="F541" s="74">
        <v>74005359</v>
      </c>
      <c r="G541" s="74">
        <v>174488599</v>
      </c>
      <c r="H541" s="74">
        <v>235078021</v>
      </c>
      <c r="I541" s="73">
        <v>2.3577832920000001</v>
      </c>
      <c r="J541" s="73"/>
      <c r="K541" s="73"/>
    </row>
    <row r="542" spans="1:11" x14ac:dyDescent="0.3">
      <c r="A542" s="73">
        <v>17</v>
      </c>
      <c r="B542" s="73">
        <v>2000</v>
      </c>
      <c r="C542" s="73">
        <v>1994</v>
      </c>
      <c r="D542" s="73" t="s">
        <v>50</v>
      </c>
      <c r="E542" s="73" t="s">
        <v>118</v>
      </c>
      <c r="F542" s="74">
        <v>147992955</v>
      </c>
      <c r="G542" s="74">
        <v>199346511</v>
      </c>
      <c r="H542" s="74">
        <v>235008471</v>
      </c>
      <c r="I542" s="73">
        <v>1.3470000040000001</v>
      </c>
      <c r="J542" s="73"/>
      <c r="K542" s="73"/>
    </row>
    <row r="543" spans="1:11" x14ac:dyDescent="0.3">
      <c r="A543" s="73">
        <v>17</v>
      </c>
      <c r="B543" s="73">
        <v>2000</v>
      </c>
      <c r="C543" s="73">
        <v>1993</v>
      </c>
      <c r="D543" s="73" t="s">
        <v>50</v>
      </c>
      <c r="E543" s="73" t="s">
        <v>118</v>
      </c>
      <c r="F543" s="74">
        <v>229213048</v>
      </c>
      <c r="G543" s="74">
        <v>173055858</v>
      </c>
      <c r="H543" s="74">
        <v>215329402</v>
      </c>
      <c r="I543" s="73">
        <v>0.75500002899999996</v>
      </c>
      <c r="J543" s="73"/>
      <c r="K543" s="73"/>
    </row>
    <row r="544" spans="1:11" x14ac:dyDescent="0.3">
      <c r="A544" s="73">
        <v>17</v>
      </c>
      <c r="B544" s="73">
        <v>2000</v>
      </c>
      <c r="C544" s="73">
        <v>1992</v>
      </c>
      <c r="D544" s="73" t="s">
        <v>50</v>
      </c>
      <c r="E544" s="73" t="s">
        <v>118</v>
      </c>
      <c r="F544" s="74">
        <v>312976182</v>
      </c>
      <c r="G544" s="74">
        <v>160164650</v>
      </c>
      <c r="H544" s="74">
        <v>172919154</v>
      </c>
      <c r="I544" s="73">
        <v>0.51174708899999999</v>
      </c>
      <c r="J544" s="73"/>
      <c r="K544" s="73"/>
    </row>
    <row r="545" spans="1:9" x14ac:dyDescent="0.3">
      <c r="A545" s="73">
        <v>17</v>
      </c>
      <c r="B545" s="73">
        <v>2000</v>
      </c>
      <c r="C545" s="73">
        <v>1991</v>
      </c>
      <c r="D545" s="73" t="s">
        <v>50</v>
      </c>
      <c r="E545" s="73" t="s">
        <v>118</v>
      </c>
      <c r="F545" s="74">
        <v>325183233</v>
      </c>
      <c r="G545" s="74">
        <v>164468126</v>
      </c>
      <c r="H545" s="74">
        <v>127199054</v>
      </c>
      <c r="I545" s="73">
        <v>0.505770622</v>
      </c>
    </row>
    <row r="546" spans="1:9" x14ac:dyDescent="0.3">
      <c r="A546" s="73">
        <v>17</v>
      </c>
      <c r="B546" s="73">
        <v>2000</v>
      </c>
      <c r="C546" s="73">
        <v>1990</v>
      </c>
      <c r="D546" s="73" t="s">
        <v>50</v>
      </c>
      <c r="E546" s="73" t="s">
        <v>118</v>
      </c>
      <c r="F546" s="74">
        <v>160024686</v>
      </c>
      <c r="G546" s="74">
        <v>100015433</v>
      </c>
      <c r="H546" s="74">
        <v>108184568</v>
      </c>
      <c r="I546" s="73">
        <v>0.62500002700000001</v>
      </c>
    </row>
    <row r="547" spans="1:9" x14ac:dyDescent="0.3">
      <c r="A547" s="73">
        <v>17</v>
      </c>
      <c r="B547" s="73">
        <v>2000</v>
      </c>
      <c r="C547" s="73">
        <v>1989</v>
      </c>
      <c r="D547" s="73" t="s">
        <v>50</v>
      </c>
      <c r="E547" s="73" t="s">
        <v>118</v>
      </c>
      <c r="F547" s="74">
        <v>147645204</v>
      </c>
      <c r="G547" s="74">
        <v>117968365</v>
      </c>
      <c r="H547" s="74">
        <v>83858393</v>
      </c>
      <c r="I547" s="73">
        <v>0.79899896400000003</v>
      </c>
    </row>
    <row r="548" spans="1:9" x14ac:dyDescent="0.3">
      <c r="A548" s="73">
        <v>17</v>
      </c>
      <c r="B548" s="73">
        <v>2000</v>
      </c>
      <c r="C548" s="73">
        <v>1988</v>
      </c>
      <c r="D548" s="73" t="s">
        <v>50</v>
      </c>
      <c r="E548" s="73" t="s">
        <v>118</v>
      </c>
      <c r="F548" s="74">
        <v>130817707</v>
      </c>
      <c r="G548" s="74">
        <v>109232789</v>
      </c>
      <c r="H548" s="74">
        <v>62656876</v>
      </c>
      <c r="I548" s="73">
        <v>0.83500002799999995</v>
      </c>
    </row>
    <row r="549" spans="1:9" x14ac:dyDescent="0.3">
      <c r="A549" s="73">
        <v>17</v>
      </c>
      <c r="B549" s="73">
        <v>2000</v>
      </c>
      <c r="C549" s="73">
        <v>1987</v>
      </c>
      <c r="D549" s="73" t="s">
        <v>50</v>
      </c>
      <c r="E549" s="73" t="s">
        <v>118</v>
      </c>
      <c r="F549" s="74">
        <v>100924939</v>
      </c>
      <c r="G549" s="74">
        <v>74886305</v>
      </c>
      <c r="H549" s="74">
        <v>48137662</v>
      </c>
      <c r="I549" s="73">
        <v>0.74200000300000002</v>
      </c>
    </row>
    <row r="550" spans="1:9" x14ac:dyDescent="0.3">
      <c r="A550" s="73">
        <v>17</v>
      </c>
      <c r="B550" s="73">
        <v>2000</v>
      </c>
      <c r="C550" s="73">
        <v>1986</v>
      </c>
      <c r="D550" s="73" t="s">
        <v>50</v>
      </c>
      <c r="E550" s="73" t="s">
        <v>118</v>
      </c>
      <c r="F550" s="74">
        <v>96582736</v>
      </c>
      <c r="G550" s="74">
        <v>52830757</v>
      </c>
      <c r="H550" s="74">
        <v>37193044</v>
      </c>
      <c r="I550" s="73">
        <v>0.54700000400000004</v>
      </c>
    </row>
    <row r="551" spans="1:9" x14ac:dyDescent="0.3">
      <c r="A551" s="73">
        <v>17</v>
      </c>
      <c r="B551" s="73">
        <v>2000</v>
      </c>
      <c r="C551" s="73">
        <v>1985</v>
      </c>
      <c r="D551" s="73" t="s">
        <v>50</v>
      </c>
      <c r="E551" s="73" t="s">
        <v>118</v>
      </c>
      <c r="F551" s="74">
        <v>64952252</v>
      </c>
      <c r="G551" s="74">
        <v>22089480</v>
      </c>
      <c r="H551" s="74">
        <v>24851954</v>
      </c>
      <c r="I551" s="73">
        <v>0.34008797699999999</v>
      </c>
    </row>
    <row r="552" spans="1:9" x14ac:dyDescent="0.3">
      <c r="A552" s="73">
        <v>17</v>
      </c>
      <c r="B552" s="73">
        <v>2000</v>
      </c>
      <c r="C552" s="73">
        <v>1984</v>
      </c>
      <c r="D552" s="73" t="s">
        <v>50</v>
      </c>
      <c r="E552" s="73" t="s">
        <v>118</v>
      </c>
      <c r="F552" s="74">
        <v>26014330</v>
      </c>
      <c r="G552" s="74">
        <v>7804299</v>
      </c>
      <c r="H552" s="74">
        <v>24561360</v>
      </c>
      <c r="I552" s="73">
        <v>0.3</v>
      </c>
    </row>
    <row r="553" spans="1:9" x14ac:dyDescent="0.3">
      <c r="A553" s="73">
        <v>17</v>
      </c>
      <c r="B553" s="73">
        <v>2000</v>
      </c>
      <c r="C553" s="73">
        <v>1983</v>
      </c>
      <c r="D553" s="73" t="s">
        <v>50</v>
      </c>
      <c r="E553" s="73" t="s">
        <v>118</v>
      </c>
      <c r="F553" s="74">
        <v>24810124</v>
      </c>
      <c r="G553" s="74">
        <v>9217997</v>
      </c>
      <c r="H553" s="74">
        <v>24478438</v>
      </c>
      <c r="I553" s="73">
        <v>0.371541754</v>
      </c>
    </row>
    <row r="554" spans="1:9" x14ac:dyDescent="0.3">
      <c r="A554" s="73">
        <v>17</v>
      </c>
      <c r="B554" s="73">
        <v>2000</v>
      </c>
      <c r="C554" s="73">
        <v>1982</v>
      </c>
      <c r="D554" s="73" t="s">
        <v>50</v>
      </c>
      <c r="E554" s="73" t="s">
        <v>118</v>
      </c>
      <c r="F554" s="74">
        <v>28328870</v>
      </c>
      <c r="G554" s="74">
        <v>17067382</v>
      </c>
      <c r="H554" s="74">
        <v>22553222</v>
      </c>
      <c r="I554" s="73">
        <v>0.60247309500000001</v>
      </c>
    </row>
    <row r="555" spans="1:9" x14ac:dyDescent="0.3">
      <c r="A555" s="73">
        <v>17</v>
      </c>
      <c r="B555" s="73">
        <v>2000</v>
      </c>
      <c r="C555" s="73">
        <v>1981</v>
      </c>
      <c r="D555" s="73" t="s">
        <v>50</v>
      </c>
      <c r="E555" s="73" t="s">
        <v>118</v>
      </c>
      <c r="F555" s="74">
        <v>41859644</v>
      </c>
      <c r="G555" s="74">
        <v>11050946</v>
      </c>
      <c r="H555" s="74">
        <v>3246800</v>
      </c>
      <c r="I555" s="73">
        <v>0.26400000000000001</v>
      </c>
    </row>
    <row r="556" spans="1:9" x14ac:dyDescent="0.3">
      <c r="A556" s="73">
        <v>17</v>
      </c>
      <c r="B556" s="73">
        <v>2000</v>
      </c>
      <c r="C556" s="73">
        <v>1968</v>
      </c>
      <c r="D556" s="73" t="s">
        <v>50</v>
      </c>
      <c r="E556" s="73" t="s">
        <v>118</v>
      </c>
      <c r="F556" s="74">
        <v>3246800</v>
      </c>
      <c r="G556" s="74">
        <v>323590</v>
      </c>
      <c r="H556" s="73" t="e">
        <v>#DIV/0!</v>
      </c>
      <c r="I556" s="73">
        <v>9.9664285000000005E-2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410-2419-457C-8897-F4174D5EB557}">
  <dimension ref="A1:G8"/>
  <sheetViews>
    <sheetView workbookViewId="0">
      <selection activeCell="H1" sqref="H1"/>
    </sheetView>
  </sheetViews>
  <sheetFormatPr defaultColWidth="8.6640625" defaultRowHeight="14.4" x14ac:dyDescent="0.3"/>
  <cols>
    <col min="1" max="1" width="13.44140625" style="35" bestFit="1" customWidth="1"/>
    <col min="2" max="2" width="13.33203125" style="71" bestFit="1" customWidth="1"/>
    <col min="3" max="3" width="17.33203125" style="35" bestFit="1" customWidth="1"/>
    <col min="4" max="4" width="14.33203125" style="71" bestFit="1" customWidth="1"/>
    <col min="5" max="5" width="16.33203125" style="35" bestFit="1" customWidth="1"/>
    <col min="6" max="6" width="12.5546875" style="35" customWidth="1"/>
    <col min="7" max="7" width="19.6640625" style="71" customWidth="1"/>
    <col min="8" max="8" width="14.109375" style="35" bestFit="1" customWidth="1"/>
    <col min="9" max="9" width="15.6640625" style="35" bestFit="1" customWidth="1"/>
    <col min="10" max="10" width="19.33203125" style="35" bestFit="1" customWidth="1"/>
    <col min="11" max="16384" width="8.6640625" style="35"/>
  </cols>
  <sheetData>
    <row r="1" spans="1:7" ht="15.6" x14ac:dyDescent="0.3">
      <c r="A1" s="66" t="s">
        <v>3</v>
      </c>
      <c r="B1" s="70" t="s">
        <v>6</v>
      </c>
      <c r="C1" s="66" t="s">
        <v>4</v>
      </c>
      <c r="D1" s="72" t="s">
        <v>152</v>
      </c>
      <c r="E1" s="65" t="s">
        <v>153</v>
      </c>
      <c r="F1" s="65" t="s">
        <v>154</v>
      </c>
      <c r="G1" s="72" t="s">
        <v>155</v>
      </c>
    </row>
    <row r="2" spans="1:7" ht="28.8" x14ac:dyDescent="0.3">
      <c r="A2" s="67">
        <v>86</v>
      </c>
      <c r="B2" s="69" t="s">
        <v>156</v>
      </c>
      <c r="C2" s="67">
        <v>2018</v>
      </c>
      <c r="D2" s="69" t="s">
        <v>157</v>
      </c>
      <c r="E2" s="68" t="s">
        <v>158</v>
      </c>
      <c r="F2" s="69" t="s">
        <v>159</v>
      </c>
      <c r="G2" s="69" t="s">
        <v>160</v>
      </c>
    </row>
    <row r="3" spans="1:7" ht="28.8" x14ac:dyDescent="0.3">
      <c r="A3" s="67">
        <v>74</v>
      </c>
      <c r="B3" s="69" t="s">
        <v>161</v>
      </c>
      <c r="C3" s="67" t="s">
        <v>29</v>
      </c>
      <c r="D3" s="69" t="s">
        <v>157</v>
      </c>
      <c r="E3" s="68" t="s">
        <v>158</v>
      </c>
      <c r="F3" s="69" t="s">
        <v>159</v>
      </c>
      <c r="G3" s="69" t="s">
        <v>162</v>
      </c>
    </row>
    <row r="4" spans="1:7" ht="86.4" x14ac:dyDescent="0.3">
      <c r="A4" s="67">
        <v>73</v>
      </c>
      <c r="B4" s="69" t="s">
        <v>163</v>
      </c>
      <c r="C4" s="67">
        <v>2015</v>
      </c>
      <c r="D4" s="69" t="s">
        <v>164</v>
      </c>
      <c r="E4" s="68" t="s">
        <v>158</v>
      </c>
      <c r="F4" s="69"/>
      <c r="G4" s="69" t="s">
        <v>165</v>
      </c>
    </row>
    <row r="5" spans="1:7" ht="28.8" x14ac:dyDescent="0.3">
      <c r="A5" s="67">
        <v>70</v>
      </c>
      <c r="B5" s="69" t="s">
        <v>156</v>
      </c>
      <c r="C5" s="67">
        <v>2016</v>
      </c>
      <c r="D5" s="69" t="s">
        <v>157</v>
      </c>
      <c r="E5" s="68" t="s">
        <v>158</v>
      </c>
      <c r="F5" s="69" t="s">
        <v>166</v>
      </c>
      <c r="G5" s="69" t="s">
        <v>167</v>
      </c>
    </row>
    <row r="6" spans="1:7" ht="57.6" x14ac:dyDescent="0.3">
      <c r="A6" s="67">
        <v>68</v>
      </c>
      <c r="B6" s="69" t="s">
        <v>163</v>
      </c>
      <c r="C6" s="67">
        <v>2015</v>
      </c>
      <c r="D6" s="69" t="s">
        <v>168</v>
      </c>
      <c r="E6" s="68" t="s">
        <v>158</v>
      </c>
      <c r="F6" s="69" t="s">
        <v>169</v>
      </c>
      <c r="G6" s="69" t="s">
        <v>170</v>
      </c>
    </row>
    <row r="7" spans="1:7" ht="28.8" x14ac:dyDescent="0.3">
      <c r="A7" s="67">
        <v>65</v>
      </c>
      <c r="B7" s="69" t="s">
        <v>163</v>
      </c>
      <c r="C7" s="67">
        <v>2014</v>
      </c>
      <c r="D7" s="69" t="s">
        <v>171</v>
      </c>
      <c r="E7" s="68" t="s">
        <v>158</v>
      </c>
      <c r="F7" s="69" t="s">
        <v>172</v>
      </c>
      <c r="G7" s="69" t="s">
        <v>173</v>
      </c>
    </row>
    <row r="8" spans="1:7" x14ac:dyDescent="0.3">
      <c r="A8" s="67">
        <v>38</v>
      </c>
      <c r="B8" s="69" t="s">
        <v>163</v>
      </c>
      <c r="C8" s="67" t="s">
        <v>174</v>
      </c>
      <c r="D8" s="69" t="s">
        <v>171</v>
      </c>
      <c r="E8" s="68" t="s">
        <v>158</v>
      </c>
      <c r="F8" s="69" t="s">
        <v>172</v>
      </c>
      <c r="G8" s="69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BB1F-8CFA-44E5-8BA4-5E461D0E8156}">
  <dimension ref="A1:R17"/>
  <sheetViews>
    <sheetView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13.33203125" bestFit="1" customWidth="1"/>
    <col min="3" max="3" width="13.33203125" customWidth="1"/>
    <col min="4" max="4" width="24.44140625" customWidth="1"/>
    <col min="5" max="5" width="14.88671875" customWidth="1"/>
  </cols>
  <sheetData>
    <row r="1" spans="1:18" ht="15.6" x14ac:dyDescent="0.3">
      <c r="A1" s="10" t="s">
        <v>3</v>
      </c>
      <c r="B1" s="10" t="s">
        <v>4</v>
      </c>
      <c r="C1" s="10" t="s">
        <v>176</v>
      </c>
      <c r="D1" s="10" t="s">
        <v>177</v>
      </c>
      <c r="E1" s="10" t="s">
        <v>178</v>
      </c>
      <c r="F1" s="93"/>
      <c r="G1" s="93"/>
      <c r="H1" s="93"/>
      <c r="I1" s="93"/>
      <c r="J1" s="93"/>
      <c r="K1" s="93"/>
      <c r="L1" s="93"/>
      <c r="M1" s="93"/>
      <c r="N1" s="73"/>
      <c r="O1" s="73"/>
      <c r="P1" s="30"/>
      <c r="Q1" s="9"/>
      <c r="R1" s="73"/>
    </row>
    <row r="2" spans="1:18" ht="13.2" customHeight="1" x14ac:dyDescent="0.3">
      <c r="A2" s="73">
        <v>89</v>
      </c>
      <c r="B2" s="73">
        <v>2019</v>
      </c>
      <c r="C2" s="73" t="s">
        <v>179</v>
      </c>
      <c r="D2" s="73" t="s">
        <v>180</v>
      </c>
      <c r="E2" s="73" t="s">
        <v>181</v>
      </c>
      <c r="F2" s="12"/>
      <c r="G2" s="12"/>
      <c r="H2" s="12"/>
      <c r="I2" s="12"/>
      <c r="J2" s="12"/>
      <c r="K2" s="12"/>
      <c r="L2" s="12"/>
      <c r="M2" s="12"/>
      <c r="N2" s="73"/>
      <c r="O2" s="73"/>
      <c r="P2" s="73"/>
      <c r="Q2" s="73"/>
      <c r="R2" s="73"/>
    </row>
    <row r="3" spans="1:18" x14ac:dyDescent="0.3">
      <c r="A3" s="73">
        <v>86</v>
      </c>
      <c r="B3" s="73">
        <v>2018</v>
      </c>
      <c r="C3" s="73" t="s">
        <v>182</v>
      </c>
      <c r="D3" s="73" t="s">
        <v>183</v>
      </c>
      <c r="E3" s="73" t="s">
        <v>184</v>
      </c>
      <c r="F3" s="12"/>
      <c r="G3" s="12"/>
      <c r="H3" s="12"/>
      <c r="I3" s="12"/>
      <c r="J3" s="12"/>
      <c r="K3" s="12"/>
      <c r="L3" s="12"/>
      <c r="M3" s="12"/>
      <c r="N3" s="73"/>
      <c r="O3" s="73"/>
      <c r="P3" s="73"/>
      <c r="Q3" s="73"/>
      <c r="R3" s="73"/>
    </row>
    <row r="4" spans="1:18" x14ac:dyDescent="0.3">
      <c r="A4" s="73">
        <v>70</v>
      </c>
      <c r="B4" s="73">
        <v>2016</v>
      </c>
      <c r="C4" s="73" t="s">
        <v>182</v>
      </c>
      <c r="D4" s="73" t="s">
        <v>183</v>
      </c>
      <c r="E4" s="73" t="s">
        <v>184</v>
      </c>
      <c r="F4" s="12"/>
      <c r="G4" s="12"/>
      <c r="H4" s="12"/>
      <c r="I4" s="12"/>
      <c r="J4" s="12"/>
      <c r="K4" s="12"/>
      <c r="L4" s="12"/>
      <c r="M4" s="12"/>
      <c r="N4" s="73"/>
      <c r="O4" s="73"/>
      <c r="P4" s="73"/>
      <c r="Q4" s="73"/>
      <c r="R4" s="73"/>
    </row>
    <row r="5" spans="1:18" x14ac:dyDescent="0.3">
      <c r="A5" s="73">
        <v>65</v>
      </c>
      <c r="B5" s="73">
        <v>2014</v>
      </c>
      <c r="C5" s="73" t="s">
        <v>185</v>
      </c>
      <c r="D5" s="73" t="s">
        <v>186</v>
      </c>
      <c r="E5" s="73" t="s">
        <v>184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x14ac:dyDescent="0.3">
      <c r="A6" s="73">
        <v>50</v>
      </c>
      <c r="B6" s="73" t="s">
        <v>187</v>
      </c>
      <c r="C6" s="73" t="s">
        <v>182</v>
      </c>
      <c r="D6" s="73" t="s">
        <v>188</v>
      </c>
      <c r="E6" s="73" t="s">
        <v>181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18" x14ac:dyDescent="0.3">
      <c r="A7" s="73">
        <v>47</v>
      </c>
      <c r="B7" s="73" t="s">
        <v>189</v>
      </c>
      <c r="C7" s="73" t="s">
        <v>185</v>
      </c>
      <c r="D7" s="73" t="s">
        <v>186</v>
      </c>
      <c r="E7" s="73" t="s">
        <v>190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18" x14ac:dyDescent="0.3">
      <c r="A8" s="73">
        <v>38</v>
      </c>
      <c r="B8" s="73" t="s">
        <v>187</v>
      </c>
      <c r="C8" s="73" t="s">
        <v>185</v>
      </c>
      <c r="D8" s="73" t="s">
        <v>186</v>
      </c>
      <c r="E8" s="73" t="s">
        <v>190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x14ac:dyDescent="0.3">
      <c r="A9" s="73">
        <v>1</v>
      </c>
      <c r="B9" s="73">
        <v>1989</v>
      </c>
      <c r="C9" s="73" t="s">
        <v>191</v>
      </c>
      <c r="D9" s="73" t="s">
        <v>192</v>
      </c>
      <c r="E9" s="73" t="s">
        <v>181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6" spans="1:18" x14ac:dyDescent="0.3">
      <c r="A16" s="73"/>
      <c r="B16" s="73"/>
      <c r="C16" s="73"/>
      <c r="D16" s="73"/>
      <c r="E16" s="12"/>
      <c r="F16" s="12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5:18" x14ac:dyDescent="0.3">
      <c r="E17" s="12"/>
      <c r="F17" s="12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</row>
  </sheetData>
  <sortState xmlns:xlrd2="http://schemas.microsoft.com/office/spreadsheetml/2017/richdata2" ref="A2:E19">
    <sortCondition descending="1" ref="A2:A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B49C-CBCA-47DF-AEDC-2BA3169932C7}">
  <dimension ref="A1:E72"/>
  <sheetViews>
    <sheetView workbookViewId="0">
      <pane ySplit="1" topLeftCell="A2" activePane="bottomLeft" state="frozen"/>
      <selection pane="bottomLeft" activeCell="D2" sqref="D2:D72"/>
    </sheetView>
  </sheetViews>
  <sheetFormatPr defaultRowHeight="14.4" x14ac:dyDescent="0.3"/>
  <cols>
    <col min="1" max="1" width="17.88671875" customWidth="1"/>
    <col min="2" max="2" width="17.88671875" style="73" customWidth="1"/>
    <col min="3" max="3" width="22.109375" style="15" bestFit="1" customWidth="1"/>
    <col min="4" max="4" width="21.109375" style="59" customWidth="1"/>
    <col min="5" max="5" width="18.33203125" customWidth="1"/>
  </cols>
  <sheetData>
    <row r="1" spans="1:5" x14ac:dyDescent="0.3">
      <c r="A1" s="73" t="s">
        <v>193</v>
      </c>
      <c r="B1" s="73" t="s">
        <v>194</v>
      </c>
      <c r="C1" s="15" t="s">
        <v>195</v>
      </c>
      <c r="D1" s="59" t="s">
        <v>196</v>
      </c>
      <c r="E1" s="73" t="s">
        <v>197</v>
      </c>
    </row>
    <row r="2" spans="1:5" x14ac:dyDescent="0.3">
      <c r="A2" s="73">
        <v>90</v>
      </c>
      <c r="B2" s="73">
        <v>1</v>
      </c>
      <c r="C2" s="94">
        <v>1687134.16</v>
      </c>
      <c r="D2" s="97">
        <v>-0.96282500000000004</v>
      </c>
      <c r="E2" s="73" t="s">
        <v>198</v>
      </c>
    </row>
    <row r="3" spans="1:5" x14ac:dyDescent="0.3">
      <c r="A3" s="73">
        <v>89</v>
      </c>
      <c r="E3" s="73" t="s">
        <v>199</v>
      </c>
    </row>
    <row r="4" spans="1:5" x14ac:dyDescent="0.3">
      <c r="A4" s="73">
        <v>87</v>
      </c>
      <c r="B4" s="73">
        <v>2</v>
      </c>
      <c r="C4" s="15">
        <f>2462297.32+1557921.74</f>
        <v>4020219.0599999996</v>
      </c>
      <c r="D4" s="59" t="s">
        <v>200</v>
      </c>
      <c r="E4" s="73" t="s">
        <v>198</v>
      </c>
    </row>
    <row r="5" spans="1:5" x14ac:dyDescent="0.3">
      <c r="A5" s="73">
        <v>86</v>
      </c>
      <c r="E5" s="73" t="s">
        <v>199</v>
      </c>
    </row>
    <row r="6" spans="1:5" x14ac:dyDescent="0.3">
      <c r="A6" s="73">
        <v>85</v>
      </c>
      <c r="B6" s="73">
        <v>1</v>
      </c>
      <c r="C6" s="94">
        <v>12785858.18</v>
      </c>
      <c r="D6" s="97">
        <v>-0.99992999999999999</v>
      </c>
      <c r="E6" s="73" t="s">
        <v>198</v>
      </c>
    </row>
    <row r="7" spans="1:5" x14ac:dyDescent="0.3">
      <c r="A7" s="73">
        <v>84</v>
      </c>
      <c r="B7" s="73">
        <v>1</v>
      </c>
      <c r="C7" s="94">
        <v>17602000</v>
      </c>
      <c r="D7" s="97">
        <v>-0.17848700000000001</v>
      </c>
      <c r="E7" s="73" t="s">
        <v>198</v>
      </c>
    </row>
    <row r="8" spans="1:5" x14ac:dyDescent="0.3">
      <c r="A8" s="73">
        <v>83</v>
      </c>
      <c r="B8" s="73">
        <v>1</v>
      </c>
      <c r="C8" s="94">
        <v>13478042.66</v>
      </c>
      <c r="D8" s="59">
        <v>-5.3943999999999999E-2</v>
      </c>
      <c r="E8" s="73" t="s">
        <v>198</v>
      </c>
    </row>
    <row r="9" spans="1:5" x14ac:dyDescent="0.3">
      <c r="A9" s="73">
        <v>82</v>
      </c>
      <c r="B9" s="73">
        <v>1</v>
      </c>
      <c r="C9" s="94">
        <v>392816.94</v>
      </c>
      <c r="D9" s="97">
        <v>-1.302E-2</v>
      </c>
      <c r="E9" s="73" t="s">
        <v>198</v>
      </c>
    </row>
    <row r="10" spans="1:5" x14ac:dyDescent="0.3">
      <c r="A10" s="73">
        <v>81</v>
      </c>
      <c r="B10" s="73">
        <v>1</v>
      </c>
      <c r="C10" s="94">
        <v>1265552.7</v>
      </c>
      <c r="D10" s="97">
        <v>-0.60581200000000002</v>
      </c>
      <c r="E10" s="73" t="s">
        <v>198</v>
      </c>
    </row>
    <row r="11" spans="1:5" x14ac:dyDescent="0.3">
      <c r="A11" s="73">
        <v>80</v>
      </c>
      <c r="B11" s="73">
        <v>1</v>
      </c>
      <c r="C11" s="94">
        <v>1702614.88</v>
      </c>
      <c r="D11" s="59" t="s">
        <v>44</v>
      </c>
      <c r="E11" s="73" t="s">
        <v>199</v>
      </c>
    </row>
    <row r="12" spans="1:5" s="96" customFormat="1" x14ac:dyDescent="0.3">
      <c r="A12" s="96">
        <v>79</v>
      </c>
      <c r="B12" s="96">
        <v>1</v>
      </c>
      <c r="C12" s="95">
        <v>-8567582.2899999991</v>
      </c>
      <c r="D12" s="98">
        <v>3.6316000000000001E-2</v>
      </c>
      <c r="E12" s="73" t="s">
        <v>198</v>
      </c>
    </row>
    <row r="13" spans="1:5" x14ac:dyDescent="0.3">
      <c r="A13" s="73">
        <v>78</v>
      </c>
      <c r="B13" s="73">
        <v>1</v>
      </c>
      <c r="C13" s="94">
        <v>450486.1</v>
      </c>
      <c r="D13" s="59" t="s">
        <v>44</v>
      </c>
      <c r="E13" s="73" t="s">
        <v>199</v>
      </c>
    </row>
    <row r="14" spans="1:5" x14ac:dyDescent="0.3">
      <c r="A14" s="73">
        <v>77</v>
      </c>
      <c r="B14" s="73">
        <v>1</v>
      </c>
      <c r="C14" s="94">
        <v>112360000</v>
      </c>
      <c r="D14" s="59" t="s">
        <v>44</v>
      </c>
      <c r="E14" s="73" t="s">
        <v>199</v>
      </c>
    </row>
    <row r="15" spans="1:5" x14ac:dyDescent="0.3">
      <c r="A15" s="73">
        <v>75</v>
      </c>
      <c r="B15" s="73">
        <v>2</v>
      </c>
      <c r="C15" s="15">
        <f>3548577.62+3308893.28</f>
        <v>6857470.9000000004</v>
      </c>
      <c r="D15" s="59">
        <f>-97.1456%+-89.76%</f>
        <v>-1.8690560000000001</v>
      </c>
      <c r="E15" s="73" t="s">
        <v>198</v>
      </c>
    </row>
    <row r="16" spans="1:5" x14ac:dyDescent="0.3">
      <c r="A16" s="73">
        <v>74</v>
      </c>
      <c r="B16" s="73">
        <v>2</v>
      </c>
      <c r="C16" s="15">
        <f>13462000+11227000</f>
        <v>24689000</v>
      </c>
      <c r="D16" s="59">
        <f>-63.8191% + -51.7588%</f>
        <v>-1.1557789999999999</v>
      </c>
      <c r="E16" s="73" t="s">
        <v>198</v>
      </c>
    </row>
    <row r="17" spans="1:5" x14ac:dyDescent="0.3">
      <c r="A17" s="73">
        <v>73</v>
      </c>
      <c r="B17" s="73">
        <v>1</v>
      </c>
      <c r="C17" s="94">
        <v>1736732.8</v>
      </c>
      <c r="D17" s="97">
        <v>-0.86362700000000003</v>
      </c>
      <c r="E17" s="73" t="s">
        <v>198</v>
      </c>
    </row>
    <row r="18" spans="1:5" x14ac:dyDescent="0.3">
      <c r="A18" s="73">
        <v>72</v>
      </c>
      <c r="B18" s="73">
        <v>1</v>
      </c>
      <c r="C18" s="94">
        <v>121986123.31</v>
      </c>
      <c r="D18" s="97">
        <v>-0.73574499999999998</v>
      </c>
      <c r="E18" s="73" t="s">
        <v>198</v>
      </c>
    </row>
    <row r="19" spans="1:5" x14ac:dyDescent="0.3">
      <c r="A19" s="73">
        <v>71</v>
      </c>
      <c r="B19" s="73">
        <v>1</v>
      </c>
      <c r="C19" s="94">
        <v>1092398</v>
      </c>
      <c r="D19" s="97">
        <v>-0.38424999999999998</v>
      </c>
      <c r="E19" s="73" t="s">
        <v>198</v>
      </c>
    </row>
    <row r="20" spans="1:5" x14ac:dyDescent="0.3">
      <c r="A20" s="73">
        <v>70</v>
      </c>
      <c r="E20" s="73" t="s">
        <v>199</v>
      </c>
    </row>
    <row r="21" spans="1:5" x14ac:dyDescent="0.3">
      <c r="A21" s="73">
        <v>69</v>
      </c>
      <c r="B21" s="73">
        <v>1</v>
      </c>
      <c r="C21" s="94">
        <v>3300000</v>
      </c>
      <c r="D21" s="59" t="s">
        <v>44</v>
      </c>
      <c r="E21" s="73" t="s">
        <v>199</v>
      </c>
    </row>
    <row r="22" spans="1:5" x14ac:dyDescent="0.3">
      <c r="A22" s="73">
        <v>68</v>
      </c>
      <c r="B22" s="73">
        <v>1</v>
      </c>
      <c r="C22" s="94">
        <v>743740.8</v>
      </c>
      <c r="D22" s="97">
        <v>-0.93940720200000005</v>
      </c>
      <c r="E22" s="73" t="s">
        <v>198</v>
      </c>
    </row>
    <row r="23" spans="1:5" x14ac:dyDescent="0.3">
      <c r="A23" s="73">
        <v>67</v>
      </c>
      <c r="B23" s="73">
        <v>2</v>
      </c>
      <c r="C23" s="15">
        <f>-16780252.21+55323592.72</f>
        <v>38543340.509999998</v>
      </c>
      <c r="D23" s="59">
        <f>22.6885%+-74.1%</f>
        <v>-0.51411499999999999</v>
      </c>
      <c r="E23" s="73" t="s">
        <v>198</v>
      </c>
    </row>
    <row r="24" spans="1:5" x14ac:dyDescent="0.3">
      <c r="A24" s="73">
        <v>66</v>
      </c>
      <c r="B24" s="73">
        <v>1</v>
      </c>
      <c r="C24" s="94">
        <v>5521605.54</v>
      </c>
      <c r="D24" s="97">
        <v>-0.84640300000000002</v>
      </c>
      <c r="E24" s="73" t="s">
        <v>198</v>
      </c>
    </row>
    <row r="25" spans="1:5" x14ac:dyDescent="0.3">
      <c r="A25" s="73">
        <v>65</v>
      </c>
      <c r="E25" s="73" t="s">
        <v>199</v>
      </c>
    </row>
    <row r="26" spans="1:5" x14ac:dyDescent="0.3">
      <c r="A26" s="73">
        <v>64</v>
      </c>
      <c r="B26" s="73">
        <v>1</v>
      </c>
      <c r="C26" s="94">
        <v>4402333.38</v>
      </c>
      <c r="D26" s="97">
        <v>-0.49443999999999999</v>
      </c>
      <c r="E26" s="73" t="s">
        <v>198</v>
      </c>
    </row>
    <row r="27" spans="1:5" x14ac:dyDescent="0.3">
      <c r="A27" s="73">
        <v>63</v>
      </c>
      <c r="B27" s="73">
        <v>1</v>
      </c>
      <c r="C27" s="94">
        <v>4463200</v>
      </c>
      <c r="D27" s="97">
        <v>-0.97</v>
      </c>
      <c r="E27" s="73" t="s">
        <v>198</v>
      </c>
    </row>
    <row r="28" spans="1:5" s="96" customFormat="1" x14ac:dyDescent="0.3">
      <c r="A28" s="96">
        <v>61</v>
      </c>
      <c r="B28" s="96">
        <v>1</v>
      </c>
      <c r="C28" s="95">
        <v>-18876190.91</v>
      </c>
      <c r="D28" s="98">
        <v>7.3218000000000005E-2</v>
      </c>
      <c r="E28" s="73" t="s">
        <v>198</v>
      </c>
    </row>
    <row r="29" spans="1:5" s="96" customFormat="1" x14ac:dyDescent="0.3">
      <c r="A29" s="96">
        <v>59</v>
      </c>
      <c r="B29" s="96">
        <v>1</v>
      </c>
      <c r="C29" s="95">
        <v>-3380400.5</v>
      </c>
      <c r="D29" s="98">
        <v>0.43514000000000003</v>
      </c>
      <c r="E29" s="73" t="s">
        <v>198</v>
      </c>
    </row>
    <row r="30" spans="1:5" x14ac:dyDescent="0.3">
      <c r="A30" s="73">
        <v>58</v>
      </c>
      <c r="B30" s="73">
        <v>1</v>
      </c>
      <c r="C30" s="94">
        <v>1756598.29</v>
      </c>
      <c r="D30" s="97">
        <v>-0.79786100000000004</v>
      </c>
      <c r="E30" s="73" t="s">
        <v>198</v>
      </c>
    </row>
    <row r="31" spans="1:5" x14ac:dyDescent="0.3">
      <c r="A31" s="73">
        <v>56</v>
      </c>
      <c r="B31" s="73">
        <v>3</v>
      </c>
      <c r="C31" s="15">
        <f>22683681.66+
1259914.07+
-11479392.76</f>
        <v>12464202.970000001</v>
      </c>
      <c r="D31" s="59">
        <f>-26.2937%+
-1.4475%+
12.7376%</f>
        <v>-0.15003600000000003</v>
      </c>
      <c r="E31" s="73" t="s">
        <v>198</v>
      </c>
    </row>
    <row r="32" spans="1:5" x14ac:dyDescent="0.3">
      <c r="A32" s="73">
        <v>55</v>
      </c>
      <c r="B32" s="73">
        <v>1</v>
      </c>
      <c r="C32" s="94">
        <v>-9499689.5800000001</v>
      </c>
      <c r="D32" s="97">
        <v>0.368336</v>
      </c>
      <c r="E32" s="73" t="s">
        <v>198</v>
      </c>
    </row>
    <row r="33" spans="1:5" x14ac:dyDescent="0.3">
      <c r="A33" s="73">
        <v>53</v>
      </c>
      <c r="B33" s="73">
        <v>1</v>
      </c>
      <c r="C33" s="94">
        <v>548564.53</v>
      </c>
      <c r="D33" s="97">
        <v>-0.178364462</v>
      </c>
      <c r="E33" s="73" t="s">
        <v>198</v>
      </c>
    </row>
    <row r="34" spans="1:5" x14ac:dyDescent="0.3">
      <c r="A34" s="73">
        <v>51</v>
      </c>
      <c r="B34" s="73">
        <v>1</v>
      </c>
      <c r="C34" s="94">
        <v>244000</v>
      </c>
      <c r="D34" s="97">
        <v>-0.8</v>
      </c>
      <c r="E34" s="73" t="s">
        <v>198</v>
      </c>
    </row>
    <row r="35" spans="1:5" x14ac:dyDescent="0.3">
      <c r="A35" s="73">
        <v>50</v>
      </c>
      <c r="E35" s="73" t="s">
        <v>199</v>
      </c>
    </row>
    <row r="36" spans="1:5" x14ac:dyDescent="0.3">
      <c r="A36" s="73">
        <v>49</v>
      </c>
      <c r="B36" s="73">
        <v>1</v>
      </c>
      <c r="C36" s="94">
        <v>19344226.59</v>
      </c>
      <c r="D36" s="97">
        <v>-3.4042999999999997E-2</v>
      </c>
      <c r="E36" s="73" t="s">
        <v>198</v>
      </c>
    </row>
    <row r="37" spans="1:5" x14ac:dyDescent="0.3">
      <c r="A37" s="73">
        <v>47</v>
      </c>
      <c r="E37" s="73" t="s">
        <v>199</v>
      </c>
    </row>
    <row r="38" spans="1:5" x14ac:dyDescent="0.3">
      <c r="A38" s="73">
        <v>46</v>
      </c>
      <c r="B38" s="73">
        <v>1</v>
      </c>
      <c r="C38" s="94">
        <v>5798529.7000000002</v>
      </c>
      <c r="D38" s="97">
        <v>-0.233156</v>
      </c>
      <c r="E38" s="73" t="s">
        <v>198</v>
      </c>
    </row>
    <row r="39" spans="1:5" x14ac:dyDescent="0.3">
      <c r="A39" s="73">
        <v>45</v>
      </c>
      <c r="B39" s="73">
        <v>1</v>
      </c>
      <c r="C39" s="94">
        <v>1536771.64</v>
      </c>
      <c r="D39" s="97">
        <v>-0.320494</v>
      </c>
      <c r="E39" s="73" t="s">
        <v>198</v>
      </c>
    </row>
    <row r="40" spans="1:5" x14ac:dyDescent="0.3">
      <c r="A40" s="73">
        <v>43</v>
      </c>
      <c r="B40" s="73">
        <v>1</v>
      </c>
      <c r="C40" s="94">
        <v>15479881.67</v>
      </c>
      <c r="D40" s="97">
        <v>-0.78208599999999995</v>
      </c>
      <c r="E40" s="73" t="s">
        <v>198</v>
      </c>
    </row>
    <row r="41" spans="1:5" s="96" customFormat="1" x14ac:dyDescent="0.3">
      <c r="A41" s="96">
        <v>40</v>
      </c>
      <c r="B41" s="96">
        <v>1</v>
      </c>
      <c r="C41" s="95">
        <v>-6239124.6500000004</v>
      </c>
      <c r="D41" s="98">
        <v>2.2911999999999998E-2</v>
      </c>
      <c r="E41" s="73" t="s">
        <v>198</v>
      </c>
    </row>
    <row r="42" spans="1:5" s="96" customFormat="1" x14ac:dyDescent="0.3">
      <c r="A42" s="96">
        <v>39</v>
      </c>
      <c r="B42" s="96">
        <v>1</v>
      </c>
      <c r="C42" s="95">
        <v>-21304712.870000001</v>
      </c>
      <c r="D42" s="98">
        <v>6.5963999999999995E-2</v>
      </c>
      <c r="E42" s="73" t="s">
        <v>198</v>
      </c>
    </row>
    <row r="43" spans="1:5" x14ac:dyDescent="0.3">
      <c r="A43" s="73">
        <v>38</v>
      </c>
      <c r="E43" s="73" t="s">
        <v>199</v>
      </c>
    </row>
    <row r="44" spans="1:5" s="96" customFormat="1" x14ac:dyDescent="0.3">
      <c r="A44" s="96">
        <v>37</v>
      </c>
      <c r="B44" s="96">
        <v>1</v>
      </c>
      <c r="C44" s="95">
        <v>-14827133.85</v>
      </c>
      <c r="D44" s="98">
        <v>0.21712300000000001</v>
      </c>
      <c r="E44" s="73" t="s">
        <v>198</v>
      </c>
    </row>
    <row r="45" spans="1:5" x14ac:dyDescent="0.3">
      <c r="A45" s="73">
        <v>36</v>
      </c>
      <c r="B45" s="73">
        <v>1</v>
      </c>
      <c r="C45" s="94">
        <v>11888830.460000001</v>
      </c>
      <c r="D45" s="97">
        <v>-0.261772</v>
      </c>
      <c r="E45" s="73" t="s">
        <v>198</v>
      </c>
    </row>
    <row r="46" spans="1:5" s="96" customFormat="1" x14ac:dyDescent="0.3">
      <c r="A46" s="96">
        <v>33</v>
      </c>
      <c r="B46" s="96">
        <v>1</v>
      </c>
      <c r="C46" s="95">
        <v>-63758447.82</v>
      </c>
      <c r="D46" s="98">
        <v>0.70217700000000005</v>
      </c>
      <c r="E46" s="73" t="s">
        <v>198</v>
      </c>
    </row>
    <row r="47" spans="1:5" x14ac:dyDescent="0.3">
      <c r="A47" s="73">
        <v>31</v>
      </c>
      <c r="B47" s="73">
        <v>2</v>
      </c>
      <c r="C47" s="15">
        <f>-11241299.42+
12367646.46</f>
        <v>1126347.040000001</v>
      </c>
      <c r="D47" s="59">
        <f>12.0608%+
-12.7778%</f>
        <v>-7.1699999999999958E-3</v>
      </c>
      <c r="E47" s="73" t="s">
        <v>198</v>
      </c>
    </row>
    <row r="48" spans="1:5" x14ac:dyDescent="0.3">
      <c r="A48" s="73">
        <v>30</v>
      </c>
      <c r="B48" s="73">
        <v>2</v>
      </c>
      <c r="C48" s="15">
        <f>832770+-290925</f>
        <v>541845</v>
      </c>
      <c r="D48" s="59" t="s">
        <v>44</v>
      </c>
      <c r="E48" s="73" t="s">
        <v>199</v>
      </c>
    </row>
    <row r="49" spans="1:5" x14ac:dyDescent="0.3">
      <c r="A49" s="73">
        <v>29</v>
      </c>
      <c r="B49" s="73">
        <v>1</v>
      </c>
      <c r="C49" s="94">
        <v>169681221.63</v>
      </c>
      <c r="D49" s="97">
        <v>-0.20972299999999999</v>
      </c>
      <c r="E49" s="73" t="s">
        <v>198</v>
      </c>
    </row>
    <row r="50" spans="1:5" x14ac:dyDescent="0.3">
      <c r="A50" s="73">
        <v>27</v>
      </c>
      <c r="B50" s="73">
        <v>1</v>
      </c>
      <c r="C50" s="94">
        <v>1378229.04</v>
      </c>
      <c r="D50" s="97">
        <v>-5.4155000000000002E-2</v>
      </c>
      <c r="E50" s="73" t="s">
        <v>198</v>
      </c>
    </row>
    <row r="51" spans="1:5" s="96" customFormat="1" x14ac:dyDescent="0.3">
      <c r="A51" s="96">
        <v>26</v>
      </c>
      <c r="B51" s="96">
        <v>1</v>
      </c>
      <c r="C51" s="95">
        <v>-20118330.719999999</v>
      </c>
      <c r="D51" s="98">
        <v>2.7344460000000002</v>
      </c>
      <c r="E51" s="73" t="s">
        <v>198</v>
      </c>
    </row>
    <row r="52" spans="1:5" x14ac:dyDescent="0.3">
      <c r="A52" s="73">
        <v>25</v>
      </c>
      <c r="B52" s="73">
        <v>3</v>
      </c>
      <c r="C52" s="15">
        <f>246607890+
255992848.64+
284746066.54</f>
        <v>787346805.18000007</v>
      </c>
      <c r="D52" s="59">
        <f>-69.486%+
-70.638%+
-77.503%</f>
        <v>-2.1762700000000001</v>
      </c>
      <c r="E52" s="73" t="s">
        <v>198</v>
      </c>
    </row>
    <row r="53" spans="1:5" x14ac:dyDescent="0.3">
      <c r="A53" s="73">
        <v>23</v>
      </c>
      <c r="B53" s="73">
        <v>1</v>
      </c>
      <c r="C53" s="94">
        <v>924612.84</v>
      </c>
      <c r="D53" s="97">
        <v>-0.24837100000000001</v>
      </c>
      <c r="E53" s="73" t="s">
        <v>198</v>
      </c>
    </row>
    <row r="54" spans="1:5" x14ac:dyDescent="0.3">
      <c r="A54" s="73">
        <v>22</v>
      </c>
      <c r="B54" s="73">
        <v>1</v>
      </c>
      <c r="C54" s="94">
        <v>239347663.88</v>
      </c>
      <c r="D54" s="97">
        <v>-0.69224300000000005</v>
      </c>
      <c r="E54" s="73" t="s">
        <v>198</v>
      </c>
    </row>
    <row r="55" spans="1:5" x14ac:dyDescent="0.3">
      <c r="A55" s="73">
        <v>21</v>
      </c>
      <c r="B55" s="73">
        <v>1</v>
      </c>
      <c r="C55" s="94">
        <v>289342968.85000002</v>
      </c>
      <c r="D55" s="97">
        <v>-0.77780899999999997</v>
      </c>
      <c r="E55" s="73" t="s">
        <v>198</v>
      </c>
    </row>
    <row r="56" spans="1:5" x14ac:dyDescent="0.3">
      <c r="A56" s="73">
        <v>19</v>
      </c>
      <c r="B56" s="73">
        <v>1</v>
      </c>
      <c r="C56" s="94">
        <v>14130000</v>
      </c>
      <c r="D56" s="59" t="s">
        <v>44</v>
      </c>
      <c r="E56" s="73" t="s">
        <v>199</v>
      </c>
    </row>
    <row r="57" spans="1:5" x14ac:dyDescent="0.3">
      <c r="A57" s="73">
        <v>18</v>
      </c>
      <c r="B57" s="73">
        <v>3</v>
      </c>
      <c r="C57" s="15">
        <f>12798774.93+
7332125.56+
10336109.29</f>
        <v>30467009.779999997</v>
      </c>
      <c r="D57" s="59">
        <f>-81.1415%+
-45.0037%+
-62.6438%</f>
        <v>-1.8878899999999996</v>
      </c>
      <c r="E57" s="73" t="s">
        <v>198</v>
      </c>
    </row>
    <row r="58" spans="1:5" x14ac:dyDescent="0.3">
      <c r="A58" s="73">
        <v>17</v>
      </c>
      <c r="B58" s="73">
        <v>1</v>
      </c>
      <c r="C58" s="94">
        <v>300618828.75999999</v>
      </c>
      <c r="D58" s="97">
        <v>-0.72003799999999996</v>
      </c>
      <c r="E58" s="73" t="s">
        <v>198</v>
      </c>
    </row>
    <row r="59" spans="1:5" s="96" customFormat="1" x14ac:dyDescent="0.3">
      <c r="A59" s="96">
        <v>15</v>
      </c>
      <c r="B59" s="96">
        <v>1</v>
      </c>
      <c r="C59" s="95">
        <v>-10067473.34</v>
      </c>
      <c r="D59" s="98">
        <v>0.11902600000000001</v>
      </c>
      <c r="E59" s="73" t="s">
        <v>198</v>
      </c>
    </row>
    <row r="60" spans="1:5" x14ac:dyDescent="0.3">
      <c r="A60" s="73">
        <v>14</v>
      </c>
      <c r="B60" s="73">
        <v>1</v>
      </c>
      <c r="C60" s="94">
        <v>348354.43</v>
      </c>
      <c r="D60" s="97">
        <v>-6.3769999999999999E-3</v>
      </c>
      <c r="E60" s="73" t="s">
        <v>198</v>
      </c>
    </row>
    <row r="61" spans="1:5" x14ac:dyDescent="0.3">
      <c r="A61" s="73">
        <v>13</v>
      </c>
      <c r="B61" s="73">
        <v>1</v>
      </c>
      <c r="C61" s="94">
        <v>16669638.279999999</v>
      </c>
      <c r="D61" s="59">
        <v>-0.10841000000000001</v>
      </c>
      <c r="E61" s="73" t="s">
        <v>198</v>
      </c>
    </row>
    <row r="62" spans="1:5" x14ac:dyDescent="0.3">
      <c r="A62" s="73">
        <v>12</v>
      </c>
      <c r="B62" s="73">
        <v>1</v>
      </c>
      <c r="C62" s="94">
        <v>1315.88</v>
      </c>
      <c r="D62" s="97">
        <v>-1.2073E-2</v>
      </c>
      <c r="E62" s="73" t="s">
        <v>198</v>
      </c>
    </row>
    <row r="63" spans="1:5" x14ac:dyDescent="0.3">
      <c r="A63" s="73">
        <v>11</v>
      </c>
      <c r="B63" s="73">
        <v>1</v>
      </c>
      <c r="C63" s="94">
        <v>143208615.75999999</v>
      </c>
      <c r="D63" s="59">
        <v>-0.54622400000000004</v>
      </c>
      <c r="E63" s="73" t="s">
        <v>198</v>
      </c>
    </row>
    <row r="64" spans="1:5" x14ac:dyDescent="0.3">
      <c r="A64" s="73">
        <v>10</v>
      </c>
      <c r="B64" s="73">
        <v>1</v>
      </c>
      <c r="C64" s="94">
        <v>19862009.379999999</v>
      </c>
      <c r="D64" s="97">
        <v>-0.468005</v>
      </c>
      <c r="E64" s="73" t="s">
        <v>198</v>
      </c>
    </row>
    <row r="65" spans="1:5" s="96" customFormat="1" x14ac:dyDescent="0.3">
      <c r="A65" s="96">
        <v>9</v>
      </c>
      <c r="B65" s="96">
        <v>1</v>
      </c>
      <c r="C65" s="95">
        <v>-45284095.869999997</v>
      </c>
      <c r="D65" s="98">
        <v>0.33069700000000002</v>
      </c>
      <c r="E65" s="73" t="s">
        <v>198</v>
      </c>
    </row>
    <row r="66" spans="1:5" x14ac:dyDescent="0.3">
      <c r="A66" s="73">
        <v>7</v>
      </c>
      <c r="B66" s="73">
        <v>1</v>
      </c>
      <c r="C66" s="94">
        <v>192057607.66</v>
      </c>
      <c r="D66" s="97">
        <v>-0.62910900000000003</v>
      </c>
      <c r="E66" s="73" t="s">
        <v>198</v>
      </c>
    </row>
    <row r="67" spans="1:5" x14ac:dyDescent="0.3">
      <c r="A67" s="73">
        <v>6</v>
      </c>
      <c r="B67" s="73">
        <v>1</v>
      </c>
      <c r="C67" s="94">
        <v>30668064.079999998</v>
      </c>
      <c r="D67" s="97">
        <v>-0.40964699999999998</v>
      </c>
      <c r="E67" s="73" t="s">
        <v>198</v>
      </c>
    </row>
    <row r="68" spans="1:5" x14ac:dyDescent="0.3">
      <c r="A68" s="73">
        <v>5</v>
      </c>
      <c r="B68" s="73">
        <v>1</v>
      </c>
      <c r="C68" s="94">
        <v>74261440.870000005</v>
      </c>
      <c r="D68" s="97">
        <v>-0.382326</v>
      </c>
      <c r="E68" s="73" t="s">
        <v>198</v>
      </c>
    </row>
    <row r="69" spans="1:5" s="96" customFormat="1" x14ac:dyDescent="0.3">
      <c r="A69" s="96">
        <v>4</v>
      </c>
      <c r="B69" s="96">
        <v>1</v>
      </c>
      <c r="C69" s="95">
        <v>-139911238.63999999</v>
      </c>
      <c r="D69" s="98">
        <v>0.118433</v>
      </c>
      <c r="E69" s="73" t="s">
        <v>198</v>
      </c>
    </row>
    <row r="70" spans="1:5" x14ac:dyDescent="0.3">
      <c r="A70" s="73">
        <v>3</v>
      </c>
      <c r="B70" s="73">
        <v>3</v>
      </c>
      <c r="C70" s="15">
        <f>115999890.34+
117961966.08+
127396103.2</f>
        <v>361357959.62</v>
      </c>
      <c r="D70" s="59">
        <f>-66.5908%+
-66.21%+
-69.2%</f>
        <v>-2.0200080000000002</v>
      </c>
      <c r="E70" s="73" t="s">
        <v>198</v>
      </c>
    </row>
    <row r="71" spans="1:5" x14ac:dyDescent="0.3">
      <c r="A71" s="73">
        <v>2</v>
      </c>
      <c r="B71" s="73">
        <v>1</v>
      </c>
      <c r="C71" s="94">
        <v>58047168.259999998</v>
      </c>
      <c r="D71" s="97">
        <v>-0.38743300000000003</v>
      </c>
      <c r="E71" s="73" t="s">
        <v>198</v>
      </c>
    </row>
    <row r="72" spans="1:5" x14ac:dyDescent="0.3">
      <c r="A72" s="73">
        <v>1</v>
      </c>
      <c r="E72" s="73" t="s">
        <v>199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5F9D-9AB6-4BD2-A388-C84380338EDD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economic_estimate</vt:lpstr>
      <vt:lpstr>Tribal</vt:lpstr>
      <vt:lpstr>Missing_est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v.r.saccomanno</dc:creator>
  <cp:keywords/>
  <dc:description/>
  <cp:lastModifiedBy>TNC Staff</cp:lastModifiedBy>
  <cp:revision/>
  <dcterms:created xsi:type="dcterms:W3CDTF">2019-11-22T16:52:32Z</dcterms:created>
  <dcterms:modified xsi:type="dcterms:W3CDTF">2020-10-01T18:55:41Z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18c9dbf29698475381771bd5fa3b1710</vt:lpwstr>
  </property>
</Properties>
</file>