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24226"/>
  <xr:revisionPtr revIDLastSave="0" documentId="8_{0B0BC99F-5B95-43A8-BB8A-FC6CC17A9DB3}" xr6:coauthVersionLast="45" xr6:coauthVersionMax="45" xr10:uidLastSave="{00000000-0000-0000-0000-000000000000}"/>
  <bookViews>
    <workbookView xWindow="28692" yWindow="-1008" windowWidth="29016" windowHeight="15816" firstSheet="3" activeTab="4" xr2:uid="{00000000-000D-0000-FFFF-FFFF00000000}"/>
  </bookViews>
  <sheets>
    <sheet name="Sheet1" sheetId="1" r:id="rId1"/>
    <sheet name="2nr Round Summary" sheetId="2" r:id="rId2"/>
    <sheet name="_xltb_storage_" sheetId="4" state="veryHidden" r:id="rId3"/>
    <sheet name="LandApp_summary" sheetId="3" r:id="rId4"/>
    <sheet name="Sheet2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5" l="1"/>
  <c r="D84" i="5"/>
  <c r="D83" i="5"/>
  <c r="D82" i="5"/>
  <c r="D81" i="5"/>
  <c r="D78" i="5"/>
  <c r="D77" i="5"/>
  <c r="D76" i="5"/>
  <c r="D75" i="5"/>
  <c r="D74" i="5"/>
  <c r="D73" i="5"/>
  <c r="D72" i="5"/>
  <c r="D70" i="5"/>
  <c r="D71" i="5"/>
  <c r="D69" i="5"/>
  <c r="D68" i="5"/>
  <c r="D67" i="5"/>
  <c r="D66" i="5"/>
  <c r="D65" i="5"/>
  <c r="D64" i="5"/>
  <c r="D63" i="5"/>
  <c r="D61" i="5"/>
  <c r="D60" i="5"/>
  <c r="D59" i="5"/>
  <c r="D58" i="5"/>
  <c r="D57" i="5"/>
  <c r="D55" i="5"/>
  <c r="D54" i="5"/>
  <c r="D53" i="5"/>
  <c r="D51" i="5"/>
  <c r="D50" i="5"/>
  <c r="D49" i="5"/>
  <c r="D47" i="5"/>
  <c r="D46" i="5"/>
  <c r="D45" i="5"/>
  <c r="D44" i="5"/>
  <c r="D43" i="5"/>
  <c r="D42" i="5"/>
  <c r="D41" i="5"/>
  <c r="D40" i="5"/>
  <c r="D39" i="5"/>
  <c r="D38" i="5"/>
  <c r="D37" i="5"/>
  <c r="D36" i="5"/>
  <c r="D34" i="5"/>
  <c r="D33" i="5"/>
  <c r="D32" i="5"/>
  <c r="D31" i="5"/>
  <c r="D30" i="5"/>
  <c r="D29" i="5"/>
  <c r="D27" i="5"/>
  <c r="D28" i="5"/>
  <c r="D26" i="5"/>
  <c r="D25" i="5"/>
  <c r="D24" i="5"/>
  <c r="D22" i="5"/>
  <c r="D23" i="5"/>
  <c r="D21" i="5"/>
  <c r="D20" i="5"/>
  <c r="D19" i="5"/>
  <c r="D17" i="5"/>
  <c r="D15" i="5"/>
  <c r="D14" i="5"/>
  <c r="D12" i="5"/>
  <c r="D11" i="5"/>
  <c r="D10" i="5"/>
  <c r="D6" i="5"/>
  <c r="D5" i="5"/>
  <c r="D4" i="5"/>
  <c r="D2" i="5"/>
  <c r="D3" i="5"/>
  <c r="B3" i="3"/>
  <c r="G74" i="2" l="1"/>
  <c r="D57" i="2"/>
  <c r="D58" i="2"/>
  <c r="D61" i="2"/>
  <c r="D62" i="2"/>
  <c r="D60" i="2"/>
  <c r="D59" i="2"/>
  <c r="D64" i="2"/>
  <c r="D63" i="2"/>
  <c r="D65" i="2"/>
  <c r="D67" i="2"/>
  <c r="D66" i="2"/>
  <c r="D68" i="2"/>
  <c r="D40" i="2"/>
  <c r="D39" i="2"/>
  <c r="D38" i="2"/>
  <c r="D42" i="2"/>
  <c r="D47" i="2"/>
  <c r="D43" i="2"/>
  <c r="D46" i="2"/>
  <c r="D44" i="2"/>
  <c r="D48" i="2"/>
  <c r="D45" i="2"/>
  <c r="D50" i="2"/>
  <c r="D49" i="2"/>
  <c r="D52" i="2"/>
  <c r="D53" i="2"/>
  <c r="D51" i="2"/>
  <c r="D55" i="2"/>
  <c r="D56" i="2"/>
  <c r="D54" i="2"/>
  <c r="D41" i="2"/>
  <c r="G40" i="2"/>
  <c r="G39" i="2"/>
  <c r="D35" i="2"/>
  <c r="D34" i="2"/>
  <c r="D36" i="2"/>
  <c r="D37" i="2"/>
  <c r="D33" i="2"/>
  <c r="D32" i="2"/>
  <c r="G35" i="2"/>
  <c r="G34" i="2"/>
  <c r="G36" i="2"/>
  <c r="F37" i="2"/>
  <c r="G33" i="2"/>
  <c r="D30" i="2"/>
  <c r="D31" i="2"/>
  <c r="D27" i="2"/>
  <c r="D25" i="2"/>
  <c r="D26" i="2"/>
  <c r="D28" i="2"/>
  <c r="D29" i="2"/>
  <c r="F27" i="2"/>
  <c r="D24" i="2"/>
  <c r="F24" i="2"/>
  <c r="D23" i="2"/>
  <c r="G23" i="2"/>
  <c r="D16" i="2"/>
  <c r="D19" i="2"/>
  <c r="D22" i="2"/>
  <c r="D18" i="2"/>
  <c r="D17" i="2"/>
  <c r="D20" i="2"/>
  <c r="D21" i="2"/>
  <c r="G20" i="2"/>
  <c r="E16" i="2"/>
  <c r="G16" i="2"/>
  <c r="F18" i="2"/>
  <c r="F22" i="2"/>
  <c r="F19" i="2"/>
  <c r="D15" i="2"/>
  <c r="F15" i="2"/>
  <c r="D9" i="2"/>
  <c r="D12" i="2"/>
  <c r="D13" i="2"/>
  <c r="D14" i="2"/>
  <c r="G14" i="2"/>
  <c r="F14" i="2"/>
  <c r="F13" i="2"/>
  <c r="D10" i="2"/>
  <c r="D11" i="2"/>
  <c r="G11" i="2"/>
  <c r="G10" i="2"/>
  <c r="F9" i="2"/>
  <c r="D7" i="2"/>
  <c r="D8" i="2"/>
  <c r="D5" i="2"/>
  <c r="D6" i="2"/>
  <c r="D4" i="2"/>
  <c r="D3" i="2"/>
  <c r="F7" i="2"/>
  <c r="F8" i="2"/>
  <c r="F6" i="2"/>
  <c r="G3" i="2"/>
  <c r="F3" i="2"/>
  <c r="F5" i="2"/>
  <c r="F4" i="2"/>
  <c r="E2" i="2"/>
  <c r="F2" i="2"/>
  <c r="G78" i="2"/>
  <c r="G79" i="2"/>
  <c r="F76" i="2"/>
  <c r="F72" i="2"/>
  <c r="F70" i="2"/>
  <c r="F69" i="2"/>
  <c r="F68" i="2"/>
  <c r="G63" i="2"/>
  <c r="G64" i="2"/>
  <c r="F59" i="2"/>
  <c r="F60" i="2"/>
  <c r="F62" i="2"/>
  <c r="G57" i="2"/>
  <c r="F56" i="2"/>
  <c r="G51" i="2" l="1"/>
  <c r="F51" i="2"/>
  <c r="F53" i="2"/>
  <c r="F52" i="2"/>
  <c r="F50" i="2"/>
  <c r="G47" i="2"/>
  <c r="G43" i="2"/>
  <c r="F48" i="2"/>
  <c r="G44" i="2"/>
  <c r="G46" i="2"/>
  <c r="G38" i="2"/>
  <c r="F41" i="2"/>
  <c r="G28" i="2"/>
  <c r="G21" i="2"/>
  <c r="G17" i="2"/>
  <c r="D2" i="2"/>
  <c r="AI9" i="1" l="1"/>
  <c r="I8" i="1"/>
  <c r="G8" i="1"/>
  <c r="E8" i="1"/>
  <c r="B8" i="1"/>
  <c r="B3" i="1"/>
  <c r="Q3" i="1"/>
  <c r="Q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tc={79EA5DC6-F571-4EA8-84A2-21CC8CF146E3}</author>
    <author>tc={85B06A0F-F1B2-4E92-ABAA-EE5181839F7B}</author>
    <author>tc={91B741C8-C73C-4BBD-AF3C-0ABB4DC8B3D3}</author>
    <author>tc={CD3839E7-CE75-404A-B94B-3BA37C319239}</author>
  </authors>
  <commentList>
    <comment ref="A7" authorId="0" shapeId="0" xr:uid="{79EA5DC6-F571-4EA8-84A2-21CC8CF146E3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county breakdown does not include composting</t>
      </text>
    </comment>
    <comment ref="B7" authorId="1" shapeId="0" xr:uid="{85B06A0F-F1B2-4E92-ABAA-EE5181839F7B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 other land applied biosolids in CA? Any way to know for sure?</t>
      </text>
    </comment>
    <comment ref="B8" authorId="2" shapeId="0" xr:uid="{91B741C8-C73C-4BBD-AF3C-0ABB4DC8B3D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compost + "other" land app</t>
      </text>
    </comment>
    <comment ref="E8" authorId="3" shapeId="0" xr:uid="{CD3839E7-CE75-404A-B94B-3BA37C31923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compost as Class A here</t>
      </text>
    </comment>
  </commentList>
</comments>
</file>

<file path=xl/sharedStrings.xml><?xml version="1.0" encoding="utf-8"?>
<sst xmlns="http://schemas.openxmlformats.org/spreadsheetml/2006/main" count="502" uniqueCount="67">
  <si>
    <t>Class A Land Application Counties (DMT)</t>
  </si>
  <si>
    <t>Class B Land Application Counties</t>
  </si>
  <si>
    <t>Compost Counties (DMT; when broken out by county)</t>
  </si>
  <si>
    <t>Class A total</t>
  </si>
  <si>
    <t>Alameda</t>
  </si>
  <si>
    <t>Humbolt</t>
  </si>
  <si>
    <t>Kern</t>
  </si>
  <si>
    <t>Los Angeles</t>
  </si>
  <si>
    <t>Merced</t>
  </si>
  <si>
    <t>Sacramento</t>
  </si>
  <si>
    <t>San Bernadino</t>
  </si>
  <si>
    <t>Santa Barbara</t>
  </si>
  <si>
    <t>Santa Clara</t>
  </si>
  <si>
    <t>San Diego</t>
  </si>
  <si>
    <t>Solano</t>
  </si>
  <si>
    <t>Sonoma</t>
  </si>
  <si>
    <t>Ventura</t>
  </si>
  <si>
    <t>Class B total</t>
  </si>
  <si>
    <t>Coulsa</t>
  </si>
  <si>
    <t>Napa</t>
  </si>
  <si>
    <t>Shasta</t>
  </si>
  <si>
    <t>Stanislaus</t>
  </si>
  <si>
    <t>Tulare</t>
  </si>
  <si>
    <t>Compost total</t>
  </si>
  <si>
    <t>NA</t>
  </si>
  <si>
    <t>19,000 </t>
  </si>
  <si>
    <t>Year</t>
  </si>
  <si>
    <t>Facility_County</t>
  </si>
  <si>
    <t>Receiving_County</t>
  </si>
  <si>
    <t>Land_Application</t>
  </si>
  <si>
    <t>Class_A</t>
  </si>
  <si>
    <t>Class_B</t>
  </si>
  <si>
    <t>Compost</t>
  </si>
  <si>
    <t xml:space="preserve">Sacramento </t>
  </si>
  <si>
    <t>Contra Costa</t>
  </si>
  <si>
    <t>El Dorado</t>
  </si>
  <si>
    <t>Fresno</t>
  </si>
  <si>
    <t>Imperial</t>
  </si>
  <si>
    <t>Yuma</t>
  </si>
  <si>
    <t>Lassen</t>
  </si>
  <si>
    <t>La Paz</t>
  </si>
  <si>
    <t>Maricopa</t>
  </si>
  <si>
    <t>Riverside</t>
  </si>
  <si>
    <t>Madera</t>
  </si>
  <si>
    <t>Marin</t>
  </si>
  <si>
    <t>San Francisco</t>
  </si>
  <si>
    <t>Monterey</t>
  </si>
  <si>
    <t>Nevada</t>
  </si>
  <si>
    <t>Washoe</t>
  </si>
  <si>
    <t>Orange</t>
  </si>
  <si>
    <t>San Joaquin</t>
  </si>
  <si>
    <t>San Luis Obispo</t>
  </si>
  <si>
    <t>San Mateo</t>
  </si>
  <si>
    <t>Santa Cruz</t>
  </si>
  <si>
    <t>Tuolomne</t>
  </si>
  <si>
    <t>Kings</t>
  </si>
  <si>
    <t>Yolo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</si>
  <si>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</si>
  <si>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</si>
  <si>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</si>
  <si>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</si>
  <si>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C:\Users\v.r.saccomanno.TNC\Box\CA Oceans\Program Strategies\Ocean Plastics\UCSB Collaboration\CA Microfiber Publication\Data\CASA Data_second_round\Total_Land_Applied.png</t>
  </si>
  <si>
    <t>Land Application Amount (DMT)</t>
  </si>
  <si>
    <t>Butte</t>
  </si>
  <si>
    <t xml:space="preserve">Butte </t>
  </si>
  <si>
    <t>Placer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</si>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</sst>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indexed="8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0" fontId="0" fillId="0" borderId="0" xfId="0" applyFont="1"/>
    <xf numFmtId="0" fontId="0" fillId="0" borderId="1" xfId="0" applyFont="1" applyBorder="1"/>
    <xf numFmtId="3" fontId="0" fillId="0" borderId="0" xfId="0" applyNumberFormat="1" applyFont="1"/>
    <xf numFmtId="0" fontId="0" fillId="0" borderId="0" xfId="0" applyFont="1" applyBorder="1"/>
    <xf numFmtId="3" fontId="0" fillId="0" borderId="0" xfId="0" applyNumberFormat="1" applyFont="1" applyAlignment="1">
      <alignment vertical="center"/>
    </xf>
    <xf numFmtId="164" fontId="0" fillId="0" borderId="0" xfId="1" applyNumberFormat="1" applyFont="1"/>
    <xf numFmtId="3" fontId="2" fillId="0" borderId="0" xfId="0" applyNumberFormat="1" applyFont="1"/>
    <xf numFmtId="0" fontId="3" fillId="0" borderId="0" xfId="0" applyFont="1"/>
    <xf numFmtId="0" fontId="4" fillId="2" borderId="2" xfId="2" applyFill="1" applyBorder="1" applyAlignment="1">
      <alignment horizontal="left" vertical="top" wrapText="1"/>
    </xf>
    <xf numFmtId="0" fontId="4" fillId="0" borderId="0" xfId="2" applyAlignment="1">
      <alignment horizontal="right" wrapText="1"/>
    </xf>
    <xf numFmtId="0" fontId="4" fillId="0" borderId="3" xfId="2" applyBorder="1" applyAlignment="1">
      <alignment horizontal="right" wrapText="1"/>
    </xf>
    <xf numFmtId="165" fontId="0" fillId="0" borderId="0" xfId="0" applyNumberFormat="1"/>
    <xf numFmtId="0" fontId="0" fillId="0" borderId="0" xfId="0" applyFill="1"/>
    <xf numFmtId="165" fontId="0" fillId="0" borderId="0" xfId="0" applyNumberFormat="1" applyFill="1"/>
    <xf numFmtId="1" fontId="0" fillId="0" borderId="0" xfId="0" applyNumberFormat="1" applyFill="1"/>
    <xf numFmtId="0" fontId="5" fillId="0" borderId="0" xfId="0" applyFont="1"/>
    <xf numFmtId="0" fontId="6" fillId="0" borderId="0" xfId="0" applyFont="1"/>
    <xf numFmtId="164" fontId="5" fillId="0" borderId="0" xfId="1" applyNumberFormat="1" applyFont="1"/>
    <xf numFmtId="164" fontId="6" fillId="0" borderId="0" xfId="1" applyNumberFormat="1" applyFont="1"/>
    <xf numFmtId="0" fontId="6" fillId="0" borderId="4" xfId="0" applyFont="1" applyBorder="1"/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 xr:uid="{BE2087BD-8B1C-4A28-9E21-AC9C8CED75D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LandApp_summary!$B$1</c:f>
              <c:strCache>
                <c:ptCount val="1"/>
                <c:pt idx="0">
                  <c:v> Land Application Amount (DMT)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LandApp_summary!$A$2:$A$14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cat>
          <c:val>
            <c:numRef>
              <c:f>LandApp_summary!$B$2:$B$14</c:f>
              <c:numCache>
                <c:formatCode>_(* #,##0_);_(* \(#,##0\);_(* "-"??_);_(@_)</c:formatCode>
                <c:ptCount val="13"/>
                <c:pt idx="0">
                  <c:v>736723.56</c:v>
                </c:pt>
                <c:pt idx="1">
                  <c:v>519000</c:v>
                </c:pt>
                <c:pt idx="2" formatCode="General">
                  <c:v>346998</c:v>
                </c:pt>
                <c:pt idx="3" formatCode="General">
                  <c:v>365340</c:v>
                </c:pt>
                <c:pt idx="4">
                  <c:v>447435.3</c:v>
                </c:pt>
                <c:pt idx="5">
                  <c:v>471365</c:v>
                </c:pt>
                <c:pt idx="6" formatCode="General">
                  <c:v>40797</c:v>
                </c:pt>
                <c:pt idx="7" formatCode="General">
                  <c:v>419025</c:v>
                </c:pt>
                <c:pt idx="8">
                  <c:v>414810</c:v>
                </c:pt>
                <c:pt idx="9">
                  <c:v>407677</c:v>
                </c:pt>
                <c:pt idx="10">
                  <c:v>516186</c:v>
                </c:pt>
                <c:pt idx="11">
                  <c:v>308925</c:v>
                </c:pt>
                <c:pt idx="12">
                  <c:v>436769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F-4038-B098-7B9900CC9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016960"/>
        <c:axId val="1827012848"/>
      </c:barChart>
      <c:catAx>
        <c:axId val="13330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hitney Office" pitchFamily="2" charset="0"/>
                <a:ea typeface="+mn-ea"/>
                <a:cs typeface="+mn-cs"/>
              </a:defRPr>
            </a:pPr>
            <a:endParaRPr lang="en-US"/>
          </a:p>
        </c:txPr>
        <c:crossAx val="1827012848"/>
        <c:crosses val="autoZero"/>
        <c:auto val="1"/>
        <c:lblAlgn val="ctr"/>
        <c:lblOffset val="100"/>
        <c:noMultiLvlLbl val="0"/>
      </c:catAx>
      <c:valAx>
        <c:axId val="18270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hitney Office" pitchFamily="2" charset="0"/>
                    <a:ea typeface="+mn-ea"/>
                    <a:cs typeface="+mn-cs"/>
                  </a:defRPr>
                </a:pPr>
                <a:r>
                  <a:rPr lang="en-US"/>
                  <a:t>Amount Land Applied (DMT)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hitney Office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Whitney Office" pitchFamily="2" charset="0"/>
                <a:ea typeface="+mn-ea"/>
                <a:cs typeface="+mn-cs"/>
              </a:defRPr>
            </a:pPr>
            <a:endParaRPr lang="en-US"/>
          </a:p>
        </c:txPr>
        <c:crossAx val="133301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Whitney Office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11</xdr:row>
      <xdr:rowOff>110490</xdr:rowOff>
    </xdr:from>
    <xdr:to>
      <xdr:col>21</xdr:col>
      <xdr:colOff>106680</xdr:colOff>
      <xdr:row>26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B89EB-253F-4286-B059-25B98F452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1-01-11T21:14:36.14" personId="{00000000-0000-0000-0000-000000000000}" id="{79EA5DC6-F571-4EA8-84A2-21CC8CF146E3}">
    <text>county breakdown does not include composting</text>
  </threadedComment>
  <threadedComment ref="B7" dT="2021-01-11T21:10:02.05" personId="{00000000-0000-0000-0000-000000000000}" id="{85B06A0F-F1B2-4E92-ABAA-EE5181839F7B}">
    <text>is the other land applied biosolids in CA? Any way to know for sure?</text>
  </threadedComment>
  <threadedComment ref="B8" dT="2021-01-11T21:19:34.19" personId="{00000000-0000-0000-0000-000000000000}" id="{91B741C8-C73C-4BBD-AF3C-0ABB4DC8B3D3}">
    <text>compost + "other" land app</text>
  </threadedComment>
  <threadedComment ref="E8" dT="2021-01-11T21:26:29.78" personId="{00000000-0000-0000-0000-000000000000}" id="{CD3839E7-CE75-404A-B94B-3BA37C319239}">
    <text>including compost as Class A here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6"/>
  <sheetViews>
    <sheetView workbookViewId="0">
      <pane xSplit="1" topLeftCell="B1" activePane="topRight" state="frozen"/>
      <selection pane="topRight" activeCell="AI10" sqref="AI10"/>
    </sheetView>
  </sheetViews>
  <sheetFormatPr defaultColWidth="8.88671875" defaultRowHeight="14.4" x14ac:dyDescent="0.3"/>
  <cols>
    <col min="1" max="1" width="8.88671875" style="1"/>
    <col min="2" max="2" width="12.6640625" style="1" customWidth="1"/>
    <col min="3" max="5" width="8.88671875" style="1"/>
    <col min="6" max="6" width="11" style="1" customWidth="1"/>
    <col min="7" max="7" width="8.88671875" style="1"/>
    <col min="8" max="8" width="10.6640625" style="1" bestFit="1" customWidth="1"/>
    <col min="9" max="9" width="12.6640625" style="1" bestFit="1" customWidth="1"/>
    <col min="10" max="10" width="12.6640625" style="1" customWidth="1"/>
    <col min="11" max="11" width="10.33203125" style="1" bestFit="1" customWidth="1"/>
    <col min="12" max="16" width="8.88671875" style="1"/>
    <col min="17" max="17" width="11.44140625" style="1" customWidth="1"/>
    <col min="18" max="20" width="8.88671875" style="1"/>
    <col min="21" max="21" width="10.44140625" style="1" bestFit="1" customWidth="1"/>
    <col min="22" max="23" width="8.88671875" style="1"/>
    <col min="24" max="24" width="10.6640625" style="1" bestFit="1" customWidth="1"/>
    <col min="25" max="25" width="12.6640625" style="1" bestFit="1" customWidth="1"/>
    <col min="26" max="26" width="10.33203125" style="1" bestFit="1" customWidth="1"/>
    <col min="27" max="27" width="9" style="1" bestFit="1" customWidth="1"/>
    <col min="28" max="28" width="9" style="1" customWidth="1"/>
    <col min="29" max="34" width="8.88671875" style="1"/>
    <col min="35" max="35" width="12.6640625" style="1" bestFit="1" customWidth="1"/>
    <col min="36" max="38" width="8.88671875" style="1"/>
    <col min="39" max="39" width="10.44140625" style="1" bestFit="1" customWidth="1"/>
    <col min="40" max="40" width="7.33203125" style="1" bestFit="1" customWidth="1"/>
    <col min="41" max="41" width="10.6640625" style="1" bestFit="1" customWidth="1"/>
    <col min="42" max="42" width="12.6640625" style="1" bestFit="1" customWidth="1"/>
    <col min="43" max="43" width="12.44140625" style="1" bestFit="1" customWidth="1"/>
    <col min="44" max="44" width="10.33203125" style="1" bestFit="1" customWidth="1"/>
    <col min="45" max="45" width="9" style="1" bestFit="1" customWidth="1"/>
    <col min="46" max="16384" width="8.88671875" style="1"/>
  </cols>
  <sheetData>
    <row r="1" spans="1:48" x14ac:dyDescent="0.3"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1"/>
      <c r="Q1" s="21"/>
      <c r="R1" s="23" t="s">
        <v>1</v>
      </c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J1" s="23" t="s">
        <v>2</v>
      </c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48" ht="15" thickBot="1" x14ac:dyDescent="0.35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4"/>
      <c r="Q2" s="2" t="s">
        <v>17</v>
      </c>
      <c r="R2" s="2" t="s">
        <v>4</v>
      </c>
      <c r="S2" s="2" t="s">
        <v>18</v>
      </c>
      <c r="T2" s="2" t="s">
        <v>6</v>
      </c>
      <c r="U2" s="2" t="s">
        <v>7</v>
      </c>
      <c r="V2" s="2" t="s">
        <v>8</v>
      </c>
      <c r="W2" s="2" t="s">
        <v>19</v>
      </c>
      <c r="X2" s="2" t="s">
        <v>9</v>
      </c>
      <c r="Y2" s="2" t="s">
        <v>10</v>
      </c>
      <c r="Z2" s="2" t="s">
        <v>12</v>
      </c>
      <c r="AA2" s="2" t="s">
        <v>13</v>
      </c>
      <c r="AB2" s="2" t="s">
        <v>20</v>
      </c>
      <c r="AC2" s="2" t="s">
        <v>14</v>
      </c>
      <c r="AD2" s="2" t="s">
        <v>15</v>
      </c>
      <c r="AE2" s="2" t="s">
        <v>21</v>
      </c>
      <c r="AF2" s="2" t="s">
        <v>22</v>
      </c>
      <c r="AG2" s="2" t="s">
        <v>16</v>
      </c>
      <c r="AI2" s="2" t="s">
        <v>23</v>
      </c>
      <c r="AJ2" s="2" t="s">
        <v>4</v>
      </c>
      <c r="AK2" s="2" t="s">
        <v>5</v>
      </c>
      <c r="AL2" s="2" t="s">
        <v>6</v>
      </c>
      <c r="AM2" s="2" t="s">
        <v>7</v>
      </c>
      <c r="AN2" s="2" t="s">
        <v>8</v>
      </c>
      <c r="AO2" s="2" t="s">
        <v>9</v>
      </c>
      <c r="AP2" s="2" t="s">
        <v>10</v>
      </c>
      <c r="AQ2" s="2" t="s">
        <v>11</v>
      </c>
      <c r="AR2" s="2" t="s">
        <v>12</v>
      </c>
      <c r="AS2" s="2" t="s">
        <v>13</v>
      </c>
      <c r="AT2" s="2" t="s">
        <v>14</v>
      </c>
      <c r="AU2" s="2" t="s">
        <v>15</v>
      </c>
      <c r="AV2" s="2" t="s">
        <v>16</v>
      </c>
    </row>
    <row r="3" spans="1:48" x14ac:dyDescent="0.3">
      <c r="A3" s="1">
        <v>2008</v>
      </c>
      <c r="B3" s="6">
        <f>30500+65000+4000+10000+225000</f>
        <v>334500</v>
      </c>
      <c r="C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K3" s="1" t="s">
        <v>24</v>
      </c>
      <c r="L3" s="1" t="s">
        <v>24</v>
      </c>
      <c r="M3" s="1" t="s">
        <v>24</v>
      </c>
      <c r="O3" s="1" t="s">
        <v>24</v>
      </c>
      <c r="Q3" s="6">
        <f xml:space="preserve"> 15000+35000+52000</f>
        <v>102000</v>
      </c>
      <c r="R3" s="1" t="s">
        <v>24</v>
      </c>
      <c r="S3" s="1" t="s">
        <v>24</v>
      </c>
      <c r="T3" s="1" t="s">
        <v>24</v>
      </c>
      <c r="U3" s="1" t="s">
        <v>24</v>
      </c>
      <c r="V3" s="1" t="s">
        <v>24</v>
      </c>
      <c r="W3" s="1" t="s">
        <v>24</v>
      </c>
      <c r="X3" s="1" t="s">
        <v>24</v>
      </c>
      <c r="Y3" s="1" t="s">
        <v>24</v>
      </c>
      <c r="Z3" s="1" t="s">
        <v>24</v>
      </c>
      <c r="AA3" s="1" t="s">
        <v>24</v>
      </c>
      <c r="AB3" s="1" t="s">
        <v>24</v>
      </c>
      <c r="AC3" s="1" t="s">
        <v>24</v>
      </c>
      <c r="AD3" s="1" t="s">
        <v>24</v>
      </c>
      <c r="AE3" s="1" t="s">
        <v>24</v>
      </c>
      <c r="AF3" s="1" t="s">
        <v>24</v>
      </c>
      <c r="AG3" s="1" t="s">
        <v>24</v>
      </c>
    </row>
    <row r="4" spans="1:48" x14ac:dyDescent="0.3">
      <c r="A4" s="1">
        <v>2009</v>
      </c>
      <c r="B4" s="3">
        <f>SUM(C4:O4)</f>
        <v>92800</v>
      </c>
      <c r="C4" s="3">
        <v>1000</v>
      </c>
      <c r="D4" s="3"/>
      <c r="E4" s="3">
        <v>81000</v>
      </c>
      <c r="F4" s="1" t="s">
        <v>24</v>
      </c>
      <c r="G4" s="1" t="s">
        <v>24</v>
      </c>
      <c r="H4" s="3">
        <v>6000</v>
      </c>
      <c r="I4" s="5">
        <v>3500</v>
      </c>
      <c r="J4" s="5"/>
      <c r="K4" s="1" t="s">
        <v>24</v>
      </c>
      <c r="L4" s="1">
        <v>300</v>
      </c>
      <c r="M4" s="1" t="s">
        <v>24</v>
      </c>
      <c r="O4" s="3">
        <v>1000</v>
      </c>
      <c r="Q4" s="3">
        <f>SUM(R4:AG4)</f>
        <v>48000</v>
      </c>
      <c r="R4" s="3">
        <v>2000</v>
      </c>
      <c r="S4" s="1" t="s">
        <v>24</v>
      </c>
      <c r="T4" s="3">
        <v>2000</v>
      </c>
      <c r="U4" s="1" t="s">
        <v>24</v>
      </c>
      <c r="V4" s="3">
        <v>18000</v>
      </c>
      <c r="W4" s="1" t="s">
        <v>24</v>
      </c>
      <c r="X4" s="5">
        <v>18000</v>
      </c>
      <c r="Y4" s="1" t="s">
        <v>24</v>
      </c>
      <c r="Z4" s="1" t="s">
        <v>24</v>
      </c>
      <c r="AA4" s="1" t="s">
        <v>24</v>
      </c>
      <c r="AB4" s="1" t="s">
        <v>24</v>
      </c>
      <c r="AC4" s="3">
        <v>8000</v>
      </c>
      <c r="AD4" s="3" t="s">
        <v>24</v>
      </c>
      <c r="AE4" s="3" t="s">
        <v>24</v>
      </c>
      <c r="AF4" s="1" t="s">
        <v>24</v>
      </c>
      <c r="AG4" s="1" t="s">
        <v>24</v>
      </c>
    </row>
    <row r="5" spans="1:48" x14ac:dyDescent="0.3">
      <c r="A5" s="1">
        <v>2010</v>
      </c>
      <c r="B5" s="1">
        <v>245000</v>
      </c>
      <c r="C5" s="1" t="s">
        <v>24</v>
      </c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K5" s="1" t="s">
        <v>24</v>
      </c>
      <c r="L5" s="1" t="s">
        <v>24</v>
      </c>
      <c r="M5" s="1" t="s">
        <v>24</v>
      </c>
      <c r="O5" s="1" t="s">
        <v>24</v>
      </c>
      <c r="Q5" s="1">
        <v>149000</v>
      </c>
      <c r="R5" s="1">
        <v>1000</v>
      </c>
      <c r="S5" s="1" t="s">
        <v>24</v>
      </c>
      <c r="T5" s="1">
        <v>10000</v>
      </c>
      <c r="U5" s="1" t="s">
        <v>24</v>
      </c>
      <c r="V5" s="1">
        <v>26000</v>
      </c>
      <c r="W5" s="1">
        <v>500</v>
      </c>
      <c r="X5" s="1">
        <v>21000</v>
      </c>
      <c r="Y5" s="1" t="s">
        <v>24</v>
      </c>
      <c r="Z5" s="1" t="s">
        <v>24</v>
      </c>
      <c r="AA5" s="1" t="s">
        <v>24</v>
      </c>
      <c r="AB5" s="1">
        <v>1000</v>
      </c>
      <c r="AC5" s="1">
        <v>5000</v>
      </c>
      <c r="AD5" s="1">
        <v>8000</v>
      </c>
      <c r="AE5" s="1">
        <v>4000</v>
      </c>
      <c r="AF5" s="1">
        <v>1500</v>
      </c>
      <c r="AG5" s="1" t="s">
        <v>24</v>
      </c>
    </row>
    <row r="6" spans="1:48" x14ac:dyDescent="0.3">
      <c r="A6" s="1">
        <v>2011</v>
      </c>
      <c r="B6" s="3">
        <v>235000</v>
      </c>
      <c r="C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K6" s="1" t="s">
        <v>24</v>
      </c>
      <c r="L6" s="1" t="s">
        <v>24</v>
      </c>
      <c r="M6" s="1" t="s">
        <v>24</v>
      </c>
      <c r="O6" s="1" t="s">
        <v>24</v>
      </c>
      <c r="Q6" s="3">
        <v>169000</v>
      </c>
      <c r="R6" s="1">
        <v>1000</v>
      </c>
      <c r="S6" s="1">
        <v>4000</v>
      </c>
      <c r="T6" s="1">
        <v>7500</v>
      </c>
      <c r="U6" s="1" t="s">
        <v>24</v>
      </c>
      <c r="V6" s="1">
        <v>41000</v>
      </c>
      <c r="W6" s="1">
        <v>1100</v>
      </c>
      <c r="X6" s="1">
        <v>22000</v>
      </c>
      <c r="Y6" s="1" t="s">
        <v>24</v>
      </c>
      <c r="Z6" s="1" t="s">
        <v>24</v>
      </c>
      <c r="AA6" s="1" t="s">
        <v>24</v>
      </c>
      <c r="AB6" s="1" t="s">
        <v>24</v>
      </c>
      <c r="AC6" s="1">
        <v>7000</v>
      </c>
      <c r="AD6" s="1">
        <v>7100</v>
      </c>
      <c r="AE6" s="1">
        <v>5000</v>
      </c>
      <c r="AF6" s="1">
        <v>1300</v>
      </c>
      <c r="AG6" s="1" t="s">
        <v>24</v>
      </c>
    </row>
    <row r="7" spans="1:48" ht="15.6" x14ac:dyDescent="0.3">
      <c r="A7" s="1">
        <v>2012</v>
      </c>
      <c r="B7" s="3">
        <v>145000</v>
      </c>
      <c r="C7" s="1" t="s">
        <v>24</v>
      </c>
      <c r="E7" s="3">
        <v>53000</v>
      </c>
      <c r="F7" s="1" t="s">
        <v>24</v>
      </c>
      <c r="G7" s="7">
        <v>3000</v>
      </c>
      <c r="H7" s="7">
        <v>3000</v>
      </c>
      <c r="I7" s="1" t="s">
        <v>24</v>
      </c>
      <c r="K7" s="1" t="s">
        <v>24</v>
      </c>
      <c r="L7" s="1" t="s">
        <v>24</v>
      </c>
      <c r="M7" s="1" t="s">
        <v>24</v>
      </c>
      <c r="O7" s="1" t="s">
        <v>24</v>
      </c>
      <c r="Q7" s="3">
        <v>65000</v>
      </c>
      <c r="R7" s="1" t="s">
        <v>24</v>
      </c>
      <c r="S7" s="1" t="s">
        <v>24</v>
      </c>
      <c r="T7" s="3">
        <v>9000</v>
      </c>
      <c r="U7" s="1" t="s">
        <v>24</v>
      </c>
      <c r="V7" s="7">
        <v>29000</v>
      </c>
      <c r="W7" s="1" t="s">
        <v>24</v>
      </c>
      <c r="X7" s="8" t="s">
        <v>25</v>
      </c>
      <c r="Y7" s="1" t="s">
        <v>24</v>
      </c>
      <c r="Z7" s="1" t="s">
        <v>24</v>
      </c>
      <c r="AA7" s="1" t="s">
        <v>24</v>
      </c>
      <c r="AB7" s="1" t="s">
        <v>24</v>
      </c>
      <c r="AC7" s="1">
        <v>7000</v>
      </c>
      <c r="AD7" s="7">
        <v>9000</v>
      </c>
      <c r="AE7" s="1" t="s">
        <v>24</v>
      </c>
      <c r="AF7" s="1" t="s">
        <v>24</v>
      </c>
      <c r="AG7" s="1" t="s">
        <v>24</v>
      </c>
    </row>
    <row r="8" spans="1:48" x14ac:dyDescent="0.3">
      <c r="A8" s="1">
        <v>2013</v>
      </c>
      <c r="B8" s="1">
        <f>185000+75000</f>
        <v>260000</v>
      </c>
      <c r="C8" s="1" t="s">
        <v>24</v>
      </c>
      <c r="D8" s="1">
        <v>300</v>
      </c>
      <c r="E8" s="1">
        <f>48000+91000</f>
        <v>139000</v>
      </c>
      <c r="F8" s="1">
        <v>600</v>
      </c>
      <c r="G8" s="1">
        <f>3000+13000</f>
        <v>16000</v>
      </c>
      <c r="H8" s="1">
        <v>4400</v>
      </c>
      <c r="I8" s="1">
        <f>4200+54000</f>
        <v>58200</v>
      </c>
      <c r="J8" s="1">
        <v>4000</v>
      </c>
      <c r="K8" s="1" t="s">
        <v>24</v>
      </c>
      <c r="L8" s="1">
        <v>4000</v>
      </c>
      <c r="M8" s="1">
        <v>0</v>
      </c>
      <c r="N8" s="1">
        <v>1100</v>
      </c>
      <c r="O8" s="1">
        <v>3100</v>
      </c>
      <c r="Q8" s="3">
        <v>142000</v>
      </c>
      <c r="R8" s="1" t="s">
        <v>24</v>
      </c>
      <c r="S8" s="1" t="s">
        <v>24</v>
      </c>
      <c r="T8" s="1">
        <v>8000</v>
      </c>
      <c r="U8" s="1" t="s">
        <v>24</v>
      </c>
      <c r="V8" s="1">
        <v>33000</v>
      </c>
      <c r="W8" s="1">
        <v>1200</v>
      </c>
      <c r="X8" s="1">
        <v>23000</v>
      </c>
      <c r="Y8" s="1">
        <v>0</v>
      </c>
      <c r="Z8" s="1" t="s">
        <v>24</v>
      </c>
      <c r="AA8" s="1">
        <v>0</v>
      </c>
      <c r="AB8" s="1" t="s">
        <v>24</v>
      </c>
      <c r="AC8" s="1">
        <v>46000</v>
      </c>
      <c r="AD8" s="1">
        <v>5000</v>
      </c>
      <c r="AE8" s="1">
        <v>1300</v>
      </c>
      <c r="AF8" s="1">
        <v>1200</v>
      </c>
      <c r="AG8" s="1" t="s">
        <v>24</v>
      </c>
    </row>
    <row r="9" spans="1:48" x14ac:dyDescent="0.3">
      <c r="A9" s="1">
        <v>2014</v>
      </c>
      <c r="B9" s="3">
        <v>271000</v>
      </c>
      <c r="Q9" s="3">
        <v>172000</v>
      </c>
      <c r="AI9" s="1">
        <f>SUM(AJ9:AV9)</f>
        <v>216900</v>
      </c>
      <c r="AK9" s="1">
        <v>400</v>
      </c>
      <c r="AL9" s="1">
        <v>83000</v>
      </c>
      <c r="AM9" s="1">
        <v>500</v>
      </c>
      <c r="AN9" s="1">
        <v>12000</v>
      </c>
      <c r="AP9" s="1">
        <v>89000</v>
      </c>
      <c r="AQ9" s="1">
        <v>5000</v>
      </c>
      <c r="AU9" s="1">
        <v>12000</v>
      </c>
      <c r="AV9" s="1">
        <v>15000</v>
      </c>
    </row>
    <row r="10" spans="1:48" x14ac:dyDescent="0.3">
      <c r="A10" s="1">
        <v>2015</v>
      </c>
    </row>
    <row r="11" spans="1:48" x14ac:dyDescent="0.3">
      <c r="A11" s="1">
        <v>2016</v>
      </c>
    </row>
    <row r="12" spans="1:48" x14ac:dyDescent="0.3">
      <c r="A12" s="1">
        <v>2017</v>
      </c>
    </row>
    <row r="13" spans="1:48" x14ac:dyDescent="0.3">
      <c r="A13" s="1">
        <v>2018</v>
      </c>
    </row>
    <row r="14" spans="1:48" x14ac:dyDescent="0.3">
      <c r="A14" s="1">
        <v>2019</v>
      </c>
    </row>
    <row r="15" spans="1:48" x14ac:dyDescent="0.3">
      <c r="A15" s="1">
        <v>2020</v>
      </c>
    </row>
    <row r="16" spans="1:48" x14ac:dyDescent="0.3">
      <c r="A16" s="1">
        <v>2021</v>
      </c>
    </row>
  </sheetData>
  <mergeCells count="3">
    <mergeCell ref="C1:O1"/>
    <mergeCell ref="R1:AG1"/>
    <mergeCell ref="AJ1:AV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2"/>
  <sheetViews>
    <sheetView workbookViewId="0">
      <pane ySplit="1" topLeftCell="A2" activePane="bottomLeft" state="frozen"/>
      <selection pane="bottomLeft" sqref="A1:D1"/>
    </sheetView>
  </sheetViews>
  <sheetFormatPr defaultRowHeight="14.4" x14ac:dyDescent="0.3"/>
  <cols>
    <col min="2" max="2" width="18.5546875" customWidth="1"/>
    <col min="3" max="3" width="11.6640625" customWidth="1"/>
    <col min="4" max="4" width="10.109375" customWidth="1"/>
    <col min="7" max="7" width="14.109375" customWidth="1"/>
  </cols>
  <sheetData>
    <row r="1" spans="1:7" ht="26.4" x14ac:dyDescent="0.3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9" t="s">
        <v>32</v>
      </c>
    </row>
    <row r="2" spans="1:7" x14ac:dyDescent="0.3">
      <c r="A2">
        <v>2007</v>
      </c>
      <c r="B2" t="s">
        <v>4</v>
      </c>
      <c r="C2" t="s">
        <v>4</v>
      </c>
      <c r="D2">
        <f>SUM(E2:F2)</f>
        <v>2106</v>
      </c>
      <c r="E2" s="11">
        <f>1115</f>
        <v>1115</v>
      </c>
      <c r="F2" s="10">
        <f>991</f>
        <v>991</v>
      </c>
    </row>
    <row r="3" spans="1:7" x14ac:dyDescent="0.3">
      <c r="A3">
        <v>2007</v>
      </c>
      <c r="B3" t="s">
        <v>4</v>
      </c>
      <c r="C3" t="s">
        <v>8</v>
      </c>
      <c r="D3">
        <f t="shared" ref="D3:D34" si="0">SUM(E3:G3)</f>
        <v>6195.7</v>
      </c>
      <c r="F3" s="12">
        <f>4623+1307.7</f>
        <v>5930.7</v>
      </c>
      <c r="G3">
        <f>265</f>
        <v>265</v>
      </c>
    </row>
    <row r="4" spans="1:7" x14ac:dyDescent="0.3">
      <c r="A4">
        <v>2007</v>
      </c>
      <c r="B4" t="s">
        <v>4</v>
      </c>
      <c r="C4" t="s">
        <v>33</v>
      </c>
      <c r="D4">
        <f t="shared" si="0"/>
        <v>1307.6666666666667</v>
      </c>
      <c r="F4" s="12">
        <f>3923/3</f>
        <v>1307.6666666666667</v>
      </c>
    </row>
    <row r="5" spans="1:7" x14ac:dyDescent="0.3">
      <c r="A5">
        <v>2007</v>
      </c>
      <c r="B5" t="s">
        <v>4</v>
      </c>
      <c r="C5" t="s">
        <v>14</v>
      </c>
      <c r="D5">
        <f t="shared" si="0"/>
        <v>1307.6666666666667</v>
      </c>
      <c r="F5" s="12">
        <f>3923/3</f>
        <v>1307.6666666666667</v>
      </c>
    </row>
    <row r="6" spans="1:7" x14ac:dyDescent="0.3">
      <c r="A6">
        <v>2007</v>
      </c>
      <c r="B6" t="s">
        <v>34</v>
      </c>
      <c r="C6" t="s">
        <v>8</v>
      </c>
      <c r="D6">
        <f t="shared" si="0"/>
        <v>863.33333333333337</v>
      </c>
      <c r="F6" s="12">
        <f>2590/3</f>
        <v>863.33333333333337</v>
      </c>
    </row>
    <row r="7" spans="1:7" x14ac:dyDescent="0.3">
      <c r="A7">
        <v>2007</v>
      </c>
      <c r="B7" t="s">
        <v>34</v>
      </c>
      <c r="C7" t="s">
        <v>33</v>
      </c>
      <c r="D7">
        <f t="shared" si="0"/>
        <v>863.33333333333337</v>
      </c>
      <c r="F7" s="12">
        <f>2590/3</f>
        <v>863.33333333333337</v>
      </c>
    </row>
    <row r="8" spans="1:7" x14ac:dyDescent="0.3">
      <c r="A8">
        <v>2007</v>
      </c>
      <c r="B8" t="s">
        <v>34</v>
      </c>
      <c r="C8" t="s">
        <v>14</v>
      </c>
      <c r="D8">
        <f t="shared" si="0"/>
        <v>863.33333333333337</v>
      </c>
      <c r="F8" s="12">
        <f>2590/3</f>
        <v>863.33333333333337</v>
      </c>
    </row>
    <row r="9" spans="1:7" x14ac:dyDescent="0.3">
      <c r="A9">
        <v>2007</v>
      </c>
      <c r="B9" t="s">
        <v>35</v>
      </c>
      <c r="C9" t="s">
        <v>33</v>
      </c>
      <c r="D9">
        <f t="shared" si="0"/>
        <v>1147</v>
      </c>
      <c r="F9">
        <f>419+504+224</f>
        <v>1147</v>
      </c>
    </row>
    <row r="10" spans="1:7" x14ac:dyDescent="0.3">
      <c r="A10">
        <v>2007</v>
      </c>
      <c r="B10" t="s">
        <v>36</v>
      </c>
      <c r="C10" t="s">
        <v>6</v>
      </c>
      <c r="D10">
        <f t="shared" si="0"/>
        <v>16033</v>
      </c>
      <c r="F10" s="12"/>
      <c r="G10">
        <f>8706+447+1700+5180</f>
        <v>16033</v>
      </c>
    </row>
    <row r="11" spans="1:7" x14ac:dyDescent="0.3">
      <c r="A11">
        <v>2007</v>
      </c>
      <c r="B11" t="s">
        <v>36</v>
      </c>
      <c r="C11" t="s">
        <v>8</v>
      </c>
      <c r="D11">
        <f t="shared" si="0"/>
        <v>7416</v>
      </c>
      <c r="F11" s="12"/>
      <c r="G11">
        <f>7416</f>
        <v>7416</v>
      </c>
    </row>
    <row r="12" spans="1:7" x14ac:dyDescent="0.3">
      <c r="A12">
        <v>2007</v>
      </c>
      <c r="B12" t="s">
        <v>5</v>
      </c>
      <c r="C12" t="s">
        <v>5</v>
      </c>
      <c r="D12">
        <f t="shared" si="0"/>
        <v>285</v>
      </c>
      <c r="E12">
        <v>285</v>
      </c>
    </row>
    <row r="13" spans="1:7" x14ac:dyDescent="0.3">
      <c r="A13">
        <v>2007</v>
      </c>
      <c r="B13" t="s">
        <v>37</v>
      </c>
      <c r="C13" t="s">
        <v>38</v>
      </c>
      <c r="D13">
        <f t="shared" si="0"/>
        <v>3836</v>
      </c>
      <c r="F13">
        <f>856+1334+1646</f>
        <v>3836</v>
      </c>
    </row>
    <row r="14" spans="1:7" x14ac:dyDescent="0.3">
      <c r="A14">
        <v>2007</v>
      </c>
      <c r="B14" t="s">
        <v>6</v>
      </c>
      <c r="C14" t="s">
        <v>6</v>
      </c>
      <c r="D14">
        <f t="shared" si="0"/>
        <v>4755</v>
      </c>
      <c r="F14">
        <f>2194+1282+516</f>
        <v>3992</v>
      </c>
      <c r="G14">
        <f>465+298</f>
        <v>763</v>
      </c>
    </row>
    <row r="15" spans="1:7" x14ac:dyDescent="0.3">
      <c r="A15">
        <v>2007</v>
      </c>
      <c r="B15" t="s">
        <v>39</v>
      </c>
      <c r="C15" t="s">
        <v>39</v>
      </c>
      <c r="D15">
        <f t="shared" si="0"/>
        <v>132</v>
      </c>
      <c r="F15">
        <f>103+29</f>
        <v>132</v>
      </c>
    </row>
    <row r="16" spans="1:7" s="13" customFormat="1" x14ac:dyDescent="0.3">
      <c r="A16" s="13">
        <v>2007</v>
      </c>
      <c r="B16" s="13" t="s">
        <v>7</v>
      </c>
      <c r="C16" s="13" t="s">
        <v>6</v>
      </c>
      <c r="D16" s="13">
        <f t="shared" si="0"/>
        <v>3709</v>
      </c>
      <c r="E16" s="13">
        <f>2634</f>
        <v>2634</v>
      </c>
      <c r="G16" s="13">
        <f>524+551</f>
        <v>1075</v>
      </c>
    </row>
    <row r="17" spans="1:7" s="13" customFormat="1" x14ac:dyDescent="0.3">
      <c r="A17" s="13">
        <v>2007</v>
      </c>
      <c r="B17" s="13" t="s">
        <v>7</v>
      </c>
      <c r="C17" s="13" t="s">
        <v>6</v>
      </c>
      <c r="D17" s="13">
        <f t="shared" si="0"/>
        <v>24874.666666666668</v>
      </c>
      <c r="G17" s="14">
        <f>74624/3</f>
        <v>24874.666666666668</v>
      </c>
    </row>
    <row r="18" spans="1:7" s="13" customFormat="1" x14ac:dyDescent="0.3">
      <c r="A18" s="13">
        <v>2007</v>
      </c>
      <c r="B18" s="13" t="s">
        <v>7</v>
      </c>
      <c r="C18" s="13" t="s">
        <v>40</v>
      </c>
      <c r="D18" s="13">
        <f t="shared" si="0"/>
        <v>390</v>
      </c>
      <c r="F18" s="14">
        <f>390</f>
        <v>390</v>
      </c>
    </row>
    <row r="19" spans="1:7" s="13" customFormat="1" x14ac:dyDescent="0.3">
      <c r="A19" s="13">
        <v>2007</v>
      </c>
      <c r="B19" s="13" t="s">
        <v>7</v>
      </c>
      <c r="C19" s="13" t="s">
        <v>41</v>
      </c>
      <c r="D19" s="13">
        <f t="shared" si="0"/>
        <v>16408</v>
      </c>
      <c r="F19" s="14">
        <f>16408</f>
        <v>16408</v>
      </c>
    </row>
    <row r="20" spans="1:7" s="13" customFormat="1" x14ac:dyDescent="0.3">
      <c r="A20" s="13">
        <v>2007</v>
      </c>
      <c r="B20" s="13" t="s">
        <v>7</v>
      </c>
      <c r="C20" s="13" t="s">
        <v>42</v>
      </c>
      <c r="D20" s="13">
        <f t="shared" si="0"/>
        <v>25662.666666666668</v>
      </c>
      <c r="G20" s="14">
        <f>(74624/3)+788</f>
        <v>25662.666666666668</v>
      </c>
    </row>
    <row r="21" spans="1:7" s="13" customFormat="1" x14ac:dyDescent="0.3">
      <c r="A21" s="13">
        <v>2007</v>
      </c>
      <c r="B21" s="13" t="s">
        <v>7</v>
      </c>
      <c r="C21" s="13" t="s">
        <v>10</v>
      </c>
      <c r="D21" s="13">
        <f t="shared" si="0"/>
        <v>24874.666666666668</v>
      </c>
      <c r="G21" s="14">
        <f>74624/3</f>
        <v>24874.666666666668</v>
      </c>
    </row>
    <row r="22" spans="1:7" s="13" customFormat="1" x14ac:dyDescent="0.3">
      <c r="A22" s="13">
        <v>2007</v>
      </c>
      <c r="B22" s="13" t="s">
        <v>7</v>
      </c>
      <c r="C22" s="13" t="s">
        <v>38</v>
      </c>
      <c r="D22" s="13">
        <f t="shared" si="0"/>
        <v>8909</v>
      </c>
      <c r="F22" s="14">
        <f>8909</f>
        <v>8909</v>
      </c>
    </row>
    <row r="23" spans="1:7" x14ac:dyDescent="0.3">
      <c r="A23">
        <v>2007</v>
      </c>
      <c r="B23" t="s">
        <v>43</v>
      </c>
      <c r="C23" t="s">
        <v>8</v>
      </c>
      <c r="D23" s="13">
        <f t="shared" si="0"/>
        <v>586</v>
      </c>
      <c r="F23">
        <v>130</v>
      </c>
      <c r="G23">
        <f>456</f>
        <v>456</v>
      </c>
    </row>
    <row r="24" spans="1:7" x14ac:dyDescent="0.3">
      <c r="A24">
        <v>2007</v>
      </c>
      <c r="B24" t="s">
        <v>44</v>
      </c>
      <c r="C24" t="s">
        <v>15</v>
      </c>
      <c r="D24" s="13">
        <f t="shared" si="0"/>
        <v>988</v>
      </c>
      <c r="F24">
        <f>541+447</f>
        <v>988</v>
      </c>
    </row>
    <row r="25" spans="1:7" x14ac:dyDescent="0.3">
      <c r="A25">
        <v>2007</v>
      </c>
      <c r="B25" t="s">
        <v>8</v>
      </c>
      <c r="C25" t="s">
        <v>36</v>
      </c>
      <c r="D25" s="13">
        <f t="shared" si="0"/>
        <v>7400</v>
      </c>
      <c r="G25">
        <v>7400</v>
      </c>
    </row>
    <row r="26" spans="1:7" x14ac:dyDescent="0.3">
      <c r="A26">
        <v>2007</v>
      </c>
      <c r="B26" t="s">
        <v>8</v>
      </c>
      <c r="C26" t="s">
        <v>43</v>
      </c>
      <c r="D26" s="13">
        <f t="shared" si="0"/>
        <v>543</v>
      </c>
      <c r="G26">
        <v>543</v>
      </c>
    </row>
    <row r="27" spans="1:7" x14ac:dyDescent="0.3">
      <c r="A27">
        <v>2007</v>
      </c>
      <c r="B27" t="s">
        <v>8</v>
      </c>
      <c r="C27" t="s">
        <v>8</v>
      </c>
      <c r="D27" s="13">
        <f t="shared" si="0"/>
        <v>3538</v>
      </c>
      <c r="F27">
        <f>2149+250+1139</f>
        <v>3538</v>
      </c>
    </row>
    <row r="28" spans="1:7" x14ac:dyDescent="0.3">
      <c r="A28">
        <v>2007</v>
      </c>
      <c r="B28" t="s">
        <v>8</v>
      </c>
      <c r="C28" t="s">
        <v>45</v>
      </c>
      <c r="D28" s="13">
        <f t="shared" si="0"/>
        <v>966</v>
      </c>
      <c r="G28">
        <f>712+247+7</f>
        <v>966</v>
      </c>
    </row>
    <row r="29" spans="1:7" x14ac:dyDescent="0.3">
      <c r="A29">
        <v>2007</v>
      </c>
      <c r="B29" t="s">
        <v>46</v>
      </c>
      <c r="C29" t="s">
        <v>6</v>
      </c>
      <c r="D29" s="13">
        <f t="shared" si="0"/>
        <v>366</v>
      </c>
      <c r="G29">
        <v>366</v>
      </c>
    </row>
    <row r="30" spans="1:7" x14ac:dyDescent="0.3">
      <c r="A30">
        <v>2007</v>
      </c>
      <c r="B30" t="s">
        <v>19</v>
      </c>
      <c r="C30" t="s">
        <v>19</v>
      </c>
      <c r="D30" s="13">
        <f t="shared" si="0"/>
        <v>1302</v>
      </c>
      <c r="F30">
        <v>1302</v>
      </c>
    </row>
    <row r="31" spans="1:7" x14ac:dyDescent="0.3">
      <c r="A31">
        <v>2007</v>
      </c>
      <c r="B31" t="s">
        <v>19</v>
      </c>
      <c r="C31" t="s">
        <v>14</v>
      </c>
      <c r="D31" s="13">
        <f t="shared" si="0"/>
        <v>119</v>
      </c>
      <c r="F31">
        <v>119</v>
      </c>
    </row>
    <row r="32" spans="1:7" x14ac:dyDescent="0.3">
      <c r="A32">
        <v>2007</v>
      </c>
      <c r="B32" t="s">
        <v>47</v>
      </c>
      <c r="C32" t="s">
        <v>33</v>
      </c>
      <c r="D32" s="13">
        <f t="shared" si="0"/>
        <v>173</v>
      </c>
      <c r="F32">
        <v>173</v>
      </c>
    </row>
    <row r="33" spans="1:7" x14ac:dyDescent="0.3">
      <c r="A33">
        <v>2007</v>
      </c>
      <c r="B33" t="s">
        <v>47</v>
      </c>
      <c r="C33" t="s">
        <v>48</v>
      </c>
      <c r="D33" s="13">
        <f t="shared" si="0"/>
        <v>788</v>
      </c>
      <c r="F33">
        <v>495</v>
      </c>
      <c r="G33">
        <f>293</f>
        <v>293</v>
      </c>
    </row>
    <row r="34" spans="1:7" s="13" customFormat="1" x14ac:dyDescent="0.3">
      <c r="A34" s="13">
        <v>2007</v>
      </c>
      <c r="B34" s="13" t="s">
        <v>49</v>
      </c>
      <c r="C34" s="13" t="s">
        <v>6</v>
      </c>
      <c r="D34" s="13">
        <f t="shared" si="0"/>
        <v>9132</v>
      </c>
      <c r="G34" s="13">
        <f>3525+3514+361+1732</f>
        <v>9132</v>
      </c>
    </row>
    <row r="35" spans="1:7" s="13" customFormat="1" x14ac:dyDescent="0.3">
      <c r="A35" s="13">
        <v>2007</v>
      </c>
      <c r="B35" s="13" t="s">
        <v>49</v>
      </c>
      <c r="C35" s="13" t="s">
        <v>40</v>
      </c>
      <c r="D35" s="13">
        <f t="shared" ref="D35:D66" si="1">SUM(E35:G35)</f>
        <v>7891</v>
      </c>
      <c r="G35" s="13">
        <f>3525+3514+852</f>
        <v>7891</v>
      </c>
    </row>
    <row r="36" spans="1:7" s="13" customFormat="1" x14ac:dyDescent="0.3">
      <c r="A36" s="13">
        <v>2007</v>
      </c>
      <c r="B36" s="13" t="s">
        <v>49</v>
      </c>
      <c r="C36" s="13" t="s">
        <v>42</v>
      </c>
      <c r="D36" s="13">
        <f t="shared" si="1"/>
        <v>11640</v>
      </c>
      <c r="G36" s="13">
        <f>1083+3525+3514+700+759+673+1299+87</f>
        <v>11640</v>
      </c>
    </row>
    <row r="37" spans="1:7" s="13" customFormat="1" x14ac:dyDescent="0.3">
      <c r="A37" s="13">
        <v>2007</v>
      </c>
      <c r="B37" s="13" t="s">
        <v>49</v>
      </c>
      <c r="C37" s="13" t="s">
        <v>38</v>
      </c>
      <c r="D37" s="13">
        <f t="shared" si="1"/>
        <v>13775</v>
      </c>
      <c r="F37" s="13">
        <f>1482+4386+7907</f>
        <v>13775</v>
      </c>
    </row>
    <row r="38" spans="1:7" s="13" customFormat="1" x14ac:dyDescent="0.3">
      <c r="A38" s="13">
        <v>2007</v>
      </c>
      <c r="B38" s="13" t="s">
        <v>42</v>
      </c>
      <c r="C38" s="13" t="s">
        <v>6</v>
      </c>
      <c r="D38" s="13">
        <f t="shared" si="1"/>
        <v>2122</v>
      </c>
      <c r="G38" s="13">
        <f>2122</f>
        <v>2122</v>
      </c>
    </row>
    <row r="39" spans="1:7" s="13" customFormat="1" x14ac:dyDescent="0.3">
      <c r="A39" s="13">
        <v>2007</v>
      </c>
      <c r="B39" s="13" t="s">
        <v>42</v>
      </c>
      <c r="C39" s="13" t="s">
        <v>40</v>
      </c>
      <c r="D39" s="13">
        <f t="shared" si="1"/>
        <v>3421</v>
      </c>
      <c r="G39" s="13">
        <f>369+1262+115+1221+454</f>
        <v>3421</v>
      </c>
    </row>
    <row r="40" spans="1:7" s="13" customFormat="1" x14ac:dyDescent="0.3">
      <c r="A40" s="13">
        <v>2007</v>
      </c>
      <c r="B40" s="13" t="s">
        <v>42</v>
      </c>
      <c r="C40" s="13" t="s">
        <v>42</v>
      </c>
      <c r="D40" s="13">
        <f t="shared" si="1"/>
        <v>6925</v>
      </c>
      <c r="G40" s="13">
        <f>173+108+309+2337+2425+701+872</f>
        <v>6925</v>
      </c>
    </row>
    <row r="41" spans="1:7" s="13" customFormat="1" x14ac:dyDescent="0.3">
      <c r="A41" s="13">
        <v>2007</v>
      </c>
      <c r="B41" s="13" t="s">
        <v>42</v>
      </c>
      <c r="C41" s="13" t="s">
        <v>38</v>
      </c>
      <c r="D41" s="13">
        <f t="shared" si="1"/>
        <v>2622</v>
      </c>
      <c r="E41" s="13">
        <v>357</v>
      </c>
      <c r="F41" s="13">
        <f>275+643+1347</f>
        <v>2265</v>
      </c>
    </row>
    <row r="42" spans="1:7" x14ac:dyDescent="0.3">
      <c r="A42">
        <v>2007</v>
      </c>
      <c r="B42" t="s">
        <v>9</v>
      </c>
      <c r="C42" t="s">
        <v>33</v>
      </c>
      <c r="D42" s="13">
        <f t="shared" si="1"/>
        <v>210</v>
      </c>
      <c r="F42">
        <v>210</v>
      </c>
    </row>
    <row r="43" spans="1:7" s="13" customFormat="1" x14ac:dyDescent="0.3">
      <c r="A43" s="13">
        <v>2007</v>
      </c>
      <c r="B43" s="13" t="s">
        <v>10</v>
      </c>
      <c r="C43" s="13" t="s">
        <v>6</v>
      </c>
      <c r="D43" s="13">
        <f t="shared" si="1"/>
        <v>4246</v>
      </c>
      <c r="G43" s="13">
        <f>71+1113+3062</f>
        <v>4246</v>
      </c>
    </row>
    <row r="44" spans="1:7" s="13" customFormat="1" x14ac:dyDescent="0.3">
      <c r="A44" s="13">
        <v>2007</v>
      </c>
      <c r="B44" s="13" t="s">
        <v>10</v>
      </c>
      <c r="C44" s="13" t="s">
        <v>40</v>
      </c>
      <c r="D44" s="13">
        <f t="shared" si="1"/>
        <v>3153</v>
      </c>
      <c r="G44" s="13">
        <f>4+304+2382+463</f>
        <v>3153</v>
      </c>
    </row>
    <row r="45" spans="1:7" s="13" customFormat="1" x14ac:dyDescent="0.3">
      <c r="A45" s="13">
        <v>2007</v>
      </c>
      <c r="B45" s="13" t="s">
        <v>10</v>
      </c>
      <c r="C45" s="13" t="s">
        <v>8</v>
      </c>
      <c r="D45" s="13">
        <f t="shared" si="1"/>
        <v>20</v>
      </c>
      <c r="F45" s="13">
        <v>20</v>
      </c>
    </row>
    <row r="46" spans="1:7" s="13" customFormat="1" x14ac:dyDescent="0.3">
      <c r="A46" s="13">
        <v>2007</v>
      </c>
      <c r="B46" s="13" t="s">
        <v>10</v>
      </c>
      <c r="C46" s="13" t="s">
        <v>42</v>
      </c>
      <c r="D46" s="13">
        <f t="shared" si="1"/>
        <v>6701</v>
      </c>
      <c r="G46" s="13">
        <f>530+2388+3017+766</f>
        <v>6701</v>
      </c>
    </row>
    <row r="47" spans="1:7" s="13" customFormat="1" x14ac:dyDescent="0.3">
      <c r="A47" s="13">
        <v>2007</v>
      </c>
      <c r="B47" s="13" t="s">
        <v>10</v>
      </c>
      <c r="C47" s="13" t="s">
        <v>10</v>
      </c>
      <c r="D47" s="13">
        <f t="shared" si="1"/>
        <v>5246</v>
      </c>
      <c r="G47" s="13">
        <f>178+49+1650+1112+1700+557</f>
        <v>5246</v>
      </c>
    </row>
    <row r="48" spans="1:7" s="13" customFormat="1" x14ac:dyDescent="0.3">
      <c r="A48" s="13">
        <v>2007</v>
      </c>
      <c r="B48" s="13" t="s">
        <v>10</v>
      </c>
      <c r="C48" s="13" t="s">
        <v>38</v>
      </c>
      <c r="D48" s="13">
        <f t="shared" si="1"/>
        <v>7734</v>
      </c>
      <c r="F48" s="13">
        <f>3275+1467+2992</f>
        <v>7734</v>
      </c>
    </row>
    <row r="49" spans="1:7" s="13" customFormat="1" x14ac:dyDescent="0.3">
      <c r="A49" s="13">
        <v>2007</v>
      </c>
      <c r="B49" s="13" t="s">
        <v>13</v>
      </c>
      <c r="C49" s="13" t="s">
        <v>42</v>
      </c>
      <c r="D49" s="13">
        <f t="shared" si="1"/>
        <v>275</v>
      </c>
      <c r="G49" s="13">
        <v>275</v>
      </c>
    </row>
    <row r="50" spans="1:7" s="13" customFormat="1" x14ac:dyDescent="0.3">
      <c r="A50" s="13">
        <v>2007</v>
      </c>
      <c r="B50" s="13" t="s">
        <v>13</v>
      </c>
      <c r="C50" s="13" t="s">
        <v>38</v>
      </c>
      <c r="D50" s="13">
        <f t="shared" si="1"/>
        <v>16564</v>
      </c>
      <c r="F50" s="13">
        <f>6058+3211+674+2788+3274+559</f>
        <v>16564</v>
      </c>
    </row>
    <row r="51" spans="1:7" x14ac:dyDescent="0.3">
      <c r="A51">
        <v>2007</v>
      </c>
      <c r="B51" t="s">
        <v>45</v>
      </c>
      <c r="C51" t="s">
        <v>8</v>
      </c>
      <c r="D51" s="13">
        <f t="shared" si="1"/>
        <v>986</v>
      </c>
      <c r="F51">
        <f>166</f>
        <v>166</v>
      </c>
      <c r="G51">
        <f>820</f>
        <v>820</v>
      </c>
    </row>
    <row r="52" spans="1:7" x14ac:dyDescent="0.3">
      <c r="A52">
        <v>2007</v>
      </c>
      <c r="B52" t="s">
        <v>45</v>
      </c>
      <c r="C52" t="s">
        <v>14</v>
      </c>
      <c r="D52" s="13">
        <f t="shared" si="1"/>
        <v>4363</v>
      </c>
      <c r="F52">
        <f>759+3604</f>
        <v>4363</v>
      </c>
    </row>
    <row r="53" spans="1:7" x14ac:dyDescent="0.3">
      <c r="A53">
        <v>2007</v>
      </c>
      <c r="B53" t="s">
        <v>45</v>
      </c>
      <c r="C53" t="s">
        <v>15</v>
      </c>
      <c r="D53" s="13">
        <f t="shared" si="1"/>
        <v>1864</v>
      </c>
      <c r="F53">
        <f>442+1422</f>
        <v>1864</v>
      </c>
    </row>
    <row r="54" spans="1:7" x14ac:dyDescent="0.3">
      <c r="A54">
        <v>2007</v>
      </c>
      <c r="B54" t="s">
        <v>50</v>
      </c>
      <c r="C54" t="s">
        <v>8</v>
      </c>
      <c r="D54" s="15">
        <f t="shared" si="1"/>
        <v>677</v>
      </c>
      <c r="F54">
        <v>677</v>
      </c>
    </row>
    <row r="55" spans="1:7" x14ac:dyDescent="0.3">
      <c r="A55">
        <v>2007</v>
      </c>
      <c r="B55" t="s">
        <v>50</v>
      </c>
      <c r="C55" t="s">
        <v>33</v>
      </c>
      <c r="D55" s="13">
        <f t="shared" si="1"/>
        <v>4560</v>
      </c>
      <c r="F55">
        <v>4560</v>
      </c>
    </row>
    <row r="56" spans="1:7" x14ac:dyDescent="0.3">
      <c r="A56">
        <v>2007</v>
      </c>
      <c r="B56" t="s">
        <v>50</v>
      </c>
      <c r="C56" t="s">
        <v>50</v>
      </c>
      <c r="D56" s="13">
        <f t="shared" si="1"/>
        <v>1344</v>
      </c>
      <c r="F56">
        <f>1344</f>
        <v>1344</v>
      </c>
    </row>
    <row r="57" spans="1:7" x14ac:dyDescent="0.3">
      <c r="A57">
        <v>2007</v>
      </c>
      <c r="B57" t="s">
        <v>51</v>
      </c>
      <c r="C57" t="s">
        <v>6</v>
      </c>
      <c r="D57" s="15">
        <f t="shared" si="1"/>
        <v>1061.8</v>
      </c>
      <c r="E57">
        <v>39.9</v>
      </c>
      <c r="G57">
        <f>364+364+39.9+254</f>
        <v>1021.9</v>
      </c>
    </row>
    <row r="58" spans="1:7" x14ac:dyDescent="0.3">
      <c r="A58">
        <v>2007</v>
      </c>
      <c r="B58" t="s">
        <v>51</v>
      </c>
      <c r="C58" t="s">
        <v>11</v>
      </c>
      <c r="D58" s="15">
        <f t="shared" si="1"/>
        <v>3029</v>
      </c>
      <c r="G58">
        <v>3029</v>
      </c>
    </row>
    <row r="59" spans="1:7" x14ac:dyDescent="0.3">
      <c r="A59">
        <v>2007</v>
      </c>
      <c r="B59" t="s">
        <v>52</v>
      </c>
      <c r="C59" t="s">
        <v>8</v>
      </c>
      <c r="D59" s="15">
        <f t="shared" si="1"/>
        <v>399.33333333333331</v>
      </c>
      <c r="F59">
        <f>(214/3)+328</f>
        <v>399.33333333333331</v>
      </c>
    </row>
    <row r="60" spans="1:7" x14ac:dyDescent="0.3">
      <c r="A60">
        <v>2007</v>
      </c>
      <c r="B60" t="s">
        <v>52</v>
      </c>
      <c r="C60" t="s">
        <v>33</v>
      </c>
      <c r="D60" s="15">
        <f t="shared" si="1"/>
        <v>661.33333333333337</v>
      </c>
      <c r="F60">
        <f>(214/3)+590</f>
        <v>661.33333333333337</v>
      </c>
    </row>
    <row r="61" spans="1:7" x14ac:dyDescent="0.3">
      <c r="A61">
        <v>2007</v>
      </c>
      <c r="B61" t="s">
        <v>52</v>
      </c>
      <c r="C61" t="s">
        <v>52</v>
      </c>
      <c r="D61" s="15">
        <f t="shared" si="1"/>
        <v>0</v>
      </c>
    </row>
    <row r="62" spans="1:7" x14ac:dyDescent="0.3">
      <c r="A62">
        <v>2007</v>
      </c>
      <c r="B62" t="s">
        <v>52</v>
      </c>
      <c r="C62" t="s">
        <v>14</v>
      </c>
      <c r="D62" s="15">
        <f t="shared" si="1"/>
        <v>1002.3333333333334</v>
      </c>
      <c r="F62">
        <f>(214/3)+931</f>
        <v>1002.3333333333334</v>
      </c>
    </row>
    <row r="63" spans="1:7" x14ac:dyDescent="0.3">
      <c r="A63">
        <v>2007</v>
      </c>
      <c r="B63" t="s">
        <v>11</v>
      </c>
      <c r="C63" t="s">
        <v>6</v>
      </c>
      <c r="D63" s="15">
        <f t="shared" si="1"/>
        <v>1510</v>
      </c>
      <c r="G63">
        <f>1510</f>
        <v>1510</v>
      </c>
    </row>
    <row r="64" spans="1:7" x14ac:dyDescent="0.3">
      <c r="A64">
        <v>2007</v>
      </c>
      <c r="B64" t="s">
        <v>11</v>
      </c>
      <c r="C64" t="s">
        <v>11</v>
      </c>
      <c r="D64" s="15">
        <f t="shared" si="1"/>
        <v>1969</v>
      </c>
      <c r="G64">
        <f>150+1512+307</f>
        <v>1969</v>
      </c>
    </row>
    <row r="65" spans="1:7" x14ac:dyDescent="0.3">
      <c r="A65">
        <v>2007</v>
      </c>
      <c r="B65" t="s">
        <v>12</v>
      </c>
      <c r="C65" t="s">
        <v>14</v>
      </c>
      <c r="D65" s="15">
        <f t="shared" si="1"/>
        <v>288</v>
      </c>
      <c r="F65">
        <v>288</v>
      </c>
    </row>
    <row r="66" spans="1:7" x14ac:dyDescent="0.3">
      <c r="A66">
        <v>2007</v>
      </c>
      <c r="B66" t="s">
        <v>53</v>
      </c>
      <c r="C66" t="s">
        <v>6</v>
      </c>
      <c r="D66" s="15">
        <f t="shared" si="1"/>
        <v>1998</v>
      </c>
      <c r="G66">
        <v>1998</v>
      </c>
    </row>
    <row r="67" spans="1:7" x14ac:dyDescent="0.3">
      <c r="A67">
        <v>2007</v>
      </c>
      <c r="B67" t="s">
        <v>53</v>
      </c>
      <c r="C67" t="s">
        <v>8</v>
      </c>
      <c r="D67" s="15">
        <f t="shared" ref="D67:D68" si="2">SUM(E67:G67)</f>
        <v>1313</v>
      </c>
      <c r="F67">
        <v>1313</v>
      </c>
    </row>
    <row r="68" spans="1:7" x14ac:dyDescent="0.3">
      <c r="A68">
        <v>2007</v>
      </c>
      <c r="B68" t="s">
        <v>20</v>
      </c>
      <c r="C68" t="s">
        <v>20</v>
      </c>
      <c r="D68" s="15">
        <f t="shared" si="2"/>
        <v>2013</v>
      </c>
      <c r="F68">
        <f>175+1838</f>
        <v>2013</v>
      </c>
    </row>
    <row r="69" spans="1:7" x14ac:dyDescent="0.3">
      <c r="A69">
        <v>2007</v>
      </c>
      <c r="B69" t="s">
        <v>14</v>
      </c>
      <c r="C69" t="s">
        <v>14</v>
      </c>
      <c r="F69">
        <f>63</f>
        <v>63</v>
      </c>
    </row>
    <row r="70" spans="1:7" x14ac:dyDescent="0.3">
      <c r="A70">
        <v>2007</v>
      </c>
      <c r="B70" t="s">
        <v>14</v>
      </c>
      <c r="C70" t="s">
        <v>15</v>
      </c>
      <c r="F70">
        <f>3360</f>
        <v>3360</v>
      </c>
    </row>
    <row r="71" spans="1:7" x14ac:dyDescent="0.3">
      <c r="A71">
        <v>2007</v>
      </c>
      <c r="B71" t="s">
        <v>15</v>
      </c>
      <c r="C71" t="s">
        <v>15</v>
      </c>
      <c r="E71">
        <v>592</v>
      </c>
      <c r="F71">
        <v>1710</v>
      </c>
    </row>
    <row r="72" spans="1:7" x14ac:dyDescent="0.3">
      <c r="A72">
        <v>2007</v>
      </c>
      <c r="B72" t="s">
        <v>21</v>
      </c>
      <c r="C72" t="s">
        <v>8</v>
      </c>
      <c r="F72">
        <f>141 +1857</f>
        <v>1998</v>
      </c>
    </row>
    <row r="73" spans="1:7" x14ac:dyDescent="0.3">
      <c r="A73">
        <v>2007</v>
      </c>
      <c r="B73" t="s">
        <v>21</v>
      </c>
      <c r="C73" t="s">
        <v>21</v>
      </c>
      <c r="F73">
        <v>5655</v>
      </c>
    </row>
    <row r="74" spans="1:7" x14ac:dyDescent="0.3">
      <c r="A74">
        <v>2007</v>
      </c>
      <c r="B74" t="s">
        <v>22</v>
      </c>
      <c r="C74" t="s">
        <v>6</v>
      </c>
      <c r="G74">
        <f>313+230+5688</f>
        <v>6231</v>
      </c>
    </row>
    <row r="75" spans="1:7" x14ac:dyDescent="0.3">
      <c r="A75">
        <v>2007</v>
      </c>
      <c r="B75" t="s">
        <v>22</v>
      </c>
      <c r="C75" t="s">
        <v>8</v>
      </c>
      <c r="E75">
        <v>1395</v>
      </c>
    </row>
    <row r="76" spans="1:7" x14ac:dyDescent="0.3">
      <c r="A76">
        <v>2007</v>
      </c>
      <c r="B76" t="s">
        <v>22</v>
      </c>
      <c r="C76" t="s">
        <v>22</v>
      </c>
      <c r="F76">
        <f>1155</f>
        <v>1155</v>
      </c>
    </row>
    <row r="77" spans="1:7" x14ac:dyDescent="0.3">
      <c r="A77">
        <v>2007</v>
      </c>
      <c r="B77" t="s">
        <v>54</v>
      </c>
      <c r="C77" t="s">
        <v>33</v>
      </c>
      <c r="F77">
        <v>504</v>
      </c>
    </row>
    <row r="78" spans="1:7" x14ac:dyDescent="0.3">
      <c r="A78">
        <v>2007</v>
      </c>
      <c r="B78" t="s">
        <v>16</v>
      </c>
      <c r="C78" t="s">
        <v>6</v>
      </c>
      <c r="G78">
        <f>519+235+188+4421+2552+629+1270</f>
        <v>9814</v>
      </c>
    </row>
    <row r="79" spans="1:7" x14ac:dyDescent="0.3">
      <c r="A79">
        <v>2007</v>
      </c>
      <c r="B79" t="s">
        <v>16</v>
      </c>
      <c r="C79" t="s">
        <v>55</v>
      </c>
      <c r="G79">
        <f>957</f>
        <v>957</v>
      </c>
    </row>
    <row r="80" spans="1:7" x14ac:dyDescent="0.3">
      <c r="A80">
        <v>2007</v>
      </c>
      <c r="B80" t="s">
        <v>56</v>
      </c>
      <c r="C80" t="s">
        <v>33</v>
      </c>
      <c r="F80">
        <v>1153</v>
      </c>
    </row>
    <row r="81" spans="1:6" x14ac:dyDescent="0.3">
      <c r="A81">
        <v>2007</v>
      </c>
      <c r="B81" t="s">
        <v>56</v>
      </c>
      <c r="C81" t="s">
        <v>14</v>
      </c>
      <c r="F81">
        <v>297</v>
      </c>
    </row>
    <row r="82" spans="1:6" x14ac:dyDescent="0.3">
      <c r="A82">
        <v>2007</v>
      </c>
      <c r="B82" t="s">
        <v>56</v>
      </c>
      <c r="C82" t="s">
        <v>56</v>
      </c>
      <c r="F82">
        <v>1227</v>
      </c>
    </row>
  </sheetData>
  <sortState xmlns:xlrd2="http://schemas.microsoft.com/office/spreadsheetml/2017/richdata2" ref="A2:G83">
    <sortCondition ref="B2:B8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3CAF-FC55-481A-BDA9-CCBBF6BFD027}">
  <dimension ref="A1:C3"/>
  <sheetViews>
    <sheetView workbookViewId="0"/>
  </sheetViews>
  <sheetFormatPr defaultRowHeight="14.4" x14ac:dyDescent="0.3"/>
  <sheetData>
    <row r="1" spans="1:3" x14ac:dyDescent="0.3">
      <c r="A1" t="s">
        <v>57</v>
      </c>
    </row>
    <row r="2" spans="1:3" ht="409.6" x14ac:dyDescent="0.3">
      <c r="B2" t="s">
        <v>58</v>
      </c>
      <c r="C2" s="22" t="s">
        <v>59</v>
      </c>
    </row>
    <row r="3" spans="1:3" x14ac:dyDescent="0.3">
      <c r="B3" t="s">
        <v>60</v>
      </c>
      <c r="C3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J22" sqref="J22"/>
    </sheetView>
  </sheetViews>
  <sheetFormatPr defaultRowHeight="14.4" x14ac:dyDescent="0.3"/>
  <cols>
    <col min="2" max="2" width="12.109375" style="6" bestFit="1" customWidth="1"/>
  </cols>
  <sheetData>
    <row r="1" spans="1:2" x14ac:dyDescent="0.3">
      <c r="A1" s="16" t="s">
        <v>26</v>
      </c>
      <c r="B1" s="18" t="s">
        <v>62</v>
      </c>
    </row>
    <row r="2" spans="1:2" x14ac:dyDescent="0.3">
      <c r="A2" s="17">
        <v>2007</v>
      </c>
      <c r="B2" s="19">
        <v>736723.56</v>
      </c>
    </row>
    <row r="3" spans="1:2" x14ac:dyDescent="0.3">
      <c r="A3" s="17">
        <v>2008</v>
      </c>
      <c r="B3" s="19">
        <f>178000+341000</f>
        <v>519000</v>
      </c>
    </row>
    <row r="4" spans="1:2" x14ac:dyDescent="0.3">
      <c r="A4" s="17">
        <v>2009</v>
      </c>
      <c r="B4" s="17">
        <v>346998</v>
      </c>
    </row>
    <row r="5" spans="1:2" x14ac:dyDescent="0.3">
      <c r="A5" s="17">
        <v>2010</v>
      </c>
      <c r="B5" s="17">
        <v>365340</v>
      </c>
    </row>
    <row r="6" spans="1:2" x14ac:dyDescent="0.3">
      <c r="A6" s="17">
        <v>2011</v>
      </c>
      <c r="B6" s="19">
        <v>447435.3</v>
      </c>
    </row>
    <row r="7" spans="1:2" x14ac:dyDescent="0.3">
      <c r="A7" s="17">
        <v>2012</v>
      </c>
      <c r="B7" s="19">
        <v>471365</v>
      </c>
    </row>
    <row r="8" spans="1:2" x14ac:dyDescent="0.3">
      <c r="A8" s="17">
        <v>2013</v>
      </c>
      <c r="B8" s="17">
        <v>40797</v>
      </c>
    </row>
    <row r="9" spans="1:2" x14ac:dyDescent="0.3">
      <c r="A9" s="17">
        <v>2014</v>
      </c>
      <c r="B9" s="20">
        <v>419025</v>
      </c>
    </row>
    <row r="10" spans="1:2" x14ac:dyDescent="0.3">
      <c r="A10" s="17">
        <v>2015</v>
      </c>
      <c r="B10" s="19">
        <v>414810</v>
      </c>
    </row>
    <row r="11" spans="1:2" x14ac:dyDescent="0.3">
      <c r="A11" s="17">
        <v>2016</v>
      </c>
      <c r="B11" s="19">
        <v>407677</v>
      </c>
    </row>
    <row r="12" spans="1:2" x14ac:dyDescent="0.3">
      <c r="A12" s="17">
        <v>2017</v>
      </c>
      <c r="B12" s="19">
        <v>516186</v>
      </c>
    </row>
    <row r="13" spans="1:2" x14ac:dyDescent="0.3">
      <c r="A13" s="17">
        <v>2018</v>
      </c>
      <c r="B13" s="19">
        <v>308925</v>
      </c>
    </row>
    <row r="14" spans="1:2" x14ac:dyDescent="0.3">
      <c r="A14" s="17">
        <v>2019</v>
      </c>
      <c r="B14" s="19">
        <v>436769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8AB8-F41F-43A6-870B-3FBAD562B245}">
  <dimension ref="A1:D88"/>
  <sheetViews>
    <sheetView tabSelected="1" workbookViewId="0">
      <selection activeCell="A56" sqref="A56"/>
    </sheetView>
  </sheetViews>
  <sheetFormatPr defaultRowHeight="14.4" x14ac:dyDescent="0.3"/>
  <cols>
    <col min="2" max="2" width="15.109375" customWidth="1"/>
    <col min="3" max="3" width="17.88671875" customWidth="1"/>
    <col min="4" max="4" width="20.5546875" customWidth="1"/>
  </cols>
  <sheetData>
    <row r="1" spans="1:4" ht="33" customHeight="1" x14ac:dyDescent="0.3">
      <c r="A1" s="9" t="s">
        <v>26</v>
      </c>
      <c r="B1" s="9" t="s">
        <v>27</v>
      </c>
      <c r="C1" s="9" t="s">
        <v>28</v>
      </c>
      <c r="D1" s="9" t="s">
        <v>29</v>
      </c>
    </row>
    <row r="2" spans="1:4" x14ac:dyDescent="0.3">
      <c r="A2">
        <v>2017</v>
      </c>
      <c r="B2" t="s">
        <v>4</v>
      </c>
      <c r="C2" t="s">
        <v>4</v>
      </c>
      <c r="D2">
        <f>8815+735+1509+2551</f>
        <v>13610</v>
      </c>
    </row>
    <row r="3" spans="1:4" x14ac:dyDescent="0.3">
      <c r="A3">
        <v>2017</v>
      </c>
      <c r="B3" t="s">
        <v>4</v>
      </c>
      <c r="C3" t="s">
        <v>8</v>
      </c>
      <c r="D3">
        <f>485+763</f>
        <v>1248</v>
      </c>
    </row>
    <row r="4" spans="1:4" x14ac:dyDescent="0.3">
      <c r="A4">
        <v>2017</v>
      </c>
      <c r="B4" t="s">
        <v>63</v>
      </c>
      <c r="C4" t="s">
        <v>64</v>
      </c>
      <c r="D4">
        <f>718+460</f>
        <v>1178</v>
      </c>
    </row>
    <row r="5" spans="1:4" x14ac:dyDescent="0.3">
      <c r="A5">
        <v>2017</v>
      </c>
      <c r="B5" t="s">
        <v>34</v>
      </c>
      <c r="C5" t="s">
        <v>34</v>
      </c>
      <c r="D5">
        <f>2525+520</f>
        <v>3045</v>
      </c>
    </row>
    <row r="6" spans="1:4" x14ac:dyDescent="0.3">
      <c r="A6">
        <v>2017</v>
      </c>
      <c r="B6" t="s">
        <v>35</v>
      </c>
      <c r="C6" t="s">
        <v>8</v>
      </c>
      <c r="D6">
        <f>265+538</f>
        <v>803</v>
      </c>
    </row>
    <row r="7" spans="1:4" x14ac:dyDescent="0.3">
      <c r="A7">
        <v>2017</v>
      </c>
      <c r="B7" t="s">
        <v>35</v>
      </c>
      <c r="C7" t="s">
        <v>9</v>
      </c>
      <c r="D7">
        <v>240</v>
      </c>
    </row>
    <row r="8" spans="1:4" x14ac:dyDescent="0.3">
      <c r="A8">
        <v>2017</v>
      </c>
      <c r="B8" t="s">
        <v>36</v>
      </c>
      <c r="C8" t="s">
        <v>36</v>
      </c>
      <c r="D8">
        <v>7007</v>
      </c>
    </row>
    <row r="9" spans="1:4" x14ac:dyDescent="0.3">
      <c r="A9">
        <v>2017</v>
      </c>
      <c r="B9" t="s">
        <v>5</v>
      </c>
      <c r="C9" t="s">
        <v>5</v>
      </c>
      <c r="D9">
        <v>210</v>
      </c>
    </row>
    <row r="10" spans="1:4" x14ac:dyDescent="0.3">
      <c r="A10">
        <v>2017</v>
      </c>
      <c r="B10" t="s">
        <v>37</v>
      </c>
      <c r="C10" t="s">
        <v>38</v>
      </c>
      <c r="D10">
        <f>636+874</f>
        <v>1510</v>
      </c>
    </row>
    <row r="11" spans="1:4" x14ac:dyDescent="0.3">
      <c r="A11">
        <v>2017</v>
      </c>
      <c r="B11" t="s">
        <v>6</v>
      </c>
      <c r="C11" t="s">
        <v>6</v>
      </c>
      <c r="D11">
        <f>1759+3559+58133+961+71186</f>
        <v>135598</v>
      </c>
    </row>
    <row r="12" spans="1:4" x14ac:dyDescent="0.3">
      <c r="A12">
        <v>2017</v>
      </c>
      <c r="B12" t="s">
        <v>55</v>
      </c>
      <c r="C12" t="s">
        <v>8</v>
      </c>
      <c r="D12">
        <f>661</f>
        <v>661</v>
      </c>
    </row>
    <row r="13" spans="1:4" x14ac:dyDescent="0.3">
      <c r="A13">
        <v>2017</v>
      </c>
      <c r="B13" t="s">
        <v>55</v>
      </c>
      <c r="C13" t="s">
        <v>55</v>
      </c>
      <c r="D13">
        <v>7344</v>
      </c>
    </row>
    <row r="14" spans="1:4" x14ac:dyDescent="0.3">
      <c r="A14">
        <v>2017</v>
      </c>
      <c r="B14" t="s">
        <v>7</v>
      </c>
      <c r="C14" t="s">
        <v>38</v>
      </c>
      <c r="D14">
        <f>13504+6244</f>
        <v>19748</v>
      </c>
    </row>
    <row r="15" spans="1:4" x14ac:dyDescent="0.3">
      <c r="A15">
        <v>2017</v>
      </c>
      <c r="B15" t="s">
        <v>7</v>
      </c>
      <c r="C15" t="s">
        <v>6</v>
      </c>
      <c r="D15">
        <f>38183</f>
        <v>38183</v>
      </c>
    </row>
    <row r="16" spans="1:4" x14ac:dyDescent="0.3">
      <c r="A16">
        <v>2017</v>
      </c>
      <c r="B16" t="s">
        <v>44</v>
      </c>
      <c r="C16" t="s">
        <v>44</v>
      </c>
      <c r="D16">
        <v>262</v>
      </c>
    </row>
    <row r="17" spans="1:4" x14ac:dyDescent="0.3">
      <c r="A17">
        <v>2017</v>
      </c>
      <c r="B17" t="s">
        <v>8</v>
      </c>
      <c r="C17" t="s">
        <v>8</v>
      </c>
      <c r="D17">
        <f>10+1372+25249</f>
        <v>26631</v>
      </c>
    </row>
    <row r="18" spans="1:4" x14ac:dyDescent="0.3">
      <c r="A18">
        <v>2017</v>
      </c>
      <c r="B18" t="s">
        <v>19</v>
      </c>
      <c r="C18" t="s">
        <v>19</v>
      </c>
      <c r="D18">
        <v>1132</v>
      </c>
    </row>
    <row r="19" spans="1:4" x14ac:dyDescent="0.3">
      <c r="A19">
        <v>2017</v>
      </c>
      <c r="B19" t="s">
        <v>49</v>
      </c>
      <c r="C19" t="s">
        <v>38</v>
      </c>
      <c r="D19">
        <f>363+23570</f>
        <v>23933</v>
      </c>
    </row>
    <row r="20" spans="1:4" x14ac:dyDescent="0.3">
      <c r="A20">
        <v>2017</v>
      </c>
      <c r="B20" t="s">
        <v>65</v>
      </c>
      <c r="C20" t="s">
        <v>9</v>
      </c>
      <c r="D20">
        <f>1367</f>
        <v>1367</v>
      </c>
    </row>
    <row r="21" spans="1:4" x14ac:dyDescent="0.3">
      <c r="A21">
        <v>2017</v>
      </c>
      <c r="B21" t="s">
        <v>42</v>
      </c>
      <c r="C21" t="s">
        <v>42</v>
      </c>
      <c r="D21">
        <f>282+1271</f>
        <v>1553</v>
      </c>
    </row>
    <row r="22" spans="1:4" x14ac:dyDescent="0.3">
      <c r="A22">
        <v>2017</v>
      </c>
      <c r="B22" t="s">
        <v>42</v>
      </c>
      <c r="C22" t="s">
        <v>38</v>
      </c>
      <c r="D22">
        <f>61+1997+2858+1414+2484+513+4506</f>
        <v>13833</v>
      </c>
    </row>
    <row r="23" spans="1:4" x14ac:dyDescent="0.3">
      <c r="A23">
        <v>2017</v>
      </c>
      <c r="B23" t="s">
        <v>42</v>
      </c>
      <c r="C23" t="s">
        <v>66</v>
      </c>
      <c r="D23">
        <f>590</f>
        <v>590</v>
      </c>
    </row>
    <row r="24" spans="1:4" x14ac:dyDescent="0.3">
      <c r="A24">
        <v>2017</v>
      </c>
      <c r="B24" t="s">
        <v>9</v>
      </c>
      <c r="C24" t="s">
        <v>9</v>
      </c>
      <c r="D24">
        <f>308+74+5663</f>
        <v>6045</v>
      </c>
    </row>
    <row r="25" spans="1:4" x14ac:dyDescent="0.3">
      <c r="A25">
        <v>2017</v>
      </c>
      <c r="B25" t="s">
        <v>10</v>
      </c>
      <c r="C25" t="s">
        <v>38</v>
      </c>
      <c r="D25">
        <f>6497</f>
        <v>6497</v>
      </c>
    </row>
    <row r="26" spans="1:4" x14ac:dyDescent="0.3">
      <c r="A26">
        <v>2017</v>
      </c>
      <c r="B26" t="s">
        <v>10</v>
      </c>
      <c r="C26" t="s">
        <v>10</v>
      </c>
      <c r="D26">
        <f>31940+3355+82271+2938</f>
        <v>120504</v>
      </c>
    </row>
    <row r="27" spans="1:4" x14ac:dyDescent="0.3">
      <c r="A27">
        <v>2017</v>
      </c>
      <c r="B27" t="s">
        <v>13</v>
      </c>
      <c r="C27" t="s">
        <v>38</v>
      </c>
      <c r="D27">
        <f>575+4662+3125+447+2911+2075+611</f>
        <v>14406</v>
      </c>
    </row>
    <row r="28" spans="1:4" x14ac:dyDescent="0.3">
      <c r="A28">
        <v>2017</v>
      </c>
      <c r="B28" t="s">
        <v>13</v>
      </c>
      <c r="C28" t="s">
        <v>13</v>
      </c>
      <c r="D28">
        <f>415</f>
        <v>415</v>
      </c>
    </row>
    <row r="29" spans="1:4" x14ac:dyDescent="0.3">
      <c r="A29">
        <v>2017</v>
      </c>
      <c r="B29" t="s">
        <v>45</v>
      </c>
      <c r="C29" t="s">
        <v>45</v>
      </c>
      <c r="D29">
        <f>1465+3773</f>
        <v>5238</v>
      </c>
    </row>
    <row r="30" spans="1:4" x14ac:dyDescent="0.3">
      <c r="A30">
        <v>2017</v>
      </c>
      <c r="B30" t="s">
        <v>50</v>
      </c>
      <c r="C30" t="s">
        <v>50</v>
      </c>
      <c r="D30">
        <f>316</f>
        <v>316</v>
      </c>
    </row>
    <row r="31" spans="1:4" x14ac:dyDescent="0.3">
      <c r="A31">
        <v>2017</v>
      </c>
      <c r="B31" t="s">
        <v>50</v>
      </c>
      <c r="C31" t="s">
        <v>9</v>
      </c>
      <c r="D31">
        <f>3813</f>
        <v>3813</v>
      </c>
    </row>
    <row r="32" spans="1:4" x14ac:dyDescent="0.3">
      <c r="A32">
        <v>2017</v>
      </c>
      <c r="B32" t="s">
        <v>11</v>
      </c>
      <c r="C32" t="s">
        <v>11</v>
      </c>
      <c r="D32">
        <f>4862+5</f>
        <v>4867</v>
      </c>
    </row>
    <row r="33" spans="1:4" x14ac:dyDescent="0.3">
      <c r="A33">
        <v>2017</v>
      </c>
      <c r="B33" t="s">
        <v>12</v>
      </c>
      <c r="C33" t="s">
        <v>12</v>
      </c>
      <c r="D33">
        <f>2324</f>
        <v>2324</v>
      </c>
    </row>
    <row r="34" spans="1:4" x14ac:dyDescent="0.3">
      <c r="A34">
        <v>2017</v>
      </c>
      <c r="B34" t="s">
        <v>53</v>
      </c>
      <c r="C34" t="s">
        <v>8</v>
      </c>
      <c r="D34">
        <f>9126+1087</f>
        <v>10213</v>
      </c>
    </row>
    <row r="35" spans="1:4" x14ac:dyDescent="0.3">
      <c r="A35">
        <v>2017</v>
      </c>
      <c r="B35" t="s">
        <v>14</v>
      </c>
      <c r="C35" t="s">
        <v>14</v>
      </c>
      <c r="D35">
        <v>3231</v>
      </c>
    </row>
    <row r="36" spans="1:4" x14ac:dyDescent="0.3">
      <c r="A36">
        <v>2017</v>
      </c>
      <c r="B36" t="s">
        <v>15</v>
      </c>
      <c r="C36" t="s">
        <v>15</v>
      </c>
      <c r="D36">
        <f>1269+486</f>
        <v>1755</v>
      </c>
    </row>
    <row r="37" spans="1:4" x14ac:dyDescent="0.3">
      <c r="A37">
        <v>2017</v>
      </c>
      <c r="B37" t="s">
        <v>21</v>
      </c>
      <c r="C37" t="s">
        <v>21</v>
      </c>
      <c r="D37">
        <f>2372</f>
        <v>2372</v>
      </c>
    </row>
    <row r="38" spans="1:4" x14ac:dyDescent="0.3">
      <c r="A38">
        <v>2017</v>
      </c>
      <c r="B38" t="s">
        <v>21</v>
      </c>
      <c r="C38" t="s">
        <v>8</v>
      </c>
      <c r="D38">
        <f>88+1393</f>
        <v>1481</v>
      </c>
    </row>
    <row r="39" spans="1:4" x14ac:dyDescent="0.3">
      <c r="A39">
        <v>2017</v>
      </c>
      <c r="B39" t="s">
        <v>22</v>
      </c>
      <c r="C39" t="s">
        <v>8</v>
      </c>
      <c r="D39">
        <f>790+1999</f>
        <v>2789</v>
      </c>
    </row>
    <row r="40" spans="1:4" x14ac:dyDescent="0.3">
      <c r="A40">
        <v>2017</v>
      </c>
      <c r="B40" t="s">
        <v>22</v>
      </c>
      <c r="C40" t="s">
        <v>22</v>
      </c>
      <c r="D40">
        <f>1391</f>
        <v>1391</v>
      </c>
    </row>
    <row r="41" spans="1:4" x14ac:dyDescent="0.3">
      <c r="A41">
        <v>2017</v>
      </c>
      <c r="B41" t="s">
        <v>54</v>
      </c>
      <c r="C41" t="s">
        <v>9</v>
      </c>
      <c r="D41">
        <f>359</f>
        <v>359</v>
      </c>
    </row>
    <row r="42" spans="1:4" x14ac:dyDescent="0.3">
      <c r="A42">
        <v>2017</v>
      </c>
      <c r="B42" t="s">
        <v>16</v>
      </c>
      <c r="C42" t="s">
        <v>16</v>
      </c>
      <c r="D42">
        <f>1818+473</f>
        <v>2291</v>
      </c>
    </row>
    <row r="43" spans="1:4" x14ac:dyDescent="0.3">
      <c r="A43">
        <v>2016</v>
      </c>
      <c r="B43" t="s">
        <v>4</v>
      </c>
      <c r="C43" t="s">
        <v>8</v>
      </c>
      <c r="D43">
        <f>5663+595</f>
        <v>6258</v>
      </c>
    </row>
    <row r="44" spans="1:4" x14ac:dyDescent="0.3">
      <c r="A44">
        <v>2016</v>
      </c>
      <c r="B44" t="s">
        <v>4</v>
      </c>
      <c r="C44" t="s">
        <v>4</v>
      </c>
      <c r="D44">
        <f>2943</f>
        <v>2943</v>
      </c>
    </row>
    <row r="45" spans="1:4" x14ac:dyDescent="0.3">
      <c r="A45">
        <v>2016</v>
      </c>
      <c r="B45" t="s">
        <v>34</v>
      </c>
      <c r="C45" t="s">
        <v>34</v>
      </c>
      <c r="D45">
        <f>2662+100</f>
        <v>2762</v>
      </c>
    </row>
    <row r="46" spans="1:4" x14ac:dyDescent="0.3">
      <c r="A46">
        <v>2016</v>
      </c>
      <c r="B46" t="s">
        <v>35</v>
      </c>
      <c r="C46" t="s">
        <v>8</v>
      </c>
      <c r="D46">
        <f>278+281</f>
        <v>559</v>
      </c>
    </row>
    <row r="47" spans="1:4" x14ac:dyDescent="0.3">
      <c r="A47">
        <v>2016</v>
      </c>
      <c r="B47" t="s">
        <v>35</v>
      </c>
      <c r="C47" t="s">
        <v>9</v>
      </c>
      <c r="D47">
        <f>210</f>
        <v>210</v>
      </c>
    </row>
    <row r="48" spans="1:4" x14ac:dyDescent="0.3">
      <c r="A48">
        <v>2016</v>
      </c>
      <c r="B48" t="s">
        <v>35</v>
      </c>
      <c r="C48" t="s">
        <v>35</v>
      </c>
      <c r="D48">
        <v>1380</v>
      </c>
    </row>
    <row r="49" spans="1:4" x14ac:dyDescent="0.3">
      <c r="A49">
        <v>2016</v>
      </c>
      <c r="B49" t="s">
        <v>36</v>
      </c>
      <c r="C49" t="s">
        <v>8</v>
      </c>
      <c r="D49">
        <f>8532</f>
        <v>8532</v>
      </c>
    </row>
    <row r="50" spans="1:4" x14ac:dyDescent="0.3">
      <c r="A50">
        <v>2016</v>
      </c>
      <c r="B50" t="s">
        <v>5</v>
      </c>
      <c r="C50" t="s">
        <v>5</v>
      </c>
      <c r="D50">
        <f>181+1215</f>
        <v>1396</v>
      </c>
    </row>
    <row r="51" spans="1:4" x14ac:dyDescent="0.3">
      <c r="A51">
        <v>2016</v>
      </c>
      <c r="B51" t="s">
        <v>5</v>
      </c>
      <c r="C51" t="s">
        <v>9</v>
      </c>
      <c r="D51">
        <f>128</f>
        <v>128</v>
      </c>
    </row>
    <row r="52" spans="1:4" x14ac:dyDescent="0.3">
      <c r="A52">
        <v>2016</v>
      </c>
      <c r="B52" t="s">
        <v>37</v>
      </c>
      <c r="C52" t="s">
        <v>38</v>
      </c>
      <c r="D52">
        <v>3892</v>
      </c>
    </row>
    <row r="53" spans="1:4" x14ac:dyDescent="0.3">
      <c r="A53">
        <v>2016</v>
      </c>
      <c r="B53" t="s">
        <v>6</v>
      </c>
      <c r="C53" t="s">
        <v>6</v>
      </c>
      <c r="D53">
        <f>1690+3281+275+780+41194+1239+35158</f>
        <v>83617</v>
      </c>
    </row>
    <row r="54" spans="1:4" x14ac:dyDescent="0.3">
      <c r="A54">
        <v>2016</v>
      </c>
      <c r="B54" t="s">
        <v>55</v>
      </c>
      <c r="C54" t="s">
        <v>55</v>
      </c>
      <c r="D54">
        <f>365+3982</f>
        <v>4347</v>
      </c>
    </row>
    <row r="55" spans="1:4" x14ac:dyDescent="0.3">
      <c r="A55">
        <v>2016</v>
      </c>
      <c r="B55" t="s">
        <v>7</v>
      </c>
      <c r="C55" t="s">
        <v>38</v>
      </c>
      <c r="D55">
        <f>12041+802+10</f>
        <v>12853</v>
      </c>
    </row>
    <row r="56" spans="1:4" x14ac:dyDescent="0.3">
      <c r="A56">
        <v>2016</v>
      </c>
      <c r="B56" t="s">
        <v>7</v>
      </c>
      <c r="C56" t="s">
        <v>6</v>
      </c>
      <c r="D56">
        <v>29751</v>
      </c>
    </row>
    <row r="57" spans="1:4" x14ac:dyDescent="0.3">
      <c r="A57">
        <v>2016</v>
      </c>
      <c r="B57" t="s">
        <v>43</v>
      </c>
      <c r="C57" t="s">
        <v>8</v>
      </c>
      <c r="D57">
        <f>211</f>
        <v>211</v>
      </c>
    </row>
    <row r="58" spans="1:4" x14ac:dyDescent="0.3">
      <c r="A58">
        <v>2016</v>
      </c>
      <c r="B58" t="s">
        <v>44</v>
      </c>
      <c r="C58" t="s">
        <v>44</v>
      </c>
      <c r="D58">
        <f>211</f>
        <v>211</v>
      </c>
    </row>
    <row r="59" spans="1:4" x14ac:dyDescent="0.3">
      <c r="A59">
        <v>2016</v>
      </c>
      <c r="B59" t="s">
        <v>8</v>
      </c>
      <c r="C59" t="s">
        <v>8</v>
      </c>
      <c r="D59">
        <f>314+1100+12671</f>
        <v>14085</v>
      </c>
    </row>
    <row r="60" spans="1:4" x14ac:dyDescent="0.3">
      <c r="A60">
        <v>2016</v>
      </c>
      <c r="B60" t="s">
        <v>19</v>
      </c>
      <c r="C60" t="s">
        <v>19</v>
      </c>
      <c r="D60">
        <f>1111</f>
        <v>1111</v>
      </c>
    </row>
    <row r="61" spans="1:4" x14ac:dyDescent="0.3">
      <c r="A61">
        <v>2016</v>
      </c>
      <c r="B61" t="s">
        <v>47</v>
      </c>
      <c r="C61" t="s">
        <v>9</v>
      </c>
      <c r="D61">
        <f>367</f>
        <v>367</v>
      </c>
    </row>
    <row r="62" spans="1:4" x14ac:dyDescent="0.3">
      <c r="A62">
        <v>2016</v>
      </c>
      <c r="B62" t="s">
        <v>47</v>
      </c>
      <c r="C62" t="s">
        <v>47</v>
      </c>
      <c r="D62">
        <v>558</v>
      </c>
    </row>
    <row r="63" spans="1:4" x14ac:dyDescent="0.3">
      <c r="A63">
        <v>2016</v>
      </c>
      <c r="B63" t="s">
        <v>49</v>
      </c>
      <c r="C63" t="s">
        <v>38</v>
      </c>
      <c r="D63">
        <f>718+26183</f>
        <v>26901</v>
      </c>
    </row>
    <row r="64" spans="1:4" x14ac:dyDescent="0.3">
      <c r="A64">
        <v>2016</v>
      </c>
      <c r="B64" t="s">
        <v>65</v>
      </c>
      <c r="C64" t="s">
        <v>9</v>
      </c>
      <c r="D64">
        <f>1371</f>
        <v>1371</v>
      </c>
    </row>
    <row r="65" spans="1:4" x14ac:dyDescent="0.3">
      <c r="A65">
        <v>2016</v>
      </c>
      <c r="B65" t="s">
        <v>42</v>
      </c>
      <c r="C65" t="s">
        <v>42</v>
      </c>
      <c r="D65">
        <f>269</f>
        <v>269</v>
      </c>
    </row>
    <row r="66" spans="1:4" x14ac:dyDescent="0.3">
      <c r="A66">
        <v>2016</v>
      </c>
      <c r="B66" t="s">
        <v>42</v>
      </c>
      <c r="C66" t="s">
        <v>38</v>
      </c>
      <c r="D66">
        <f>2618+1339+2736+2703+2788+1162</f>
        <v>13346</v>
      </c>
    </row>
    <row r="67" spans="1:4" x14ac:dyDescent="0.3">
      <c r="A67">
        <v>2016</v>
      </c>
      <c r="B67" t="s">
        <v>9</v>
      </c>
      <c r="C67" t="s">
        <v>9</v>
      </c>
      <c r="D67">
        <f>537+4932</f>
        <v>5469</v>
      </c>
    </row>
    <row r="68" spans="1:4" x14ac:dyDescent="0.3">
      <c r="A68">
        <v>2016</v>
      </c>
      <c r="B68" t="s">
        <v>10</v>
      </c>
      <c r="C68" t="s">
        <v>38</v>
      </c>
      <c r="D68">
        <f>1551</f>
        <v>1551</v>
      </c>
    </row>
    <row r="69" spans="1:4" x14ac:dyDescent="0.3">
      <c r="A69">
        <v>2016</v>
      </c>
      <c r="B69" t="s">
        <v>10</v>
      </c>
      <c r="C69" t="s">
        <v>10</v>
      </c>
      <c r="D69">
        <f>34217+62135+3355+2238</f>
        <v>101945</v>
      </c>
    </row>
    <row r="70" spans="1:4" x14ac:dyDescent="0.3">
      <c r="A70">
        <v>2016</v>
      </c>
      <c r="B70" t="s">
        <v>13</v>
      </c>
      <c r="C70" t="s">
        <v>38</v>
      </c>
      <c r="D70">
        <f>164+4750+2669+452+2871+1585+619</f>
        <v>13110</v>
      </c>
    </row>
    <row r="71" spans="1:4" x14ac:dyDescent="0.3">
      <c r="A71">
        <v>2016</v>
      </c>
      <c r="B71" t="s">
        <v>13</v>
      </c>
      <c r="C71" t="s">
        <v>13</v>
      </c>
      <c r="D71">
        <f>463</f>
        <v>463</v>
      </c>
    </row>
    <row r="72" spans="1:4" x14ac:dyDescent="0.3">
      <c r="A72">
        <v>2016</v>
      </c>
      <c r="B72" t="s">
        <v>45</v>
      </c>
      <c r="C72" t="s">
        <v>45</v>
      </c>
      <c r="D72">
        <f>803+4810</f>
        <v>5613</v>
      </c>
    </row>
    <row r="73" spans="1:4" x14ac:dyDescent="0.3">
      <c r="A73">
        <v>2016</v>
      </c>
      <c r="B73" t="s">
        <v>50</v>
      </c>
      <c r="C73" t="s">
        <v>50</v>
      </c>
      <c r="D73">
        <f>963</f>
        <v>963</v>
      </c>
    </row>
    <row r="74" spans="1:4" x14ac:dyDescent="0.3">
      <c r="A74">
        <v>2016</v>
      </c>
      <c r="B74" t="s">
        <v>50</v>
      </c>
      <c r="C74" t="s">
        <v>9</v>
      </c>
      <c r="D74">
        <f>5041</f>
        <v>5041</v>
      </c>
    </row>
    <row r="75" spans="1:4" x14ac:dyDescent="0.3">
      <c r="A75">
        <v>2016</v>
      </c>
      <c r="B75" t="s">
        <v>50</v>
      </c>
      <c r="C75" t="s">
        <v>8</v>
      </c>
      <c r="D75">
        <f>1639</f>
        <v>1639</v>
      </c>
    </row>
    <row r="76" spans="1:4" x14ac:dyDescent="0.3">
      <c r="A76">
        <v>2016</v>
      </c>
      <c r="B76" t="s">
        <v>52</v>
      </c>
      <c r="C76" t="s">
        <v>52</v>
      </c>
      <c r="D76">
        <f>329+820+2408</f>
        <v>3557</v>
      </c>
    </row>
    <row r="77" spans="1:4" x14ac:dyDescent="0.3">
      <c r="A77">
        <v>2016</v>
      </c>
      <c r="B77" t="s">
        <v>11</v>
      </c>
      <c r="C77" t="s">
        <v>11</v>
      </c>
      <c r="D77">
        <f>4726</f>
        <v>4726</v>
      </c>
    </row>
    <row r="78" spans="1:4" x14ac:dyDescent="0.3">
      <c r="A78">
        <v>2016</v>
      </c>
      <c r="B78" t="s">
        <v>12</v>
      </c>
      <c r="C78" t="s">
        <v>9</v>
      </c>
      <c r="D78">
        <f>2094</f>
        <v>2094</v>
      </c>
    </row>
    <row r="79" spans="1:4" x14ac:dyDescent="0.3">
      <c r="A79">
        <v>2016</v>
      </c>
      <c r="B79" t="s">
        <v>53</v>
      </c>
      <c r="C79" t="s">
        <v>8</v>
      </c>
      <c r="D79">
        <v>2304</v>
      </c>
    </row>
    <row r="80" spans="1:4" x14ac:dyDescent="0.3">
      <c r="A80">
        <v>2016</v>
      </c>
      <c r="B80" t="s">
        <v>14</v>
      </c>
      <c r="C80" t="s">
        <v>14</v>
      </c>
      <c r="D80">
        <v>3486</v>
      </c>
    </row>
    <row r="81" spans="1:4" x14ac:dyDescent="0.3">
      <c r="A81">
        <v>2016</v>
      </c>
      <c r="B81" t="s">
        <v>15</v>
      </c>
      <c r="C81" t="s">
        <v>15</v>
      </c>
      <c r="D81">
        <f>1384+1233+444</f>
        <v>3061</v>
      </c>
    </row>
    <row r="82" spans="1:4" x14ac:dyDescent="0.3">
      <c r="A82">
        <v>2016</v>
      </c>
      <c r="B82" t="s">
        <v>21</v>
      </c>
      <c r="C82" t="s">
        <v>9</v>
      </c>
      <c r="D82">
        <f>146</f>
        <v>146</v>
      </c>
    </row>
    <row r="83" spans="1:4" x14ac:dyDescent="0.3">
      <c r="A83">
        <v>2016</v>
      </c>
      <c r="B83" t="s">
        <v>21</v>
      </c>
      <c r="C83" t="s">
        <v>8</v>
      </c>
      <c r="D83">
        <f>92+2360</f>
        <v>2452</v>
      </c>
    </row>
    <row r="84" spans="1:4" x14ac:dyDescent="0.3">
      <c r="A84">
        <v>2016</v>
      </c>
      <c r="B84" t="s">
        <v>21</v>
      </c>
      <c r="C84" t="s">
        <v>21</v>
      </c>
      <c r="D84">
        <f>2976</f>
        <v>2976</v>
      </c>
    </row>
    <row r="85" spans="1:4" x14ac:dyDescent="0.3">
      <c r="A85">
        <v>2016</v>
      </c>
      <c r="B85" t="s">
        <v>22</v>
      </c>
      <c r="C85" t="s">
        <v>8</v>
      </c>
      <c r="D85">
        <v>802</v>
      </c>
    </row>
    <row r="86" spans="1:4" x14ac:dyDescent="0.3">
      <c r="A86">
        <v>2016</v>
      </c>
      <c r="B86" t="s">
        <v>22</v>
      </c>
      <c r="C86" t="s">
        <v>22</v>
      </c>
      <c r="D86">
        <v>1119</v>
      </c>
    </row>
    <row r="87" spans="1:4" x14ac:dyDescent="0.3">
      <c r="A87">
        <v>2016</v>
      </c>
      <c r="B87" t="s">
        <v>54</v>
      </c>
      <c r="C87" t="s">
        <v>9</v>
      </c>
      <c r="D87">
        <f>501</f>
        <v>501</v>
      </c>
    </row>
    <row r="88" spans="1:4" x14ac:dyDescent="0.3">
      <c r="A88">
        <v>2016</v>
      </c>
      <c r="B88" t="s">
        <v>16</v>
      </c>
      <c r="C88" t="s">
        <v>16</v>
      </c>
      <c r="D88">
        <v>1584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2nr Round Summary</vt:lpstr>
      <vt:lpstr>LandApp_summary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2021-03-09T23:14:29Z</dcterms:modified>
  <cp:category/>
  <cp:contentStatus/>
</cp:coreProperties>
</file>