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30">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 numFmtId="193" formatCode="yyyy-mm-dd h:mm:ss"/>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3">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10" fontId="0" fillId="0" borderId="0" pivotButton="0" quotePrefix="0" xfId="0"/>
    <xf numFmtId="3" fontId="0" fillId="0" borderId="0"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Финмодель</author>
    <author>OpenAI</author>
    <author>Модель</author>
    <author>Ревизия модели</author>
    <author>Source / assumptions</author>
    <author>Source</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1"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1"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2" shapeId="0">
      <text>
        <t>РАСЧЁТ, НЕ ВВОДИТЬ.
Эта ячейка считается формулой. Если вписать сюда число, связь со сценариями и тарифным миксом пропадёт.</t>
      </text>
    </comment>
    <comment ref="B16" authorId="1" shapeId="0">
      <text>
        <t>Завтра уточнить: одна продажа франшизы = одно новое юрлицо? Пока коэффициент 1,0.</t>
      </text>
    </comment>
    <comment ref="B17" authorId="1" shapeId="0">
      <text>
        <t>Источник: «Анализ движений денежных средств по периодам за 01.01.2026 - 02.07.2026». Остаток на 02.07.2026 = 187 878 ₽.</t>
      </text>
    </comment>
    <comment ref="B18" authorId="2"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2" shapeId="0">
      <text>
        <t>РАСЧЁТ, НЕ ВВОДИТЬ.
Эта ячейка считается формулой. Если вписать сюда число, связь со сценариями и тарифным миксом пропадёт.</t>
      </text>
    </comment>
    <comment ref="B21" authorId="2"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2"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2"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2" shapeId="0">
      <text>
        <t>РАСЧЁТ, НЕ ВВОДИТЬ.
Эта ячейка считается формулой. Если вписать сюда число, связь со сценариями и тарифным миксом пропадёт.</t>
      </text>
    </comment>
    <comment ref="B37" authorId="2"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2" shapeId="0">
      <text>
        <t>РАСЧЁТ, НЕ ВВОДИТЬ.
Эта ячейка считается формулой. Если вписать сюда число, связь со сценариями и тарифным миксом пропадёт.</t>
      </text>
    </comment>
    <comment ref="B38" authorId="2"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2" shapeId="0">
      <text>
        <t>РАСЧЁТ, НЕ ВВОДИТЬ.
Эта ячейка считается формулой. Если вписать сюда число, связь со сценариями и тарифным миксом пропадёт.</t>
      </text>
    </comment>
    <comment ref="B39" authorId="2"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2" shapeId="0">
      <text>
        <t>РАСЧЁТ, НЕ ВВОДИТЬ.
Эта ячейка считается формулой. Если вписать сюда число, связь со сценариями и тарифным миксом пропадёт.</t>
      </text>
    </comment>
    <comment ref="B40" authorId="2"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2" shapeId="0">
      <text>
        <t>РАСЧЁТ, НЕ ВВОДИТЬ.
Эта ячейка считается формулой. Если вписать сюда число, связь со сценариями и тарифным миксом пропадёт.</t>
      </text>
    </comment>
    <comment ref="B46" authorId="2"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2"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2"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2"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2"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2"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2"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2"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2"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2"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2"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2"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2"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2"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2"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2" shapeId="0">
      <text>
        <t>РАСЧЁТ, НЕ ВВОДИТЬ.
Эта ячейка считается формулой. Если вписать сюда число, связь со сценариями и тарифным миксом пропадёт.</t>
      </text>
    </comment>
    <comment ref="B74" authorId="2"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2" shapeId="0">
      <text>
        <t>РАСЧЁТ, НЕ ВВОДИТЬ.
Эта ячейка считается формулой. Если вписать сюда число, связь со сценариями и тарифным миксом пропадёт.</t>
      </text>
    </comment>
    <comment ref="B95" authorId="2" shapeId="0">
      <text>
        <t>РАСЧЁТ, НЕ ВВОДИТЬ.
Эта ячейка считается формулой. Если вписать сюда число, связь со сценариями и тарифным миксом пропадёт.</t>
      </text>
    </comment>
    <comment ref="B99" authorId="1" shapeId="0">
      <text>
        <t>Источник: «Экипировка Спартак.xlsx», лист «Прогнозы».</t>
      </text>
    </comment>
    <comment ref="C99" authorId="1" shapeId="0">
      <text>
        <t>Источник: «Экипировка Спартак.xlsx», лист «Прогнозы».</t>
      </text>
    </comment>
    <comment ref="D99" authorId="1" shapeId="0">
      <text>
        <t>Источник: «Экипировка Спартак.xlsx», лист «Прогнозы».</t>
      </text>
    </comment>
    <comment ref="E99" authorId="1" shapeId="0">
      <text>
        <t>Источник: «Экипировка Спартак.xlsx», лист «Прогнозы».</t>
      </text>
    </comment>
    <comment ref="B100" authorId="1" shapeId="0">
      <text>
        <t>Источник: «Экипировка Спартак.xlsx», лист «Прогнозы».</t>
      </text>
    </comment>
    <comment ref="C100" authorId="1" shapeId="0">
      <text>
        <t>Источник: «Экипировка Спартак.xlsx», лист «Прогнозы».</t>
      </text>
    </comment>
    <comment ref="D100" authorId="1" shapeId="0">
      <text>
        <t>Источник: «Экипировка Спартак.xlsx», лист «Прогнозы».</t>
      </text>
    </comment>
    <comment ref="E100" authorId="1" shapeId="0">
      <text>
        <t>Источник: «Экипировка Спартак.xlsx», лист «Прогнозы».</t>
      </text>
    </comment>
    <comment ref="B101" authorId="1" shapeId="0">
      <text>
        <t>Источник: «Экипировка Спартак.xlsx», лист «Прогнозы».</t>
      </text>
    </comment>
    <comment ref="C101" authorId="1" shapeId="0">
      <text>
        <t>Источник: «Экипировка Спартак.xlsx», лист «Прогнозы».</t>
      </text>
    </comment>
    <comment ref="D101" authorId="1" shapeId="0">
      <text>
        <t>Источник: «Экипировка Спартак.xlsx», лист «Прогнозы».</t>
      </text>
    </comment>
    <comment ref="E101" authorId="1" shapeId="0">
      <text>
        <t>Источник: «Экипировка Спартак.xlsx», лист «Прогнозы».</t>
      </text>
    </comment>
    <comment ref="B106" authorId="1" shapeId="0">
      <text>
        <t>Обновлено вместе со стартовым количеством действующих школ: 104.</t>
      </text>
    </comment>
    <comment ref="B129" authorId="1" shapeId="0">
      <text>
        <t>Пока считаем временного продавца как ИП: 80 тыс. + 5% без payroll-налогов. Статус и налоговую механику уточнить.</t>
      </text>
    </comment>
    <comment ref="B151" authorId="2" shapeId="0">
      <text>
        <t>РАСЧЁТ, НЕ ВВОДИТЬ.
Эта ячейка считается формулой. Если вписать сюда число, связь со сценариями и тарифным миксом пропадёт.</t>
      </text>
    </comment>
    <comment ref="B152" authorId="2" shapeId="0">
      <text>
        <t>РАСЧЁТ, НЕ ВВОДИТЬ.
Эта ячейка считается формулой. Если вписать сюда число, связь со сценариями и тарифным миксом пропадёт.</t>
      </text>
    </comment>
    <comment ref="B166" authorId="3" shapeId="0">
      <text>
        <t>Выручка смены = участники × соответствующие цены, вместо неработающих ценовых вводных.</t>
      </text>
    </comment>
    <comment ref="B167" authorId="1" shapeId="0">
      <text>
        <t>Источник: «Лагеря Спартак Будущее .xlsx», лист «Сокольники ».</t>
      </text>
    </comment>
    <comment ref="B168" authorId="2" shapeId="0">
      <text>
        <t>ФОРМУЛА ПО УМОЛЧАНИЮ.
По умолчанию = ставка из блока ревизии (B240). Можно вписать свою.</t>
      </text>
    </comment>
    <comment ref="B169" authorId="1" shapeId="0">
      <text>
        <t>Источник: «Лагеря Спартак Будущее .xlsx», лист «Сокольники ».</t>
      </text>
    </comment>
    <comment ref="B170" authorId="1" shapeId="0">
      <text>
        <t>Источник: «Лагеря Спартак Будущее .xlsx», лист «Сокольники ».</t>
      </text>
    </comment>
    <comment ref="L181" authorId="1" shapeId="0">
      <text>
        <t>Источник: Отчет о финансовых результатах, июль 2026 (файл пользователя / предоставленный скриншот).</t>
      </text>
    </comment>
    <comment ref="N181" authorId="2" shapeId="0">
      <text>
        <t>РАСЧЁТ, НЕ ВВОДИТЬ.
Эта ячейка считается формулой. Если вписать сюда число, связь со сценариями и тарифным миксом пропадёт.</t>
      </text>
    </comment>
    <comment ref="L182" authorId="1" shapeId="0">
      <text>
        <t>Источник: Отчет о финансовых результатах, июль 2026 (файл пользователя / предоставленный скриншот).</t>
      </text>
    </comment>
    <comment ref="N182" authorId="2" shapeId="0">
      <text>
        <t>РАСЧЁТ, НЕ ВВОДИТЬ.
Эта ячейка считается формулой. Если вписать сюда число, связь со сценариями и тарифным миксом пропадёт.</t>
      </text>
    </comment>
    <comment ref="L183" authorId="1" shapeId="0">
      <text>
        <t>Источник: Отчет о финансовых результатах, июль 2026 (файл пользователя / предоставленный скриншот).</t>
      </text>
    </comment>
    <comment ref="N183" authorId="2" shapeId="0">
      <text>
        <t>РАСЧЁТ, НЕ ВВОДИТЬ.
Эта ячейка считается формулой. Если вписать сюда число, связь со сценариями и тарифным миксом пропадёт.</t>
      </text>
    </comment>
    <comment ref="L184" authorId="1" shapeId="0">
      <text>
        <t>Источник: Отчет о финансовых результатах, июль 2026 (файл пользователя / предоставленный скриншот).</t>
      </text>
    </comment>
    <comment ref="N184" authorId="2" shapeId="0">
      <text>
        <t>РАСЧЁТ, НЕ ВВОДИТЬ.
Эта ячейка считается формулой. Если вписать сюда число, связь со сценариями и тарифным миксом пропадёт.</t>
      </text>
    </comment>
    <comment ref="L185" authorId="1" shapeId="0">
      <text>
        <t>Источник: Отчет о финансовых результатах, июль 2026 (файл пользователя / предоставленный скриншот).</t>
      </text>
    </comment>
    <comment ref="N185" authorId="2" shapeId="0">
      <text>
        <t>РАСЧЁТ, НЕ ВВОДИТЬ.
Эта ячейка считается формулой. Если вписать сюда число, связь со сценариями и тарифным миксом пропадёт.</t>
      </text>
    </comment>
    <comment ref="L186" authorId="1" shapeId="0">
      <text>
        <t>Источник: Отчет о финансовых результатах, июль 2026 (файл пользователя / предоставленный скриншот).</t>
      </text>
    </comment>
    <comment ref="N186" authorId="2" shapeId="0">
      <text>
        <t>РАСЧЁТ, НЕ ВВОДИТЬ.
Эта ячейка считается формулой. Если вписать сюда число, связь со сценариями и тарифным миксом пропадёт.</t>
      </text>
    </comment>
    <comment ref="F187" authorId="1" shapeId="0">
      <text>
        <t>Источник: «Анализ движений денежных средств по периодам за 01.01.2026 - 02.07.2026».</t>
      </text>
    </comment>
    <comment ref="L187" authorId="1" shapeId="0">
      <text>
        <t>Источник: Анализ движений денежных средств за 01.01.2026–02.07.2026; июльский чистый денежный поток = 6 862 ₽.</t>
      </text>
    </comment>
    <comment ref="N187" authorId="2" shapeId="0">
      <text>
        <t>РАСЧЁТ, НЕ ВВОДИТЬ.
Эта ячейка считается формулой. Если вписать сюда число, связь со сценариями и тарифным миксом пропадёт.</t>
      </text>
    </comment>
    <comment ref="B192" authorId="2" shapeId="0">
      <text>
        <t>Три сценария сохранены по требованию ТЗ, добавлена чувствительность.
По умолчанию выбран «Базовый» — это неизменённая база V8.</t>
      </text>
    </comment>
    <comment ref="B194" authorId="2" shapeId="0">
      <text>
        <t>РАСЧЁТ, НЕ ВВОДИТЬ.
Эта ячейка считается формулой. Если вписать сюда число, связь со сценариями и тарифным миксом пропадёт.</t>
      </text>
    </comment>
    <comment ref="C198" authorId="4" shapeId="0">
      <text>
        <t>Предварительный стресс-тест, не утвержденный прогноз. Analyst-defined starting stress; edit after approval.</t>
      </text>
    </comment>
    <comment ref="E198" authorId="4" shapeId="0">
      <text>
        <t>Предварительный стресс-тест, не утвержденный прогноз. Analyst-defined starting stress; edit after approval.</t>
      </text>
    </comment>
    <comment ref="F198" authorId="2" shapeId="0">
      <text>
        <t>РАСЧЁТ, НЕ ВВОДИТЬ.
Эта ячейка считается формулой. Если вписать сюда число, связь со сценариями и тарифным миксом пропадёт.</t>
      </text>
    </comment>
    <comment ref="G198" authorId="2" shapeId="0">
      <text>
        <t>Шаг однофакторной чувствительности от неизменённой базы.
По умолчанию ±10%, значение можно менять.</t>
      </text>
    </comment>
    <comment ref="C199" authorId="4" shapeId="0">
      <text>
        <t>Предварительный стресс-тест, не утвержденный прогноз. Analyst-defined starting stress; edit after approval.</t>
      </text>
    </comment>
    <comment ref="E199" authorId="4" shapeId="0">
      <text>
        <t>Предварительный стресс-тест, не утвержденный прогноз. Analyst-defined starting stress; edit after approval.</t>
      </text>
    </comment>
    <comment ref="F199" authorId="2" shapeId="0">
      <text>
        <t>РАСЧЁТ, НЕ ВВОДИТЬ.
Эта ячейка считается формулой. Если вписать сюда число, связь со сценариями и тарифным миксом пропадёт.</t>
      </text>
    </comment>
    <comment ref="G199" authorId="2" shapeId="0">
      <text>
        <t>Шаг однофакторной чувствительности от неизменённой базы.
По умолчанию ±10%, значение можно менять.</t>
      </text>
    </comment>
    <comment ref="C200" authorId="4" shapeId="0">
      <text>
        <t>Предварительный стресс-тест, не утвержденный прогноз. Analyst-defined starting stress; edit after approval.</t>
      </text>
    </comment>
    <comment ref="E200" authorId="4" shapeId="0">
      <text>
        <t>Предварительный стресс-тест, не утвержденный прогноз. Analyst-defined starting stress; edit after approval.</t>
      </text>
    </comment>
    <comment ref="F200" authorId="2" shapeId="0">
      <text>
        <t>РАСЧЁТ, НЕ ВВОДИТЬ.
Эта ячейка считается формулой. Если вписать сюда число, связь со сценариями и тарифным миксом пропадёт.</t>
      </text>
    </comment>
    <comment ref="G200" authorId="2" shapeId="0">
      <text>
        <t>Шаг однофакторной чувствительности от неизменённой базы.
По умолчанию ±10%, значение можно менять.</t>
      </text>
    </comment>
    <comment ref="C201" authorId="4" shapeId="0">
      <text>
        <t>Предварительный стресс-тест, не утвержденный прогноз. Analyst-defined starting stress; edit after approval.</t>
      </text>
    </comment>
    <comment ref="E201" authorId="4" shapeId="0">
      <text>
        <t>Предварительный стресс-тест, не утвержденный прогноз. Analyst-defined starting stress; edit after approval.</t>
      </text>
    </comment>
    <comment ref="F201" authorId="2" shapeId="0">
      <text>
        <t>РАСЧЁТ, НЕ ВВОДИТЬ.
Эта ячейка считается формулой. Если вписать сюда число, связь со сценариями и тарифным миксом пропадёт.</t>
      </text>
    </comment>
    <comment ref="G201" authorId="2" shapeId="0">
      <text>
        <t>Шаг однофакторной чувствительности от неизменённой базы.
По умолчанию ±10%, значение можно менять.</t>
      </text>
    </comment>
    <comment ref="C202" authorId="4" shapeId="0">
      <text>
        <t>Предварительный стресс-тест, не утвержденный прогноз. Analyst-defined starting stress; edit after approval.</t>
      </text>
    </comment>
    <comment ref="E202" authorId="4" shapeId="0">
      <text>
        <t>Предварительный стресс-тест, не утвержденный прогноз. Analyst-defined starting stress; edit after approval.</t>
      </text>
    </comment>
    <comment ref="F202" authorId="2" shapeId="0">
      <text>
        <t>РАСЧЁТ, НЕ ВВОДИТЬ.
Эта ячейка считается формулой. Если вписать сюда число, связь со сценариями и тарифным миксом пропадёт.</t>
      </text>
    </comment>
    <comment ref="G202" authorId="2" shapeId="0">
      <text>
        <t>Шаг однофакторной чувствительности от неизменённой базы.
По умолчанию ±10%, значение можно менять.</t>
      </text>
    </comment>
    <comment ref="C203" authorId="4" shapeId="0">
      <text>
        <t>Предварительный стресс-тест, не утвержденный прогноз. Analyst-defined starting stress; edit after approval.</t>
      </text>
    </comment>
    <comment ref="E203" authorId="4" shapeId="0">
      <text>
        <t>Предварительный стресс-тест, не утвержденный прогноз. Analyst-defined starting stress; edit after approval.</t>
      </text>
    </comment>
    <comment ref="F203" authorId="2" shapeId="0">
      <text>
        <t>РАСЧЁТ, НЕ ВВОДИТЬ.
Эта ячейка считается формулой. Если вписать сюда число, связь со сценариями и тарифным миксом пропадёт.</t>
      </text>
    </comment>
    <comment ref="G203" authorId="2" shapeId="0">
      <text>
        <t>Шаг однофакторной чувствительности от неизменённой базы.
По умолчанию ±10%, значение можно менять.</t>
      </text>
    </comment>
    <comment ref="B210" authorId="4" shapeId="0">
      <text>
        <t>Финмодель_Спартак_V8_чистая_единые_вводные_09.09.2026.xlsx | 01_Вводные!B36; original base input, unchanged.</t>
      </text>
    </comment>
    <comment ref="B211" authorId="4" shapeId="0">
      <text>
        <t>Финмодель_Спартак_V8_чистая_единые_вводные_09.09.2026.xlsx | 01_Вводные!B37; original base input, unchanged.</t>
      </text>
    </comment>
    <comment ref="B212" authorId="4" shapeId="0">
      <text>
        <t>Финмодель_Спартак_V8_чистая_единые_вводные_09.09.2026.xlsx | 01_Вводные!B38; original base input, unchanged.</t>
      </text>
    </comment>
    <comment ref="B213" authorId="4" shapeId="0">
      <text>
        <t>Финмодель_Спартак_V8_чистая_единые_вводные_09.09.2026.xlsx | 01_Вводные!B39; original base input, unchanged.</t>
      </text>
    </comment>
    <comment ref="B214" authorId="4" shapeId="0">
      <text>
        <t>Финмодель_Спартак_V8_чистая_единые_вводные_09.09.2026.xlsx | 01_Вводные!B40; original base input, unchanged.</t>
      </text>
    </comment>
    <comment ref="B215" authorId="2"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2"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4" shapeId="0">
      <text>
        <t>Финмодель_Спартак_V8_чистая_единые_вводные_09.09.2026.xlsx | 01_Вводные!B51; original base input, unchanged.</t>
      </text>
    </comment>
    <comment ref="B218" authorId="2"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2"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2"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2"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2"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4" shapeId="0">
      <text>
        <t>Финмодель_Спартак_V8_чистая_единые_вводные_09.09.2026.xlsx | 01_Вводные!B74; original base input, unchanged.</t>
      </text>
    </comment>
    <comment ref="B224" authorId="4" shapeId="0">
      <text>
        <t>Финмодель_Спартак_V8_чистая_единые_вводные_09.09.2026.xlsx | 01_Вводные!B26; original base input, unchanged.</t>
      </text>
    </comment>
    <comment ref="B225" authorId="4" shapeId="0">
      <text>
        <t>Финмодель_Спартак_V8_чистая_единые_вводные_09.09.2026.xlsx | 01_Вводные!B18; original base input, unchanged.</t>
      </text>
    </comment>
    <comment ref="B227" authorId="2" shapeId="0">
      <text>
        <t>РАСЧЁТ, НЕ ВВОДИТЬ.
Эта ячейка считается формулой. Если вписать сюда число, связь со сценариями и тарифным миксом пропадёт.</t>
      </text>
    </comment>
    <comment ref="B228" authorId="2" shapeId="0">
      <text>
        <t>РАСЧЁТ, НЕ ВВОДИТЬ.
Эта ячейка считается формулой. Если вписать сюда число, связь со сценариями и тарифным миксом пропадёт.</t>
      </text>
    </comment>
    <comment ref="B233" authorId="3" shapeId="0">
      <text>
        <t>Источник: ТЗ пользователя и ревизия 09.09.2026. Один драйвер за раз; все шесть сохранены в списке.</t>
      </text>
    </comment>
    <comment ref="B234" authorId="3" shapeId="0">
      <text>
        <t>Источник: ТЗ пользователя и ревизия 09.09.2026. При Нет два дополнительных расчёта не выполняются.</t>
      </text>
    </comment>
    <comment ref="B235" authorId="3" shapeId="0">
      <text>
        <t>Источник: ТЗ пользователя и ревизия 09.09.2026. Отдельное событие; до подтверждения подключение в месяц открытия.</t>
      </text>
    </comment>
    <comment ref="B236" authorId="2"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3" shapeId="0">
      <text>
        <t>Источник: ТЗ пользователя и ревизия 09.09.2026. Рабочее значение 0; можно задать резерв ликвидности.</t>
      </text>
    </comment>
    <comment ref="B238" authorId="3" shapeId="0">
      <text>
        <t>Источник: ТЗ пользователя и ревизия 09.09.2026. По п.27 ТЗ: возврат только при остатке товара не ниже цели будущих месяцев.</t>
      </text>
    </comment>
    <comment ref="B239" authorId="3" shapeId="0">
      <text>
        <t>Источник: ТЗ пользователя и ревизия 09.09.2026. Да — отдельно по 20 форматам/территориям; Нет — прежнее усреднение для сверки.</t>
      </text>
    </comment>
    <comment ref="B240" authorId="3"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3" shapeId="0">
      <text>
        <t>Источник: ТЗ пользователя и ревизия 09.09.2026. Отключение лагеря обнуляет продажи, начисления и оплаты.</t>
      </text>
    </comment>
    <comment ref="B242" authorId="3" shapeId="0">
      <text>
        <t>Источник: ТЗ пользователя и ревизия 09.09.2026. Только октябрь 2026 оплачивается за 1 месяц.</t>
      </text>
    </comment>
    <comment ref="B243" authorId="3" shapeId="0">
      <text>
        <t>Источник: ТЗ пользователя и ревизия 09.09.2026. Для октября 2026; далее обычный лаг B27.</t>
      </text>
    </comment>
    <comment ref="B244" authorId="3" shapeId="0">
      <text>
        <t>Источник: ТЗ пользователя и ревизия 09.09.2026. 6,5% по договорам до этой даты.</t>
      </text>
    </comment>
    <comment ref="B245" authorId="3" shapeId="0">
      <text>
        <t>Источник: ТЗ пользователя и ревизия 09.09.2026. С этой даты применяется B57 ко всем.</t>
      </text>
    </comment>
    <comment ref="B246" authorId="3" shapeId="0">
      <text>
        <t>Источник: ТЗ пользователя и ревизия 09.09.2026. За IV квартал 2027; далее март/июнь/сентябрь/декабрь.</t>
      </text>
    </comment>
    <comment ref="B247" authorId="3" shapeId="0">
      <text>
        <t>Источник: ТЗ пользователя и ревизия 09.09.2026. 70 тыс. net по B133.</t>
      </text>
    </comment>
    <comment ref="B248" authorId="3" shapeId="0">
      <text>
        <t>Источник: ТЗ пользователя и ревизия 09.09.2026. 100 тыс. net по B134.</t>
      </text>
    </comment>
    <comment ref="B249" authorId="3" shapeId="0">
      <text>
        <t>Источник: ТЗ пользователя и ревизия 09.09.2026. Повышение участвует в премии при Да у ГД.</t>
      </text>
    </comment>
    <comment ref="B250" authorId="3" shapeId="0">
      <text>
        <t>Источник: ТЗ пользователя и ревизия 09.09.2026. С B123 на B124.</t>
      </text>
    </comment>
    <comment ref="B251" authorId="3" shapeId="0">
      <text>
        <t>Источник: ТЗ пользователя и ревизия 09.09.2026. Далее каждый сентябрь.</t>
      </text>
    </comment>
    <comment ref="B252" authorId="3" shapeId="0">
      <text>
        <t>Источник: ТЗ пользователя и ревизия 09.09.2026. Июнь по ТЗ.</t>
      </text>
    </comment>
    <comment ref="B253" authorId="3" shapeId="0">
      <text>
        <t>Источник: ТЗ пользователя и ревизия 09.09.2026. Февраль; равномерно до B254.</t>
      </text>
    </comment>
    <comment ref="B254" authorId="3" shapeId="0">
      <text>
        <t>Источник: ТЗ пользователя и ревизия 09.09.2026. Май включительно.</t>
      </text>
    </comment>
    <comment ref="B255" authorId="3" shapeId="0">
      <text>
        <t>Источник: ТЗ пользователя и ревизия 09.09.2026. Разовая комиссия B121.</t>
      </text>
    </comment>
    <comment ref="B256" authorId="3" shapeId="0">
      <text>
        <t>Источник: ТЗ пользователя и ревизия 09.09.2026. Раз в год; сумма B122.</t>
      </text>
    </comment>
    <comment ref="B257" authorId="2" shapeId="0">
      <text>
        <t>РАСЧЁТ, НЕ ВВОДИТЬ.
Эта ячейка считается формулой. Если вписать сюда число, связь со сценариями и тарифным миксом пропадёт.</t>
      </text>
    </comment>
    <comment ref="B258" authorId="2" shapeId="0">
      <text>
        <t>РАСЧЁТ, НЕ ВВОДИТЬ.
Эта ячейка считается формулой. Если вписать сюда число, связь со сценариями и тарифным миксом пропадёт.</t>
      </text>
    </comment>
    <comment ref="A263" authorId="3" shapeId="0">
      <text>
        <t>V5.1: Типы_продукта!A14:M14; Микс_продаж!B5; B14</t>
      </text>
    </comment>
    <comment ref="B263" authorId="3" shapeId="0">
      <text>
        <t>V5.1: Типы_продукта!A14:M14; Микс_продаж!B5; B14</t>
      </text>
    </comment>
    <comment ref="C263" authorId="3" shapeId="0">
      <text>
        <t>V5.1: Типы_продукта!A14:M14; Микс_продаж!B5; B14</t>
      </text>
    </comment>
    <comment ref="D263" authorId="3" shapeId="0">
      <text>
        <t>V5.1: Типы_продукта!A14:M14; Микс_продаж!B5; B14</t>
      </text>
    </comment>
    <comment ref="E263" authorId="3" shapeId="0">
      <text>
        <t>V5.1: Типы_продукта!A14:M14; Микс_продаж!B5; B14</t>
      </text>
    </comment>
    <comment ref="F263" authorId="3" shapeId="0">
      <text>
        <t>V5.1: Типы_продукта!A14:M14; Микс_продаж!B5; B14</t>
      </text>
    </comment>
    <comment ref="G263" authorId="3" shapeId="0">
      <text>
        <t>V5.1: Типы_продукта!A14:M14; Микс_продаж!B5; B14</t>
      </text>
    </comment>
    <comment ref="H263" authorId="3" shapeId="0">
      <text>
        <t>V5.1: Типы_продукта!A14:M14; Микс_продаж!B5; B14</t>
      </text>
    </comment>
    <comment ref="I263" authorId="3" shapeId="0">
      <text>
        <t>V5.1: Типы_продукта!A14:M14; Микс_продаж!B5; B14</t>
      </text>
    </comment>
    <comment ref="J263" authorId="3" shapeId="0">
      <text>
        <t>V5.1: Типы_продукта!A14:M14; Микс_продаж!B5; B14</t>
      </text>
    </comment>
    <comment ref="K263" authorId="3" shapeId="0">
      <text>
        <t>V5.1: Типы_продукта!A14:M14; Микс_продаж!B5; B14</t>
      </text>
    </comment>
    <comment ref="A264" authorId="3" shapeId="0">
      <text>
        <t>V5.1: Типы_продукта!A15:M15; Микс_продаж!B5; C14</t>
      </text>
    </comment>
    <comment ref="B264" authorId="3" shapeId="0">
      <text>
        <t>V5.1: Типы_продукта!A15:M15; Микс_продаж!B5; C14</t>
      </text>
    </comment>
    <comment ref="C264" authorId="3" shapeId="0">
      <text>
        <t>V5.1: Типы_продукта!A15:M15; Микс_продаж!B5; C14</t>
      </text>
    </comment>
    <comment ref="D264" authorId="3" shapeId="0">
      <text>
        <t>V5.1: Типы_продукта!A15:M15; Микс_продаж!B5; C14</t>
      </text>
    </comment>
    <comment ref="E264" authorId="3" shapeId="0">
      <text>
        <t>V5.1: Типы_продукта!A15:M15; Микс_продаж!B5; C14</t>
      </text>
    </comment>
    <comment ref="F264" authorId="3" shapeId="0">
      <text>
        <t>V5.1: Типы_продукта!A15:M15; Микс_продаж!B5; C14</t>
      </text>
    </comment>
    <comment ref="G264" authorId="3" shapeId="0">
      <text>
        <t>V5.1: Типы_продукта!A15:M15; Микс_продаж!B5; C14</t>
      </text>
    </comment>
    <comment ref="H264" authorId="3" shapeId="0">
      <text>
        <t>V5.1: Типы_продукта!A15:M15; Микс_продаж!B5; C14</t>
      </text>
    </comment>
    <comment ref="I264" authorId="3" shapeId="0">
      <text>
        <t>V5.1: Типы_продукта!A15:M15; Микс_продаж!B5; C14</t>
      </text>
    </comment>
    <comment ref="J264" authorId="3" shapeId="0">
      <text>
        <t>V5.1: Типы_продукта!A15:M15; Микс_продаж!B5; C14</t>
      </text>
    </comment>
    <comment ref="K264" authorId="3" shapeId="0">
      <text>
        <t>V5.1: Типы_продукта!A15:M15; Микс_продаж!B5; C14</t>
      </text>
    </comment>
    <comment ref="A265" authorId="3" shapeId="0">
      <text>
        <t>V5.1: Типы_продукта!A16:M16; Микс_продаж!B5; D14</t>
      </text>
    </comment>
    <comment ref="B265" authorId="3" shapeId="0">
      <text>
        <t>V5.1: Типы_продукта!A16:M16; Микс_продаж!B5; D14</t>
      </text>
    </comment>
    <comment ref="C265" authorId="3" shapeId="0">
      <text>
        <t>V5.1: Типы_продукта!A16:M16; Микс_продаж!B5; D14</t>
      </text>
    </comment>
    <comment ref="D265" authorId="3" shapeId="0">
      <text>
        <t>V5.1: Типы_продукта!A16:M16; Микс_продаж!B5; D14</t>
      </text>
    </comment>
    <comment ref="E265" authorId="3" shapeId="0">
      <text>
        <t>V5.1: Типы_продукта!A16:M16; Микс_продаж!B5; D14</t>
      </text>
    </comment>
    <comment ref="F265" authorId="3" shapeId="0">
      <text>
        <t>V5.1: Типы_продукта!A16:M16; Микс_продаж!B5; D14</t>
      </text>
    </comment>
    <comment ref="G265" authorId="3" shapeId="0">
      <text>
        <t>V5.1: Типы_продукта!A16:M16; Микс_продаж!B5; D14</t>
      </text>
    </comment>
    <comment ref="H265" authorId="3" shapeId="0">
      <text>
        <t>V5.1: Типы_продукта!A16:M16; Микс_продаж!B5; D14</t>
      </text>
    </comment>
    <comment ref="I265" authorId="3" shapeId="0">
      <text>
        <t>V5.1: Типы_продукта!A16:M16; Микс_продаж!B5; D14</t>
      </text>
    </comment>
    <comment ref="J265" authorId="3" shapeId="0">
      <text>
        <t>V5.1: Типы_продукта!A16:M16; Микс_продаж!B5; D14</t>
      </text>
    </comment>
    <comment ref="K265" authorId="3" shapeId="0">
      <text>
        <t>V5.1: Типы_продукта!A16:M16; Микс_продаж!B5; D14</t>
      </text>
    </comment>
    <comment ref="A266" authorId="3" shapeId="0">
      <text>
        <t>V5.1: Типы_продукта!A17:M17; Микс_продаж!B5; E14</t>
      </text>
    </comment>
    <comment ref="B266" authorId="3" shapeId="0">
      <text>
        <t>V5.1: Типы_продукта!A17:M17; Микс_продаж!B5; E14</t>
      </text>
    </comment>
    <comment ref="C266" authorId="3" shapeId="0">
      <text>
        <t>V5.1: Типы_продукта!A17:M17; Микс_продаж!B5; E14</t>
      </text>
    </comment>
    <comment ref="D266" authorId="3" shapeId="0">
      <text>
        <t>V5.1: Типы_продукта!A17:M17; Микс_продаж!B5; E14</t>
      </text>
    </comment>
    <comment ref="E266" authorId="3" shapeId="0">
      <text>
        <t>V5.1: Типы_продукта!A17:M17; Микс_продаж!B5; E14</t>
      </text>
    </comment>
    <comment ref="F266" authorId="3" shapeId="0">
      <text>
        <t>V5.1: Типы_продукта!A17:M17; Микс_продаж!B5; E14</t>
      </text>
    </comment>
    <comment ref="G266" authorId="3" shapeId="0">
      <text>
        <t>V5.1: Типы_продукта!A17:M17; Микс_продаж!B5; E14</t>
      </text>
    </comment>
    <comment ref="H266" authorId="3" shapeId="0">
      <text>
        <t>V5.1: Типы_продукта!A17:M17; Микс_продаж!B5; E14</t>
      </text>
    </comment>
    <comment ref="I266" authorId="3" shapeId="0">
      <text>
        <t>V5.1: Типы_продукта!A17:M17; Микс_продаж!B5; E14</t>
      </text>
    </comment>
    <comment ref="J266" authorId="3" shapeId="0">
      <text>
        <t>V5.1: Типы_продукта!A17:M17; Микс_продаж!B5; E14</t>
      </text>
    </comment>
    <comment ref="K266" authorId="3" shapeId="0">
      <text>
        <t>V5.1: Типы_продукта!A17:M17; Микс_продаж!B5; E14</t>
      </text>
    </comment>
    <comment ref="A267" authorId="3" shapeId="0">
      <text>
        <t>V5.1: Типы_продукта!A18:M18; Микс_продаж!B6; B15</t>
      </text>
    </comment>
    <comment ref="B267" authorId="3" shapeId="0">
      <text>
        <t>V5.1: Типы_продукта!A18:M18; Микс_продаж!B6; B15</t>
      </text>
    </comment>
    <comment ref="C267" authorId="3" shapeId="0">
      <text>
        <t>V5.1: Типы_продукта!A18:M18; Микс_продаж!B6; B15</t>
      </text>
    </comment>
    <comment ref="D267" authorId="3" shapeId="0">
      <text>
        <t>V5.1: Типы_продукта!A18:M18; Микс_продаж!B6; B15</t>
      </text>
    </comment>
    <comment ref="E267" authorId="3" shapeId="0">
      <text>
        <t>V5.1: Типы_продукта!A18:M18; Микс_продаж!B6; B15</t>
      </text>
    </comment>
    <comment ref="F267" authorId="3" shapeId="0">
      <text>
        <t>V5.1: Типы_продукта!A18:M18; Микс_продаж!B6; B15</t>
      </text>
    </comment>
    <comment ref="G267" authorId="3" shapeId="0">
      <text>
        <t>V5.1: Типы_продукта!A18:M18; Микс_продаж!B6; B15</t>
      </text>
    </comment>
    <comment ref="H267" authorId="3" shapeId="0">
      <text>
        <t>V5.1: Типы_продукта!A18:M18; Микс_продаж!B6; B15</t>
      </text>
    </comment>
    <comment ref="I267" authorId="3" shapeId="0">
      <text>
        <t>V5.1: Типы_продукта!A18:M18; Микс_продаж!B6; B15</t>
      </text>
    </comment>
    <comment ref="J267" authorId="3" shapeId="0">
      <text>
        <t>V5.1: Типы_продукта!A18:M18; Микс_продаж!B6; B15</t>
      </text>
    </comment>
    <comment ref="K267" authorId="3" shapeId="0">
      <text>
        <t>V5.1: Типы_продукта!A18:M18; Микс_продаж!B6; B15</t>
      </text>
    </comment>
    <comment ref="A268" authorId="3" shapeId="0">
      <text>
        <t>V5.1: Типы_продукта!A19:M19; Микс_продаж!B6; C15</t>
      </text>
    </comment>
    <comment ref="B268" authorId="3" shapeId="0">
      <text>
        <t>V5.1: Типы_продукта!A19:M19; Микс_продаж!B6; C15</t>
      </text>
    </comment>
    <comment ref="C268" authorId="3" shapeId="0">
      <text>
        <t>V5.1: Типы_продукта!A19:M19; Микс_продаж!B6; C15</t>
      </text>
    </comment>
    <comment ref="D268" authorId="3" shapeId="0">
      <text>
        <t>V5.1: Типы_продукта!A19:M19; Микс_продаж!B6; C15</t>
      </text>
    </comment>
    <comment ref="E268" authorId="3" shapeId="0">
      <text>
        <t>V5.1: Типы_продукта!A19:M19; Микс_продаж!B6; C15</t>
      </text>
    </comment>
    <comment ref="F268" authorId="3" shapeId="0">
      <text>
        <t>V5.1: Типы_продукта!A19:M19; Микс_продаж!B6; C15</t>
      </text>
    </comment>
    <comment ref="G268" authorId="3" shapeId="0">
      <text>
        <t>V5.1: Типы_продукта!A19:M19; Микс_продаж!B6; C15</t>
      </text>
    </comment>
    <comment ref="H268" authorId="3" shapeId="0">
      <text>
        <t>V5.1: Типы_продукта!A19:M19; Микс_продаж!B6; C15</t>
      </text>
    </comment>
    <comment ref="I268" authorId="3" shapeId="0">
      <text>
        <t>V5.1: Типы_продукта!A19:M19; Микс_продаж!B6; C15</t>
      </text>
    </comment>
    <comment ref="J268" authorId="3" shapeId="0">
      <text>
        <t>V5.1: Типы_продукта!A19:M19; Микс_продаж!B6; C15</t>
      </text>
    </comment>
    <comment ref="K268" authorId="3" shapeId="0">
      <text>
        <t>V5.1: Типы_продукта!A19:M19; Микс_продаж!B6; C15</t>
      </text>
    </comment>
    <comment ref="A269" authorId="3" shapeId="0">
      <text>
        <t>V5.1: Типы_продукта!A20:M20; Микс_продаж!B6; D15</t>
      </text>
    </comment>
    <comment ref="B269" authorId="3" shapeId="0">
      <text>
        <t>V5.1: Типы_продукта!A20:M20; Микс_продаж!B6; D15</t>
      </text>
    </comment>
    <comment ref="C269" authorId="3" shapeId="0">
      <text>
        <t>V5.1: Типы_продукта!A20:M20; Микс_продаж!B6; D15</t>
      </text>
    </comment>
    <comment ref="D269" authorId="3" shapeId="0">
      <text>
        <t>V5.1: Типы_продукта!A20:M20; Микс_продаж!B6; D15</t>
      </text>
    </comment>
    <comment ref="E269" authorId="3" shapeId="0">
      <text>
        <t>V5.1: Типы_продукта!A20:M20; Микс_продаж!B6; D15</t>
      </text>
    </comment>
    <comment ref="F269" authorId="3" shapeId="0">
      <text>
        <t>V5.1: Типы_продукта!A20:M20; Микс_продаж!B6; D15</t>
      </text>
    </comment>
    <comment ref="G269" authorId="3" shapeId="0">
      <text>
        <t>V5.1: Типы_продукта!A20:M20; Микс_продаж!B6; D15</t>
      </text>
    </comment>
    <comment ref="H269" authorId="3" shapeId="0">
      <text>
        <t>V5.1: Типы_продукта!A20:M20; Микс_продаж!B6; D15</t>
      </text>
    </comment>
    <comment ref="I269" authorId="3" shapeId="0">
      <text>
        <t>V5.1: Типы_продукта!A20:M20; Микс_продаж!B6; D15</t>
      </text>
    </comment>
    <comment ref="J269" authorId="3" shapeId="0">
      <text>
        <t>V5.1: Типы_продукта!A20:M20; Микс_продаж!B6; D15</t>
      </text>
    </comment>
    <comment ref="K269" authorId="3" shapeId="0">
      <text>
        <t>V5.1: Типы_продукта!A20:M20; Микс_продаж!B6; D15</t>
      </text>
    </comment>
    <comment ref="A270" authorId="3" shapeId="0">
      <text>
        <t>V5.1: Типы_продукта!A21:M21; Микс_продаж!B6; E15</t>
      </text>
    </comment>
    <comment ref="B270" authorId="3" shapeId="0">
      <text>
        <t>V5.1: Типы_продукта!A21:M21; Микс_продаж!B6; E15</t>
      </text>
    </comment>
    <comment ref="C270" authorId="3" shapeId="0">
      <text>
        <t>V5.1: Типы_продукта!A21:M21; Микс_продаж!B6; E15</t>
      </text>
    </comment>
    <comment ref="D270" authorId="3" shapeId="0">
      <text>
        <t>V5.1: Типы_продукта!A21:M21; Микс_продаж!B6; E15</t>
      </text>
    </comment>
    <comment ref="E270" authorId="3" shapeId="0">
      <text>
        <t>V5.1: Типы_продукта!A21:M21; Микс_продаж!B6; E15</t>
      </text>
    </comment>
    <comment ref="F270" authorId="3" shapeId="0">
      <text>
        <t>V5.1: Типы_продукта!A21:M21; Микс_продаж!B6; E15</t>
      </text>
    </comment>
    <comment ref="G270" authorId="3" shapeId="0">
      <text>
        <t>V5.1: Типы_продукта!A21:M21; Микс_продаж!B6; E15</t>
      </text>
    </comment>
    <comment ref="H270" authorId="3" shapeId="0">
      <text>
        <t>V5.1: Типы_продукта!A21:M21; Микс_продаж!B6; E15</t>
      </text>
    </comment>
    <comment ref="I270" authorId="3" shapeId="0">
      <text>
        <t>V5.1: Типы_продукта!A21:M21; Микс_продаж!B6; E15</t>
      </text>
    </comment>
    <comment ref="J270" authorId="3" shapeId="0">
      <text>
        <t>V5.1: Типы_продукта!A21:M21; Микс_продаж!B6; E15</t>
      </text>
    </comment>
    <comment ref="K270" authorId="3" shapeId="0">
      <text>
        <t>V5.1: Типы_продукта!A21:M21; Микс_продаж!B6; E15</t>
      </text>
    </comment>
    <comment ref="A271" authorId="3" shapeId="0">
      <text>
        <t>V5.1: Типы_продукта!A22:M22; Микс_продаж!B7; B16</t>
      </text>
    </comment>
    <comment ref="B271" authorId="3" shapeId="0">
      <text>
        <t>V5.1: Типы_продукта!A22:M22; Микс_продаж!B7; B16</t>
      </text>
    </comment>
    <comment ref="C271" authorId="3" shapeId="0">
      <text>
        <t>V5.1: Типы_продукта!A22:M22; Микс_продаж!B7; B16</t>
      </text>
    </comment>
    <comment ref="D271" authorId="3" shapeId="0">
      <text>
        <t>V5.1: Типы_продукта!A22:M22; Микс_продаж!B7; B16</t>
      </text>
    </comment>
    <comment ref="E271" authorId="3" shapeId="0">
      <text>
        <t>V5.1: Типы_продукта!A22:M22; Микс_продаж!B7; B16</t>
      </text>
    </comment>
    <comment ref="F271" authorId="3" shapeId="0">
      <text>
        <t>V5.1: Типы_продукта!A22:M22; Микс_продаж!B7; B16</t>
      </text>
    </comment>
    <comment ref="G271" authorId="3" shapeId="0">
      <text>
        <t>V5.1: Типы_продукта!A22:M22; Микс_продаж!B7; B16</t>
      </text>
    </comment>
    <comment ref="H271" authorId="3" shapeId="0">
      <text>
        <t>V5.1: Типы_продукта!A22:M22; Микс_продаж!B7; B16</t>
      </text>
    </comment>
    <comment ref="I271" authorId="3" shapeId="0">
      <text>
        <t>V5.1: Типы_продукта!A22:M22; Микс_продаж!B7; B16</t>
      </text>
    </comment>
    <comment ref="J271" authorId="3" shapeId="0">
      <text>
        <t>V5.1: Типы_продукта!A22:M22; Микс_продаж!B7; B16</t>
      </text>
    </comment>
    <comment ref="K271" authorId="3" shapeId="0">
      <text>
        <t>V5.1: Типы_продукта!A22:M22; Микс_продаж!B7; B16</t>
      </text>
    </comment>
    <comment ref="A272" authorId="3" shapeId="0">
      <text>
        <t>V5.1: Типы_продукта!A23:M23; Микс_продаж!B7; C16</t>
      </text>
    </comment>
    <comment ref="B272" authorId="3" shapeId="0">
      <text>
        <t>V5.1: Типы_продукта!A23:M23; Микс_продаж!B7; C16</t>
      </text>
    </comment>
    <comment ref="C272" authorId="3" shapeId="0">
      <text>
        <t>V5.1: Типы_продукта!A23:M23; Микс_продаж!B7; C16</t>
      </text>
    </comment>
    <comment ref="D272" authorId="3" shapeId="0">
      <text>
        <t>V5.1: Типы_продукта!A23:M23; Микс_продаж!B7; C16</t>
      </text>
    </comment>
    <comment ref="E272" authorId="3" shapeId="0">
      <text>
        <t>V5.1: Типы_продукта!A23:M23; Микс_продаж!B7; C16</t>
      </text>
    </comment>
    <comment ref="F272" authorId="3" shapeId="0">
      <text>
        <t>V5.1: Типы_продукта!A23:M23; Микс_продаж!B7; C16</t>
      </text>
    </comment>
    <comment ref="G272" authorId="3" shapeId="0">
      <text>
        <t>V5.1: Типы_продукта!A23:M23; Микс_продаж!B7; C16</t>
      </text>
    </comment>
    <comment ref="H272" authorId="3" shapeId="0">
      <text>
        <t>V5.1: Типы_продукта!A23:M23; Микс_продаж!B7; C16</t>
      </text>
    </comment>
    <comment ref="I272" authorId="3" shapeId="0">
      <text>
        <t>V5.1: Типы_продукта!A23:M23; Микс_продаж!B7; C16</t>
      </text>
    </comment>
    <comment ref="J272" authorId="3" shapeId="0">
      <text>
        <t>V5.1: Типы_продукта!A23:M23; Микс_продаж!B7; C16</t>
      </text>
    </comment>
    <comment ref="K272" authorId="3" shapeId="0">
      <text>
        <t>V5.1: Типы_продукта!A23:M23; Микс_продаж!B7; C16</t>
      </text>
    </comment>
    <comment ref="A273" authorId="3" shapeId="0">
      <text>
        <t>V5.1: Типы_продукта!A24:M24; Микс_продаж!B7; D16</t>
      </text>
    </comment>
    <comment ref="B273" authorId="3" shapeId="0">
      <text>
        <t>V5.1: Типы_продукта!A24:M24; Микс_продаж!B7; D16</t>
      </text>
    </comment>
    <comment ref="C273" authorId="3" shapeId="0">
      <text>
        <t>V5.1: Типы_продукта!A24:M24; Микс_продаж!B7; D16</t>
      </text>
    </comment>
    <comment ref="D273" authorId="3" shapeId="0">
      <text>
        <t>V5.1: Типы_продукта!A24:M24; Микс_продаж!B7; D16</t>
      </text>
    </comment>
    <comment ref="E273" authorId="3" shapeId="0">
      <text>
        <t>V5.1: Типы_продукта!A24:M24; Микс_продаж!B7; D16</t>
      </text>
    </comment>
    <comment ref="F273" authorId="3" shapeId="0">
      <text>
        <t>V5.1: Типы_продукта!A24:M24; Микс_продаж!B7; D16</t>
      </text>
    </comment>
    <comment ref="G273" authorId="3" shapeId="0">
      <text>
        <t>V5.1: Типы_продукта!A24:M24; Микс_продаж!B7; D16</t>
      </text>
    </comment>
    <comment ref="H273" authorId="3" shapeId="0">
      <text>
        <t>V5.1: Типы_продукта!A24:M24; Микс_продаж!B7; D16</t>
      </text>
    </comment>
    <comment ref="I273" authorId="3" shapeId="0">
      <text>
        <t>V5.1: Типы_продукта!A24:M24; Микс_продаж!B7; D16</t>
      </text>
    </comment>
    <comment ref="J273" authorId="3" shapeId="0">
      <text>
        <t>V5.1: Типы_продукта!A24:M24; Микс_продаж!B7; D16</t>
      </text>
    </comment>
    <comment ref="K273" authorId="3" shapeId="0">
      <text>
        <t>V5.1: Типы_продукта!A24:M24; Микс_продаж!B7; D16</t>
      </text>
    </comment>
    <comment ref="A274" authorId="3" shapeId="0">
      <text>
        <t>V5.1: Типы_продукта!A25:M25; Микс_продаж!B7; E16</t>
      </text>
    </comment>
    <comment ref="B274" authorId="3" shapeId="0">
      <text>
        <t>V5.1: Типы_продукта!A25:M25; Микс_продаж!B7; E16</t>
      </text>
    </comment>
    <comment ref="C274" authorId="3" shapeId="0">
      <text>
        <t>V5.1: Типы_продукта!A25:M25; Микс_продаж!B7; E16</t>
      </text>
    </comment>
    <comment ref="D274" authorId="3" shapeId="0">
      <text>
        <t>V5.1: Типы_продукта!A25:M25; Микс_продаж!B7; E16</t>
      </text>
    </comment>
    <comment ref="E274" authorId="3" shapeId="0">
      <text>
        <t>V5.1: Типы_продукта!A25:M25; Микс_продаж!B7; E16</t>
      </text>
    </comment>
    <comment ref="F274" authorId="3" shapeId="0">
      <text>
        <t>V5.1: Типы_продукта!A25:M25; Микс_продаж!B7; E16</t>
      </text>
    </comment>
    <comment ref="G274" authorId="3" shapeId="0">
      <text>
        <t>V5.1: Типы_продукта!A25:M25; Микс_продаж!B7; E16</t>
      </text>
    </comment>
    <comment ref="H274" authorId="3" shapeId="0">
      <text>
        <t>V5.1: Типы_продукта!A25:M25; Микс_продаж!B7; E16</t>
      </text>
    </comment>
    <comment ref="I274" authorId="3" shapeId="0">
      <text>
        <t>V5.1: Типы_продукта!A25:M25; Микс_продаж!B7; E16</t>
      </text>
    </comment>
    <comment ref="J274" authorId="3" shapeId="0">
      <text>
        <t>V5.1: Типы_продукта!A25:M25; Микс_продаж!B7; E16</t>
      </text>
    </comment>
    <comment ref="K274" authorId="3" shapeId="0">
      <text>
        <t>V5.1: Типы_продукта!A25:M25; Микс_продаж!B7; E16</t>
      </text>
    </comment>
    <comment ref="A275" authorId="3" shapeId="0">
      <text>
        <t>V5.1: Типы_продукта!A26:M26; Микс_продаж!B8; B17</t>
      </text>
    </comment>
    <comment ref="B275" authorId="3" shapeId="0">
      <text>
        <t>V5.1: Типы_продукта!A26:M26; Микс_продаж!B8; B17</t>
      </text>
    </comment>
    <comment ref="C275" authorId="3" shapeId="0">
      <text>
        <t>V5.1: Типы_продукта!A26:M26; Микс_продаж!B8; B17</t>
      </text>
    </comment>
    <comment ref="D275" authorId="3" shapeId="0">
      <text>
        <t>V5.1: Типы_продукта!A26:M26; Микс_продаж!B8; B17</t>
      </text>
    </comment>
    <comment ref="E275" authorId="3" shapeId="0">
      <text>
        <t>V5.1: Типы_продукта!A26:M26; Микс_продаж!B8; B17</t>
      </text>
    </comment>
    <comment ref="F275" authorId="3" shapeId="0">
      <text>
        <t>V5.1: Типы_продукта!A26:M26; Микс_продаж!B8; B17</t>
      </text>
    </comment>
    <comment ref="G275" authorId="3" shapeId="0">
      <text>
        <t>V5.1: Типы_продукта!A26:M26; Микс_продаж!B8; B17</t>
      </text>
    </comment>
    <comment ref="H275" authorId="3" shapeId="0">
      <text>
        <t>V5.1: Типы_продукта!A26:M26; Микс_продаж!B8; B17</t>
      </text>
    </comment>
    <comment ref="I275" authorId="3" shapeId="0">
      <text>
        <t>V5.1: Типы_продукта!A26:M26; Микс_продаж!B8; B17</t>
      </text>
    </comment>
    <comment ref="J275" authorId="3" shapeId="0">
      <text>
        <t>V5.1: Типы_продукта!A26:M26; Микс_продаж!B8; B17</t>
      </text>
    </comment>
    <comment ref="K275" authorId="3" shapeId="0">
      <text>
        <t>V5.1: Типы_продукта!A26:M26; Микс_продаж!B8; B17</t>
      </text>
    </comment>
    <comment ref="A276" authorId="3" shapeId="0">
      <text>
        <t>V5.1: Типы_продукта!A27:M27; Микс_продаж!B8; C17</t>
      </text>
    </comment>
    <comment ref="B276" authorId="3" shapeId="0">
      <text>
        <t>V5.1: Типы_продукта!A27:M27; Микс_продаж!B8; C17</t>
      </text>
    </comment>
    <comment ref="C276" authorId="3" shapeId="0">
      <text>
        <t>V5.1: Типы_продукта!A27:M27; Микс_продаж!B8; C17</t>
      </text>
    </comment>
    <comment ref="D276" authorId="3" shapeId="0">
      <text>
        <t>V5.1: Типы_продукта!A27:M27; Микс_продаж!B8; C17</t>
      </text>
    </comment>
    <comment ref="E276" authorId="3" shapeId="0">
      <text>
        <t>V5.1: Типы_продукта!A27:M27; Микс_продаж!B8; C17</t>
      </text>
    </comment>
    <comment ref="F276" authorId="3" shapeId="0">
      <text>
        <t>V5.1: Типы_продукта!A27:M27; Микс_продаж!B8; C17</t>
      </text>
    </comment>
    <comment ref="G276" authorId="3" shapeId="0">
      <text>
        <t>V5.1: Типы_продукта!A27:M27; Микс_продаж!B8; C17</t>
      </text>
    </comment>
    <comment ref="H276" authorId="3" shapeId="0">
      <text>
        <t>V5.1: Типы_продукта!A27:M27; Микс_продаж!B8; C17</t>
      </text>
    </comment>
    <comment ref="I276" authorId="3" shapeId="0">
      <text>
        <t>V5.1: Типы_продукта!A27:M27; Микс_продаж!B8; C17</t>
      </text>
    </comment>
    <comment ref="J276" authorId="3" shapeId="0">
      <text>
        <t>V5.1: Типы_продукта!A27:M27; Микс_продаж!B8; C17</t>
      </text>
    </comment>
    <comment ref="K276" authorId="3" shapeId="0">
      <text>
        <t>V5.1: Типы_продукта!A27:M27; Микс_продаж!B8; C17</t>
      </text>
    </comment>
    <comment ref="A277" authorId="3" shapeId="0">
      <text>
        <t>V5.1: Типы_продукта!A28:M28; Микс_продаж!B8; D17</t>
      </text>
    </comment>
    <comment ref="B277" authorId="3" shapeId="0">
      <text>
        <t>V5.1: Типы_продукта!A28:M28; Микс_продаж!B8; D17</t>
      </text>
    </comment>
    <comment ref="C277" authorId="3" shapeId="0">
      <text>
        <t>V5.1: Типы_продукта!A28:M28; Микс_продаж!B8; D17</t>
      </text>
    </comment>
    <comment ref="D277" authorId="3" shapeId="0">
      <text>
        <t>V5.1: Типы_продукта!A28:M28; Микс_продаж!B8; D17</t>
      </text>
    </comment>
    <comment ref="E277" authorId="3" shapeId="0">
      <text>
        <t>V5.1: Типы_продукта!A28:M28; Микс_продаж!B8; D17</t>
      </text>
    </comment>
    <comment ref="F277" authorId="3" shapeId="0">
      <text>
        <t>V5.1: Типы_продукта!A28:M28; Микс_продаж!B8; D17</t>
      </text>
    </comment>
    <comment ref="G277" authorId="3" shapeId="0">
      <text>
        <t>V5.1: Типы_продукта!A28:M28; Микс_продаж!B8; D17</t>
      </text>
    </comment>
    <comment ref="H277" authorId="3" shapeId="0">
      <text>
        <t>V5.1: Типы_продукта!A28:M28; Микс_продаж!B8; D17</t>
      </text>
    </comment>
    <comment ref="I277" authorId="3" shapeId="0">
      <text>
        <t>V5.1: Типы_продукта!A28:M28; Микс_продаж!B8; D17</t>
      </text>
    </comment>
    <comment ref="J277" authorId="3" shapeId="0">
      <text>
        <t>V5.1: Типы_продукта!A28:M28; Микс_продаж!B8; D17</t>
      </text>
    </comment>
    <comment ref="K277" authorId="3" shapeId="0">
      <text>
        <t>V5.1: Типы_продукта!A28:M28; Микс_продаж!B8; D17</t>
      </text>
    </comment>
    <comment ref="A278" authorId="3" shapeId="0">
      <text>
        <t>V5.1: Типы_продукта!A29:M29; Микс_продаж!B8; E17</t>
      </text>
    </comment>
    <comment ref="B278" authorId="3" shapeId="0">
      <text>
        <t>V5.1: Типы_продукта!A29:M29; Микс_продаж!B8; E17</t>
      </text>
    </comment>
    <comment ref="C278" authorId="3" shapeId="0">
      <text>
        <t>V5.1: Типы_продукта!A29:M29; Микс_продаж!B8; E17</t>
      </text>
    </comment>
    <comment ref="D278" authorId="3" shapeId="0">
      <text>
        <t>V5.1: Типы_продукта!A29:M29; Микс_продаж!B8; E17</t>
      </text>
    </comment>
    <comment ref="E278" authorId="3" shapeId="0">
      <text>
        <t>V5.1: Типы_продукта!A29:M29; Микс_продаж!B8; E17</t>
      </text>
    </comment>
    <comment ref="F278" authorId="3" shapeId="0">
      <text>
        <t>V5.1: Типы_продукта!A29:M29; Микс_продаж!B8; E17</t>
      </text>
    </comment>
    <comment ref="G278" authorId="3" shapeId="0">
      <text>
        <t>V5.1: Типы_продукта!A29:M29; Микс_продаж!B8; E17</t>
      </text>
    </comment>
    <comment ref="H278" authorId="3" shapeId="0">
      <text>
        <t>V5.1: Типы_продукта!A29:M29; Микс_продаж!B8; E17</t>
      </text>
    </comment>
    <comment ref="I278" authorId="3" shapeId="0">
      <text>
        <t>V5.1: Типы_продукта!A29:M29; Микс_продаж!B8; E17</t>
      </text>
    </comment>
    <comment ref="J278" authorId="3" shapeId="0">
      <text>
        <t>V5.1: Типы_продукта!A29:M29; Микс_продаж!B8; E17</t>
      </text>
    </comment>
    <comment ref="K278" authorId="3" shapeId="0">
      <text>
        <t>V5.1: Типы_продукта!A29:M29; Микс_продаж!B8; E17</t>
      </text>
    </comment>
    <comment ref="A279" authorId="3" shapeId="0">
      <text>
        <t>V5.1: Типы_продукта!A30:M30; Микс_продаж!B9; B18</t>
      </text>
    </comment>
    <comment ref="B279" authorId="3" shapeId="0">
      <text>
        <t>V5.1: Типы_продукта!A30:M30; Микс_продаж!B9; B18</t>
      </text>
    </comment>
    <comment ref="C279" authorId="3" shapeId="0">
      <text>
        <t>V5.1: Типы_продукта!A30:M30; Микс_продаж!B9; B18</t>
      </text>
    </comment>
    <comment ref="D279" authorId="3" shapeId="0">
      <text>
        <t>V5.1: Типы_продукта!A30:M30; Микс_продаж!B9; B18</t>
      </text>
    </comment>
    <comment ref="E279" authorId="3" shapeId="0">
      <text>
        <t>V5.1: Типы_продукта!A30:M30; Микс_продаж!B9; B18</t>
      </text>
    </comment>
    <comment ref="F279" authorId="3" shapeId="0">
      <text>
        <t>V5.1: Типы_продукта!A30:M30; Микс_продаж!B9; B18</t>
      </text>
    </comment>
    <comment ref="G279" authorId="3" shapeId="0">
      <text>
        <t>V5.1: Типы_продукта!A30:M30; Микс_продаж!B9; B18</t>
      </text>
    </comment>
    <comment ref="H279" authorId="3" shapeId="0">
      <text>
        <t>V5.1: Типы_продукта!A30:M30; Микс_продаж!B9; B18</t>
      </text>
    </comment>
    <comment ref="I279" authorId="3" shapeId="0">
      <text>
        <t>V5.1: Типы_продукта!A30:M30; Микс_продаж!B9; B18</t>
      </text>
    </comment>
    <comment ref="J279" authorId="3" shapeId="0">
      <text>
        <t>V5.1: Типы_продукта!A30:M30; Микс_продаж!B9; B18</t>
      </text>
    </comment>
    <comment ref="K279" authorId="3" shapeId="0">
      <text>
        <t>V5.1: Типы_продукта!A30:M30; Микс_продаж!B9; B18</t>
      </text>
    </comment>
    <comment ref="A280" authorId="3" shapeId="0">
      <text>
        <t>V5.1: Типы_продукта!A31:M31; Микс_продаж!B9; C18</t>
      </text>
    </comment>
    <comment ref="B280" authorId="3" shapeId="0">
      <text>
        <t>V5.1: Типы_продукта!A31:M31; Микс_продаж!B9; C18</t>
      </text>
    </comment>
    <comment ref="C280" authorId="3" shapeId="0">
      <text>
        <t>V5.1: Типы_продукта!A31:M31; Микс_продаж!B9; C18</t>
      </text>
    </comment>
    <comment ref="D280" authorId="3" shapeId="0">
      <text>
        <t>V5.1: Типы_продукта!A31:M31; Микс_продаж!B9; C18</t>
      </text>
    </comment>
    <comment ref="E280" authorId="3" shapeId="0">
      <text>
        <t>V5.1: Типы_продукта!A31:M31; Микс_продаж!B9; C18</t>
      </text>
    </comment>
    <comment ref="F280" authorId="3" shapeId="0">
      <text>
        <t>V5.1: Типы_продукта!A31:M31; Микс_продаж!B9; C18</t>
      </text>
    </comment>
    <comment ref="G280" authorId="3" shapeId="0">
      <text>
        <t>V5.1: Типы_продукта!A31:M31; Микс_продаж!B9; C18</t>
      </text>
    </comment>
    <comment ref="H280" authorId="3" shapeId="0">
      <text>
        <t>V5.1: Типы_продукта!A31:M31; Микс_продаж!B9; C18</t>
      </text>
    </comment>
    <comment ref="I280" authorId="3" shapeId="0">
      <text>
        <t>V5.1: Типы_продукта!A31:M31; Микс_продаж!B9; C18</t>
      </text>
    </comment>
    <comment ref="J280" authorId="3" shapeId="0">
      <text>
        <t>V5.1: Типы_продукта!A31:M31; Микс_продаж!B9; C18</t>
      </text>
    </comment>
    <comment ref="K280" authorId="3" shapeId="0">
      <text>
        <t>V5.1: Типы_продукта!A31:M31; Микс_продаж!B9; C18</t>
      </text>
    </comment>
    <comment ref="A281" authorId="3" shapeId="0">
      <text>
        <t>V5.1: Типы_продукта!A32:M32; Микс_продаж!B9; D18</t>
      </text>
    </comment>
    <comment ref="B281" authorId="3" shapeId="0">
      <text>
        <t>V5.1: Типы_продукта!A32:M32; Микс_продаж!B9; D18</t>
      </text>
    </comment>
    <comment ref="C281" authorId="3" shapeId="0">
      <text>
        <t>V5.1: Типы_продукта!A32:M32; Микс_продаж!B9; D18</t>
      </text>
    </comment>
    <comment ref="D281" authorId="3" shapeId="0">
      <text>
        <t>V5.1: Типы_продукта!A32:M32; Микс_продаж!B9; D18</t>
      </text>
    </comment>
    <comment ref="E281" authorId="3" shapeId="0">
      <text>
        <t>V5.1: Типы_продукта!A32:M32; Микс_продаж!B9; D18</t>
      </text>
    </comment>
    <comment ref="F281" authorId="3" shapeId="0">
      <text>
        <t>V5.1: Типы_продукта!A32:M32; Микс_продаж!B9; D18</t>
      </text>
    </comment>
    <comment ref="G281" authorId="3" shapeId="0">
      <text>
        <t>V5.1: Типы_продукта!A32:M32; Микс_продаж!B9; D18</t>
      </text>
    </comment>
    <comment ref="H281" authorId="3" shapeId="0">
      <text>
        <t>V5.1: Типы_продукта!A32:M32; Микс_продаж!B9; D18</t>
      </text>
    </comment>
    <comment ref="I281" authorId="3" shapeId="0">
      <text>
        <t>V5.1: Типы_продукта!A32:M32; Микс_продаж!B9; D18</t>
      </text>
    </comment>
    <comment ref="J281" authorId="3" shapeId="0">
      <text>
        <t>V5.1: Типы_продукта!A32:M32; Микс_продаж!B9; D18</t>
      </text>
    </comment>
    <comment ref="K281" authorId="3" shapeId="0">
      <text>
        <t>V5.1: Типы_продукта!A32:M32; Микс_продаж!B9; D18</t>
      </text>
    </comment>
    <comment ref="A282" authorId="3" shapeId="0">
      <text>
        <t>V5.1: Типы_продукта!A33:M33; Микс_продаж!B9; E18</t>
      </text>
    </comment>
    <comment ref="B282" authorId="3" shapeId="0">
      <text>
        <t>V5.1: Типы_продукта!A33:M33; Микс_продаж!B9; E18</t>
      </text>
    </comment>
    <comment ref="C282" authorId="3" shapeId="0">
      <text>
        <t>V5.1: Типы_продукта!A33:M33; Микс_продаж!B9; E18</t>
      </text>
    </comment>
    <comment ref="D282" authorId="3" shapeId="0">
      <text>
        <t>V5.1: Типы_продукта!A33:M33; Микс_продаж!B9; E18</t>
      </text>
    </comment>
    <comment ref="E282" authorId="3" shapeId="0">
      <text>
        <t>V5.1: Типы_продукта!A33:M33; Микс_продаж!B9; E18</t>
      </text>
    </comment>
    <comment ref="F282" authorId="3" shapeId="0">
      <text>
        <t>V5.1: Типы_продукта!A33:M33; Микс_продаж!B9; E18</t>
      </text>
    </comment>
    <comment ref="G282" authorId="3" shapeId="0">
      <text>
        <t>V5.1: Типы_продукта!A33:M33; Микс_продаж!B9; E18</t>
      </text>
    </comment>
    <comment ref="H282" authorId="3" shapeId="0">
      <text>
        <t>V5.1: Типы_продукта!A33:M33; Микс_продаж!B9; E18</t>
      </text>
    </comment>
    <comment ref="I282" authorId="3" shapeId="0">
      <text>
        <t>V5.1: Типы_продукта!A33:M33; Микс_продаж!B9; E18</t>
      </text>
    </comment>
    <comment ref="J282" authorId="3" shapeId="0">
      <text>
        <t>V5.1: Типы_продукта!A33:M33; Микс_продаж!B9; E18</t>
      </text>
    </comment>
    <comment ref="K282" authorId="3" shapeId="0">
      <text>
        <t>V5.1: Типы_продукта!A33:M33; Микс_продаж!B9; E18</t>
      </text>
    </comment>
    <comment ref="C283" authorId="2" shapeId="0">
      <text>
        <t>РАСЧЁТ, НЕ ВВОДИТЬ.
Эта ячейка считается формулой. Если вписать сюда число, связь со сценариями и тарифным миксом пропадёт.</t>
      </text>
    </comment>
    <comment ref="B286" authorId="5"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5"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5"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2" shapeId="0">
      <text>
        <t>ФОРМУЛА ПО УМОЛЧАНИЮ.
По умолчанию = дата старта модели (B7). Можно вписать свою дату.</t>
      </text>
    </comment>
    <comment ref="B290" authorId="5"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2"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2"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2"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2"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2"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2"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2" shapeId="0">
      <text>
        <t>Источник: v4, таблица допущений по инфляции; 7% в год.
2032 год продлевает технический запас прогноза с тем же плановым допущением.</t>
      </text>
    </comment>
    <comment ref="B302" authorId="2" shapeId="0">
      <text>
        <t>Источник: v4, таблица допущений по инфляции; 7% в год.
2032 год продлевает технический запас прогноза с тем же плановым допущением.</t>
      </text>
    </comment>
    <comment ref="B303" authorId="2" shapeId="0">
      <text>
        <t>Источник: v4, таблица допущений по инфляции; 7% в год.
2032 год продлевает технический запас прогноза с тем же плановым допущением.</t>
      </text>
    </comment>
    <comment ref="B304" authorId="2" shapeId="0">
      <text>
        <t>Источник: v4, таблица допущений по инфляции; 7% в год.
2032 год продлевает технический запас прогноза с тем же плановым допущением.</t>
      </text>
    </comment>
    <comment ref="B305" authorId="2" shapeId="0">
      <text>
        <t>Источник: v4, таблица допущений по инфляции; 7% в год.
2032 год продлевает технический запас прогноза с тем же плановым допущением.</t>
      </text>
    </comment>
    <comment ref="B306" authorId="2" shapeId="0">
      <text>
        <t>Источник: v4, таблица допущений по инфляции; 7% в год.
2032 год продлевает технический запас прогноза с тем же плановым допущением.</t>
      </text>
    </comment>
    <comment ref="B307" authorId="2"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32"/>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2. Планы продаж и сезонность (веса — по календарным месяцам, первый месяц модели без продаж)</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0.18</v>
      </c>
      <c r="D36" s="52" t="n">
        <v>0.09</v>
      </c>
      <c r="E36" s="52" t="n">
        <v>0.03</v>
      </c>
      <c r="F36" s="52" t="n">
        <v>0.02</v>
      </c>
      <c r="G36" s="52" t="n">
        <v>0.08</v>
      </c>
      <c r="H36" s="52" t="n">
        <v>0.13</v>
      </c>
      <c r="I36" s="52" t="n">
        <v>0.05</v>
      </c>
      <c r="J36" s="52" t="n">
        <v>0.06</v>
      </c>
      <c r="K36" s="52" t="n">
        <v>0.08</v>
      </c>
      <c r="L36" s="52" t="n">
        <v>0.05</v>
      </c>
      <c r="M36" s="52" t="n">
        <v>0.09</v>
      </c>
      <c r="N36" s="52" t="n">
        <v>0.14</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Средний фикс на точку начисления</t>
        </is>
      </c>
      <c r="B52" s="51">
        <f>SUMPRODUCT(B314:B318,D314:D318)/SUM(B314:B318)</f>
        <v/>
      </c>
      <c r="C52" s="7" t="inlineStr">
        <is>
          <t>₽/точку/мес.</t>
        </is>
      </c>
      <c r="D52" s="7" t="inlineStr">
        <is>
          <t>Расчёт из групп</t>
        </is>
      </c>
      <c r="E52" s="17" t="inlineStr">
        <is>
          <t>Считается из таблицы групп в разделе 16. Руками не вводится: в роялти входят фиксы групп, а не это среднее.</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5а. Согласованный мерч действующей сети — факт сентябрь–декабрь 2026</t>
        </is>
      </c>
    </row>
    <row r="98" outlineLevel="1">
      <c r="A98" s="6" t="inlineStr">
        <is>
          <t>Месяц (факт, ищется по дате)</t>
        </is>
      </c>
      <c r="B98" s="29" t="n">
        <v>46266</v>
      </c>
      <c r="C98" s="29" t="n">
        <v>46296</v>
      </c>
      <c r="D98" s="29" t="n">
        <v>46327</v>
      </c>
      <c r="E98" s="29" t="n">
        <v>46357</v>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320" t="n">
        <v>0.555592</v>
      </c>
      <c r="D314" s="321" t="n">
        <v>13560</v>
      </c>
      <c r="E314" s="320" t="n">
        <v>0.065</v>
      </c>
      <c r="F314" t="inlineStr">
        <is>
          <t>Реестр начислений, август 2026</t>
        </is>
      </c>
    </row>
    <row r="315">
      <c r="A315" t="inlineStr">
        <is>
          <t>Льготная ставка</t>
        </is>
      </c>
      <c r="B315" t="n">
        <v>5</v>
      </c>
      <c r="C315" s="320" t="n">
        <v>0.29611</v>
      </c>
      <c r="D315" s="321" t="n">
        <v>9000</v>
      </c>
      <c r="E315" s="320" t="n">
        <v>0.0325</v>
      </c>
      <c r="F315" t="inlineStr">
        <is>
          <t>Реестр начислений, август 2026</t>
        </is>
      </c>
    </row>
    <row r="316">
      <c r="A316" t="inlineStr">
        <is>
          <t>Средние — у порога фикса</t>
        </is>
      </c>
      <c r="B316" t="n">
        <v>16</v>
      </c>
      <c r="C316" s="320" t="n">
        <v>0.09134100000000001</v>
      </c>
      <c r="D316" s="321" t="n">
        <v>19138</v>
      </c>
      <c r="E316" s="320" t="n">
        <v>0.065</v>
      </c>
      <c r="F316" t="inlineStr">
        <is>
          <t>Реестр начислений, август 2026</t>
        </is>
      </c>
    </row>
    <row r="317">
      <c r="A317" t="inlineStr">
        <is>
          <t>Мелкие — платят фикс</t>
        </is>
      </c>
      <c r="B317" t="n">
        <v>15</v>
      </c>
      <c r="C317" s="320" t="n">
        <v>0.033143</v>
      </c>
      <c r="D317" s="321" t="n">
        <v>20067</v>
      </c>
      <c r="E317" s="320" t="n">
        <v>0.065</v>
      </c>
      <c r="F317" t="inlineStr">
        <is>
          <t>Реестр начислений, август 2026</t>
        </is>
      </c>
    </row>
    <row r="318">
      <c r="A318" t="inlineStr">
        <is>
          <t>Только фикс, без процента</t>
        </is>
      </c>
      <c r="B318" t="n">
        <v>2</v>
      </c>
      <c r="C318" s="320" t="n">
        <v>0.023814</v>
      </c>
      <c r="D318" s="321" t="n">
        <v>20000</v>
      </c>
      <c r="E318" s="320" t="n">
        <v>0</v>
      </c>
      <c r="F318" t="inlineStr">
        <is>
          <t>Реестр начислений, август 2026</t>
        </is>
      </c>
    </row>
    <row r="319">
      <c r="A319" t="inlineStr">
        <is>
          <t>Итого</t>
        </is>
      </c>
      <c r="B319">
        <f>SUM(B314:B318)</f>
        <v/>
      </c>
      <c r="C319" s="320">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321" t="n">
        <v>0</v>
      </c>
      <c r="C324" t="inlineStr">
        <is>
          <t>₽</t>
        </is>
      </c>
      <c r="D324" t="inlineStr">
        <is>
          <t>заполнить из факта</t>
        </is>
      </c>
    </row>
    <row r="325">
      <c r="A325" t="inlineStr">
        <is>
          <t>EBITDA</t>
        </is>
      </c>
      <c r="B325" s="321" t="n">
        <v>0</v>
      </c>
      <c r="C325" t="inlineStr">
        <is>
          <t>₽ ±</t>
        </is>
      </c>
      <c r="D325" t="inlineStr">
        <is>
          <t>заполнить из факта</t>
        </is>
      </c>
    </row>
    <row r="326">
      <c r="A326" t="inlineStr">
        <is>
          <t>Прибыль после налога</t>
        </is>
      </c>
      <c r="B326" s="321" t="n">
        <v>0</v>
      </c>
      <c r="C326" t="inlineStr">
        <is>
          <t>₽ ±</t>
        </is>
      </c>
      <c r="D326" t="inlineStr">
        <is>
          <t>заполнить из факта</t>
        </is>
      </c>
    </row>
    <row r="327">
      <c r="A327" t="inlineStr">
        <is>
          <t>Денежный поток за сезон</t>
        </is>
      </c>
      <c r="B327" s="321" t="n">
        <v>0</v>
      </c>
      <c r="C327" t="inlineStr">
        <is>
          <t>₽ ±</t>
        </is>
      </c>
      <c r="D327" t="inlineStr">
        <is>
          <t>заполнить из факта</t>
        </is>
      </c>
    </row>
    <row r="328">
      <c r="A328" t="inlineStr">
        <is>
          <t>Деньги на конец сезона</t>
        </is>
      </c>
      <c r="B328" s="321" t="n">
        <v>0</v>
      </c>
      <c r="C328" t="inlineStr">
        <is>
          <t>₽ ±</t>
        </is>
      </c>
      <c r="D328" t="inlineStr">
        <is>
          <t>заполнить из факта</t>
        </is>
      </c>
    </row>
    <row r="329">
      <c r="A329" t="inlineStr">
        <is>
          <t>Школы на конец сезона</t>
        </is>
      </c>
      <c r="B329" s="321" t="n">
        <v>104</v>
      </c>
      <c r="C329" t="inlineStr">
        <is>
          <t>шт.</t>
        </is>
      </c>
      <c r="D329" t="inlineStr">
        <is>
          <t>Реестр сети 21.08.2026</t>
        </is>
      </c>
    </row>
    <row r="330">
      <c r="A330" t="inlineStr">
        <is>
          <t>Партнёры на конец сезона</t>
        </is>
      </c>
      <c r="B330" s="321" t="n">
        <v>51</v>
      </c>
      <c r="C330" t="inlineStr">
        <is>
          <t>шт.</t>
        </is>
      </c>
      <c r="D330" t="inlineStr">
        <is>
          <t>Реестр сети 21.08.2026</t>
        </is>
      </c>
    </row>
    <row r="331">
      <c r="A331" t="inlineStr">
        <is>
          <t>Дети на конец сезона</t>
        </is>
      </c>
      <c r="B331" s="321" t="n">
        <v>0</v>
      </c>
      <c r="C331" t="inlineStr">
        <is>
          <t>чел.</t>
        </is>
      </c>
      <c r="D331" t="inlineStr">
        <is>
          <t>заполнить из факта</t>
        </is>
      </c>
    </row>
    <row r="332">
      <c r="A332" t="inlineStr">
        <is>
          <t>Справочно: роялти начислено за сезон, с НДС</t>
        </is>
      </c>
      <c r="B332" s="321"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'01_Вводные'!$B$36*INDEX('01_Вводные'!$C$36:$N$36,1,MOD(MONTH(C$11)-9,12)+1)/(SUM('01_Вводные'!$C$36:$N$36)-INDEX('01_Вводные'!$C$36:$N$36,1,MOD(MONTH('01_Вводные'!$B$7)-9,12)+1))</f>
        <v/>
      </c>
      <c r="D15" s="95">
        <f>'01_Вводные'!$B$36*INDEX('01_Вводные'!$C$36:$N$36,1,MOD(MONTH(D$11)-9,12)+1)/(SUM('01_Вводные'!$C$36:$N$36)-INDEX('01_Вводные'!$C$36:$N$36,1,MOD(MONTH('01_Вводные'!$B$7)-9,12)+1))</f>
        <v/>
      </c>
      <c r="E15" s="95">
        <f>'01_Вводные'!$B$36*INDEX('01_Вводные'!$C$36:$N$36,1,MOD(MONTH(E$11)-9,12)+1)/(SUM('01_Вводные'!$C$36:$N$36)-INDEX('01_Вводные'!$C$36:$N$36,1,MOD(MONTH('01_Вводные'!$B$7)-9,12)+1))</f>
        <v/>
      </c>
      <c r="F15" s="95">
        <f>'01_Вводные'!$B$36*INDEX('01_Вводные'!$C$36:$N$36,1,MOD(MONTH(F$11)-9,12)+1)/(SUM('01_Вводные'!$C$36:$N$36)-INDEX('01_Вводные'!$C$36:$N$36,1,MOD(MONTH('01_Вводные'!$B$7)-9,12)+1))</f>
        <v/>
      </c>
      <c r="G15" s="95">
        <f>'01_Вводные'!$B$36*INDEX('01_Вводные'!$C$36:$N$36,1,MOD(MONTH(G$11)-9,12)+1)/(SUM('01_Вводные'!$C$36:$N$36)-INDEX('01_Вводные'!$C$36:$N$36,1,MOD(MONTH('01_Вводные'!$B$7)-9,12)+1))</f>
        <v/>
      </c>
      <c r="H15" s="95">
        <f>'01_Вводные'!$B$36*INDEX('01_Вводные'!$C$36:$N$36,1,MOD(MONTH(H$11)-9,12)+1)/(SUM('01_Вводные'!$C$36:$N$36)-INDEX('01_Вводные'!$C$36:$N$36,1,MOD(MONTH('01_Вводные'!$B$7)-9,12)+1))</f>
        <v/>
      </c>
      <c r="I15" s="95">
        <f>'01_Вводные'!$B$36*INDEX('01_Вводные'!$C$36:$N$36,1,MOD(MONTH(I$11)-9,12)+1)/(SUM('01_Вводные'!$C$36:$N$36)-INDEX('01_Вводные'!$C$36:$N$36,1,MOD(MONTH('01_Вводные'!$B$7)-9,12)+1))</f>
        <v/>
      </c>
      <c r="J15" s="95">
        <f>'01_Вводные'!$B$36*INDEX('01_Вводные'!$C$36:$N$36,1,MOD(MONTH(J$11)-9,12)+1)/(SUM('01_Вводные'!$C$36:$N$36)-INDEX('01_Вводные'!$C$36:$N$36,1,MOD(MONTH('01_Вводные'!$B$7)-9,12)+1))</f>
        <v/>
      </c>
      <c r="K15" s="95">
        <f>'01_Вводные'!$B$36*INDEX('01_Вводные'!$C$36:$N$36,1,MOD(MONTH(K$11)-9,12)+1)/(SUM('01_Вводные'!$C$36:$N$36)-INDEX('01_Вводные'!$C$36:$N$36,1,MOD(MONTH('01_Вводные'!$B$7)-9,12)+1))</f>
        <v/>
      </c>
      <c r="L15" s="95">
        <f>'01_Вводные'!$B$36*INDEX('01_Вводные'!$C$36:$N$36,1,MOD(MONTH(L$11)-9,12)+1)/(SUM('01_Вводные'!$C$36:$N$36)-INDEX('01_Вводные'!$C$36:$N$36,1,MOD(MONTH('01_Вводные'!$B$7)-9,12)+1))</f>
        <v/>
      </c>
      <c r="M15" s="95">
        <f>'01_Вводные'!$B$36*INDEX('01_Вводные'!$C$36:$N$36,1,MOD(MONTH(M$11)-9,12)+1)/(SUM('01_Вводные'!$C$36:$N$36)-INDEX('01_Вводные'!$C$36:$N$36,1,MOD(MONTH('01_Вводные'!$B$7)-9,12)+1))</f>
        <v/>
      </c>
      <c r="N15" s="95">
        <f>'01_Вводные'!$B$37*INDEX('01_Вводные'!$C$37:$N$37,1,MOD(MONTH(N$11)-9,12)+1)/SUM('01_Вводные'!$C$37:$N$37)</f>
        <v/>
      </c>
      <c r="O15" s="95">
        <f>'01_Вводные'!$B$37*INDEX('01_Вводные'!$C$37:$N$37,1,MOD(MONTH(O$11)-9,12)+1)/SUM('01_Вводные'!$C$37:$N$37)</f>
        <v/>
      </c>
      <c r="P15" s="95">
        <f>'01_Вводные'!$B$37*INDEX('01_Вводные'!$C$37:$N$37,1,MOD(MONTH(P$11)-9,12)+1)/SUM('01_Вводные'!$C$37:$N$37)</f>
        <v/>
      </c>
      <c r="Q15" s="95">
        <f>'01_Вводные'!$B$37*INDEX('01_Вводные'!$C$37:$N$37,1,MOD(MONTH(Q$11)-9,12)+1)/SUM('01_Вводные'!$C$37:$N$37)</f>
        <v/>
      </c>
      <c r="R15" s="95">
        <f>'01_Вводные'!$B$37*INDEX('01_Вводные'!$C$37:$N$37,1,MOD(MONTH(R$11)-9,12)+1)/SUM('01_Вводные'!$C$37:$N$37)</f>
        <v/>
      </c>
      <c r="S15" s="95">
        <f>'01_Вводные'!$B$37*INDEX('01_Вводные'!$C$37:$N$37,1,MOD(MONTH(S$11)-9,12)+1)/SUM('01_Вводные'!$C$37:$N$37)</f>
        <v/>
      </c>
      <c r="T15" s="95">
        <f>'01_Вводные'!$B$37*INDEX('01_Вводные'!$C$37:$N$37,1,MOD(MONTH(T$11)-9,12)+1)/SUM('01_Вводные'!$C$37:$N$37)</f>
        <v/>
      </c>
      <c r="U15" s="95">
        <f>'01_Вводные'!$B$37*INDEX('01_Вводные'!$C$37:$N$37,1,MOD(MONTH(U$11)-9,12)+1)/SUM('01_Вводные'!$C$37:$N$37)</f>
        <v/>
      </c>
      <c r="V15" s="95">
        <f>'01_Вводные'!$B$37*INDEX('01_Вводные'!$C$37:$N$37,1,MOD(MONTH(V$11)-9,12)+1)/SUM('01_Вводные'!$C$37:$N$37)</f>
        <v/>
      </c>
      <c r="W15" s="95">
        <f>'01_Вводные'!$B$37*INDEX('01_Вводные'!$C$37:$N$37,1,MOD(MONTH(W$11)-9,12)+1)/SUM('01_Вводные'!$C$37:$N$37)</f>
        <v/>
      </c>
      <c r="X15" s="95">
        <f>'01_Вводные'!$B$37*INDEX('01_Вводные'!$C$37:$N$37,1,MOD(MONTH(X$11)-9,12)+1)/SUM('01_Вводные'!$C$37:$N$37)</f>
        <v/>
      </c>
      <c r="Y15" s="95">
        <f>'01_Вводные'!$B$37*INDEX('01_Вводные'!$C$37:$N$37,1,MOD(MONTH(Y$11)-9,12)+1)/SUM('01_Вводные'!$C$37:$N$37)</f>
        <v/>
      </c>
      <c r="Z15" s="95">
        <f>'01_Вводные'!$B$38*INDEX('01_Вводные'!$C$38:$N$38,1,MOD(MONTH(Z$11)-9,12)+1)/SUM('01_Вводные'!$C$38:$N$38)</f>
        <v/>
      </c>
      <c r="AA15" s="95">
        <f>'01_Вводные'!$B$38*INDEX('01_Вводные'!$C$38:$N$38,1,MOD(MONTH(AA$11)-9,12)+1)/SUM('01_Вводные'!$C$38:$N$38)</f>
        <v/>
      </c>
      <c r="AB15" s="95">
        <f>'01_Вводные'!$B$38*INDEX('01_Вводные'!$C$38:$N$38,1,MOD(MONTH(AB$11)-9,12)+1)/SUM('01_Вводные'!$C$38:$N$38)</f>
        <v/>
      </c>
      <c r="AC15" s="95">
        <f>'01_Вводные'!$B$38*INDEX('01_Вводные'!$C$38:$N$38,1,MOD(MONTH(AC$11)-9,12)+1)/SUM('01_Вводные'!$C$38:$N$38)</f>
        <v/>
      </c>
      <c r="AD15" s="95">
        <f>'01_Вводные'!$B$38*INDEX('01_Вводные'!$C$38:$N$38,1,MOD(MONTH(AD$11)-9,12)+1)/SUM('01_Вводные'!$C$38:$N$38)</f>
        <v/>
      </c>
      <c r="AE15" s="95">
        <f>'01_Вводные'!$B$38*INDEX('01_Вводные'!$C$38:$N$38,1,MOD(MONTH(AE$11)-9,12)+1)/SUM('01_Вводные'!$C$38:$N$38)</f>
        <v/>
      </c>
      <c r="AF15" s="95">
        <f>'01_Вводные'!$B$38*INDEX('01_Вводные'!$C$38:$N$38,1,MOD(MONTH(AF$11)-9,12)+1)/SUM('01_Вводные'!$C$38:$N$38)</f>
        <v/>
      </c>
      <c r="AG15" s="95">
        <f>'01_Вводные'!$B$38*INDEX('01_Вводные'!$C$38:$N$38,1,MOD(MONTH(AG$11)-9,12)+1)/SUM('01_Вводные'!$C$38:$N$38)</f>
        <v/>
      </c>
      <c r="AH15" s="95">
        <f>'01_Вводные'!$B$38*INDEX('01_Вводные'!$C$38:$N$38,1,MOD(MONTH(AH$11)-9,12)+1)/SUM('01_Вводные'!$C$38:$N$38)</f>
        <v/>
      </c>
      <c r="AI15" s="95">
        <f>'01_Вводные'!$B$38*INDEX('01_Вводные'!$C$38:$N$38,1,MOD(MONTH(AI$11)-9,12)+1)/SUM('01_Вводные'!$C$38:$N$38)</f>
        <v/>
      </c>
      <c r="AJ15" s="95">
        <f>'01_Вводные'!$B$38*INDEX('01_Вводные'!$C$38:$N$38,1,MOD(MONTH(AJ$11)-9,12)+1)/SUM('01_Вводные'!$C$38:$N$38)</f>
        <v/>
      </c>
      <c r="AK15" s="95">
        <f>'01_Вводные'!$B$38*INDEX('01_Вводные'!$C$38:$N$38,1,MOD(MONTH(AK$11)-9,12)+1)/SUM('01_Вводные'!$C$38:$N$38)</f>
        <v/>
      </c>
      <c r="AL15" s="95">
        <f>'01_Вводные'!$B$39*INDEX('01_Вводные'!$C$39:$N$39,1,MOD(MONTH(AL$11)-9,12)+1)/SUM('01_Вводные'!$C$39:$N$39)</f>
        <v/>
      </c>
      <c r="AM15" s="95">
        <f>'01_Вводные'!$B$39*INDEX('01_Вводные'!$C$39:$N$39,1,MOD(MONTH(AM$11)-9,12)+1)/SUM('01_Вводные'!$C$39:$N$39)</f>
        <v/>
      </c>
      <c r="AN15" s="95">
        <f>'01_Вводные'!$B$39*INDEX('01_Вводные'!$C$39:$N$39,1,MOD(MONTH(AN$11)-9,12)+1)/SUM('01_Вводные'!$C$39:$N$39)</f>
        <v/>
      </c>
      <c r="AO15" s="95">
        <f>'01_Вводные'!$B$39*INDEX('01_Вводные'!$C$39:$N$39,1,MOD(MONTH(AO$11)-9,12)+1)/SUM('01_Вводные'!$C$39:$N$39)</f>
        <v/>
      </c>
      <c r="AP15" s="95">
        <f>'01_Вводные'!$B$39*INDEX('01_Вводные'!$C$39:$N$39,1,MOD(MONTH(AP$11)-9,12)+1)/SUM('01_Вводные'!$C$39:$N$39)</f>
        <v/>
      </c>
      <c r="AQ15" s="95">
        <f>'01_Вводные'!$B$39*INDEX('01_Вводные'!$C$39:$N$39,1,MOD(MONTH(AQ$11)-9,12)+1)/SUM('01_Вводные'!$C$39:$N$39)</f>
        <v/>
      </c>
      <c r="AR15" s="95">
        <f>'01_Вводные'!$B$39*INDEX('01_Вводные'!$C$39:$N$39,1,MOD(MONTH(AR$11)-9,12)+1)/SUM('01_Вводные'!$C$39:$N$39)</f>
        <v/>
      </c>
      <c r="AS15" s="95">
        <f>'01_Вводные'!$B$39*INDEX('01_Вводные'!$C$39:$N$39,1,MOD(MONTH(AS$11)-9,12)+1)/SUM('01_Вводные'!$C$39:$N$39)</f>
        <v/>
      </c>
      <c r="AT15" s="95">
        <f>'01_Вводные'!$B$39*INDEX('01_Вводные'!$C$39:$N$39,1,MOD(MONTH(AT$11)-9,12)+1)/SUM('01_Вводные'!$C$39:$N$39)</f>
        <v/>
      </c>
      <c r="AU15" s="95">
        <f>'01_Вводные'!$B$39*INDEX('01_Вводные'!$C$39:$N$39,1,MOD(MONTH(AU$11)-9,12)+1)/SUM('01_Вводные'!$C$39:$N$39)</f>
        <v/>
      </c>
      <c r="AV15" s="95">
        <f>'01_Вводные'!$B$39*INDEX('01_Вводные'!$C$39:$N$39,1,MOD(MONTH(AV$11)-9,12)+1)/SUM('01_Вводные'!$C$39:$N$39)</f>
        <v/>
      </c>
      <c r="AW15" s="95">
        <f>'01_Вводные'!$B$39*INDEX('01_Вводные'!$C$39:$N$39,1,MOD(MONTH(AW$11)-9,12)+1)/SUM('01_Вводные'!$C$39:$N$39)</f>
        <v/>
      </c>
      <c r="AX15" s="95">
        <f>'01_Вводные'!$B$40*INDEX('01_Вводные'!$C$40:$N$40,1,MOD(MONTH(AX$11)-9,12)+1)/SUM('01_Вводные'!$C$40:$N$40)</f>
        <v/>
      </c>
      <c r="AY15" s="95">
        <f>'01_Вводные'!$B$40*INDEX('01_Вводные'!$C$40:$N$40,1,MOD(MONTH(AY$11)-9,12)+1)/SUM('01_Вводные'!$C$40:$N$40)</f>
        <v/>
      </c>
      <c r="AZ15" s="95">
        <f>'01_Вводные'!$B$40*INDEX('01_Вводные'!$C$40:$N$40,1,MOD(MONTH(AZ$11)-9,12)+1)/SUM('01_Вводные'!$C$40:$N$40)</f>
        <v/>
      </c>
      <c r="BA15" s="95">
        <f>'01_Вводные'!$B$40*INDEX('01_Вводные'!$C$40:$N$40,1,MOD(MONTH(BA$11)-9,12)+1)/SUM('01_Вводные'!$C$40:$N$40)</f>
        <v/>
      </c>
      <c r="BB15" s="95">
        <f>'01_Вводные'!$B$40*INDEX('01_Вводные'!$C$40:$N$40,1,MOD(MONTH(BB$11)-9,12)+1)/SUM('01_Вводные'!$C$40:$N$40)</f>
        <v/>
      </c>
      <c r="BC15" s="95">
        <f>'01_Вводные'!$B$40*INDEX('01_Вводные'!$C$40:$N$40,1,MOD(MONTH(BC$11)-9,12)+1)/SUM('01_Вводные'!$C$40:$N$40)</f>
        <v/>
      </c>
      <c r="BD15" s="95">
        <f>'01_Вводные'!$B$40*INDEX('01_Вводные'!$C$40:$N$40,1,MOD(MONTH(BD$11)-9,12)+1)/SUM('01_Вводные'!$C$40:$N$40)</f>
        <v/>
      </c>
      <c r="BE15" s="95">
        <f>'01_Вводные'!$B$40*INDEX('01_Вводные'!$C$40:$N$40,1,MOD(MONTH(BE$11)-9,12)+1)/SUM('01_Вводные'!$C$40:$N$40)</f>
        <v/>
      </c>
      <c r="BF15" s="95">
        <f>'01_Вводные'!$B$40*INDEX('01_Вводные'!$C$40:$N$40,1,MOD(MONTH(BF$11)-9,12)+1)/SUM('01_Вводные'!$C$40:$N$40)</f>
        <v/>
      </c>
      <c r="BG15" s="95">
        <f>'01_Вводные'!$B$40*INDEX('01_Вводные'!$C$40:$N$40,1,MOD(MONTH(BG$11)-9,12)+1)/SUM('01_Вводные'!$C$40:$N$40)</f>
        <v/>
      </c>
      <c r="BH15" s="95">
        <f>'01_Вводные'!$B$40*INDEX('01_Вводные'!$C$40:$N$40,1,MOD(MONTH(BH$11)-9,12)+1)/SUM('01_Вводные'!$C$40:$N$40)</f>
        <v/>
      </c>
      <c r="BI15" s="95">
        <f>'01_Вводные'!$B$40*INDEX('01_Вводные'!$C$40:$N$40,1,MOD(MONTH(BI$11)-9,12)+1)/SUM('01_Вводные'!$C$40:$N$40)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MIN(1,'01_Вводные'!$B$22)+IF(OR(1&lt;=('01_Вводные'!$B$15+'01_Вводные'!$B$311),1-('01_Вводные'!$B$15+'01_Вводные'!$B$311)&gt;60),0,INDEX('04_Продажи'!$B$15:$BI$15,1,1-('01_Вводные'!$B$15+'01_Вводные'!$B$311)))*'01_Вводные'!$B$298*MAX(0,'01_Вводные'!$B$22-1)</f>
        <v/>
      </c>
      <c r="C8" s="185">
        <f>IF(OR(2&lt;='01_Вводные'!$B$15,2-'01_Вводные'!$B$15&gt;60),0,INDEX('04_Продажи'!$B$15:$BI$15,1,2-'01_Вводные'!$B$15))*'01_Вводные'!$B$298*MIN(1,'01_Вводные'!$B$22)+IF(OR(2&lt;=('01_Вводные'!$B$15+'01_Вводные'!$B$311),2-('01_Вводные'!$B$15+'01_Вводные'!$B$311)&gt;60),0,INDEX('04_Продажи'!$B$15:$BI$15,1,2-('01_Вводные'!$B$15+'01_Вводные'!$B$311)))*'01_Вводные'!$B$298*MAX(0,'01_Вводные'!$B$22-1)</f>
        <v/>
      </c>
      <c r="D8" s="185">
        <f>IF(OR(3&lt;='01_Вводные'!$B$15,3-'01_Вводные'!$B$15&gt;60),0,INDEX('04_Продажи'!$B$15:$BI$15,1,3-'01_Вводные'!$B$15))*'01_Вводные'!$B$298*MIN(1,'01_Вводные'!$B$22)+IF(OR(3&lt;=('01_Вводные'!$B$15+'01_Вводные'!$B$311),3-('01_Вводные'!$B$15+'01_Вводные'!$B$311)&gt;60),0,INDEX('04_Продажи'!$B$15:$BI$15,1,3-('01_Вводные'!$B$15+'01_Вводные'!$B$311)))*'01_Вводные'!$B$298*MAX(0,'01_Вводные'!$B$22-1)</f>
        <v/>
      </c>
      <c r="E8" s="185">
        <f>IF(OR(4&lt;='01_Вводные'!$B$15,4-'01_Вводные'!$B$15&gt;60),0,INDEX('04_Продажи'!$B$15:$BI$15,1,4-'01_Вводные'!$B$15))*'01_Вводные'!$B$298*MIN(1,'01_Вводные'!$B$22)+IF(OR(4&lt;=('01_Вводные'!$B$15+'01_Вводные'!$B$311),4-('01_Вводные'!$B$15+'01_Вводные'!$B$311)&gt;60),0,INDEX('04_Продажи'!$B$15:$BI$15,1,4-('01_Вводные'!$B$15+'01_Вводные'!$B$311)))*'01_Вводные'!$B$298*MAX(0,'01_Вводные'!$B$22-1)</f>
        <v/>
      </c>
      <c r="F8" s="185">
        <f>IF(OR(5&lt;='01_Вводные'!$B$15,5-'01_Вводные'!$B$15&gt;60),0,INDEX('04_Продажи'!$B$15:$BI$15,1,5-'01_Вводные'!$B$15))*'01_Вводные'!$B$298*MIN(1,'01_Вводные'!$B$22)+IF(OR(5&lt;=('01_Вводные'!$B$15+'01_Вводные'!$B$311),5-('01_Вводные'!$B$15+'01_Вводные'!$B$311)&gt;60),0,INDEX('04_Продажи'!$B$15:$BI$15,1,5-('01_Вводные'!$B$15+'01_Вводные'!$B$311)))*'01_Вводные'!$B$298*MAX(0,'01_Вводные'!$B$22-1)</f>
        <v/>
      </c>
      <c r="G8" s="185">
        <f>IF(OR(6&lt;='01_Вводные'!$B$15,6-'01_Вводные'!$B$15&gt;60),0,INDEX('04_Продажи'!$B$15:$BI$15,1,6-'01_Вводные'!$B$15))*'01_Вводные'!$B$298*MIN(1,'01_Вводные'!$B$22)+IF(OR(6&lt;=('01_Вводные'!$B$15+'01_Вводные'!$B$311),6-('01_Вводные'!$B$15+'01_Вводные'!$B$311)&gt;60),0,INDEX('04_Продажи'!$B$15:$BI$15,1,6-('01_Вводные'!$B$15+'01_Вводные'!$B$311)))*'01_Вводные'!$B$298*MAX(0,'01_Вводные'!$B$22-1)</f>
        <v/>
      </c>
      <c r="H8" s="185">
        <f>IF(OR(7&lt;='01_Вводные'!$B$15,7-'01_Вводные'!$B$15&gt;60),0,INDEX('04_Продажи'!$B$15:$BI$15,1,7-'01_Вводные'!$B$15))*'01_Вводные'!$B$298*MIN(1,'01_Вводные'!$B$22)+IF(OR(7&lt;=('01_Вводные'!$B$15+'01_Вводные'!$B$311),7-('01_Вводные'!$B$15+'01_Вводные'!$B$311)&gt;60),0,INDEX('04_Продажи'!$B$15:$BI$15,1,7-('01_Вводные'!$B$15+'01_Вводные'!$B$311)))*'01_Вводные'!$B$298*MAX(0,'01_Вводные'!$B$22-1)</f>
        <v/>
      </c>
      <c r="I8" s="185">
        <f>IF(OR(8&lt;='01_Вводные'!$B$15,8-'01_Вводные'!$B$15&gt;60),0,INDEX('04_Продажи'!$B$15:$BI$15,1,8-'01_Вводные'!$B$15))*'01_Вводные'!$B$298*MIN(1,'01_Вводные'!$B$22)+IF(OR(8&lt;=('01_Вводные'!$B$15+'01_Вводные'!$B$311),8-('01_Вводные'!$B$15+'01_Вводные'!$B$311)&gt;60),0,INDEX('04_Продажи'!$B$15:$BI$15,1,8-('01_Вводные'!$B$15+'01_Вводные'!$B$311)))*'01_Вводные'!$B$298*MAX(0,'01_Вводные'!$B$22-1)</f>
        <v/>
      </c>
      <c r="J8" s="185">
        <f>IF(OR(9&lt;='01_Вводные'!$B$15,9-'01_Вводные'!$B$15&gt;60),0,INDEX('04_Продажи'!$B$15:$BI$15,1,9-'01_Вводные'!$B$15))*'01_Вводные'!$B$298*MIN(1,'01_Вводные'!$B$22)+IF(OR(9&lt;=('01_Вводные'!$B$15+'01_Вводные'!$B$311),9-('01_Вводные'!$B$15+'01_Вводные'!$B$311)&gt;60),0,INDEX('04_Продажи'!$B$15:$BI$15,1,9-('01_Вводные'!$B$15+'01_Вводные'!$B$311)))*'01_Вводные'!$B$298*MAX(0,'01_Вводные'!$B$22-1)</f>
        <v/>
      </c>
      <c r="K8" s="185">
        <f>IF(OR(10&lt;='01_Вводные'!$B$15,10-'01_Вводные'!$B$15&gt;60),0,INDEX('04_Продажи'!$B$15:$BI$15,1,10-'01_Вводные'!$B$15))*'01_Вводные'!$B$298*MIN(1,'01_Вводные'!$B$22)+IF(OR(10&lt;=('01_Вводные'!$B$15+'01_Вводные'!$B$311),10-('01_Вводные'!$B$15+'01_Вводные'!$B$311)&gt;60),0,INDEX('04_Продажи'!$B$15:$BI$15,1,10-('01_Вводные'!$B$15+'01_Вводные'!$B$311)))*'01_Вводные'!$B$298*MAX(0,'01_Вводные'!$B$22-1)</f>
        <v/>
      </c>
      <c r="L8" s="185">
        <f>IF(OR(11&lt;='01_Вводные'!$B$15,11-'01_Вводные'!$B$15&gt;60),0,INDEX('04_Продажи'!$B$15:$BI$15,1,11-'01_Вводные'!$B$15))*'01_Вводные'!$B$298*MIN(1,'01_Вводные'!$B$22)+IF(OR(11&lt;=('01_Вводные'!$B$15+'01_Вводные'!$B$311),11-('01_Вводные'!$B$15+'01_Вводные'!$B$311)&gt;60),0,INDEX('04_Продажи'!$B$15:$BI$15,1,11-('01_Вводные'!$B$15+'01_Вводные'!$B$311)))*'01_Вводные'!$B$298*MAX(0,'01_Вводные'!$B$22-1)</f>
        <v/>
      </c>
      <c r="M8" s="185">
        <f>IF(OR(12&lt;='01_Вводные'!$B$15,12-'01_Вводные'!$B$15&gt;60),0,INDEX('04_Продажи'!$B$15:$BI$15,1,12-'01_Вводные'!$B$15))*'01_Вводные'!$B$298*MIN(1,'01_Вводные'!$B$22)+IF(OR(12&lt;=('01_Вводные'!$B$15+'01_Вводные'!$B$311),12-('01_Вводные'!$B$15+'01_Вводные'!$B$311)&gt;60),0,INDEX('04_Продажи'!$B$15:$BI$15,1,12-('01_Вводные'!$B$15+'01_Вводные'!$B$311)))*'01_Вводные'!$B$298*MAX(0,'01_Вводные'!$B$22-1)</f>
        <v/>
      </c>
      <c r="N8" s="185">
        <f>IF(OR(13&lt;='01_Вводные'!$B$15,13-'01_Вводные'!$B$15&gt;60),0,INDEX('04_Продажи'!$B$15:$BI$15,1,13-'01_Вводные'!$B$15))*'01_Вводные'!$B$298*MIN(1,'01_Вводные'!$B$22)+IF(OR(13&lt;=('01_Вводные'!$B$15+'01_Вводные'!$B$311),13-('01_Вводные'!$B$15+'01_Вводные'!$B$311)&gt;60),0,INDEX('04_Продажи'!$B$15:$BI$15,1,13-('01_Вводные'!$B$15+'01_Вводные'!$B$311)))*'01_Вводные'!$B$298*MAX(0,'01_Вводные'!$B$22-1)</f>
        <v/>
      </c>
      <c r="O8" s="185">
        <f>IF(OR(14&lt;='01_Вводные'!$B$15,14-'01_Вводные'!$B$15&gt;60),0,INDEX('04_Продажи'!$B$15:$BI$15,1,14-'01_Вводные'!$B$15))*'01_Вводные'!$B$298*MIN(1,'01_Вводные'!$B$22)+IF(OR(14&lt;=('01_Вводные'!$B$15+'01_Вводные'!$B$311),14-('01_Вводные'!$B$15+'01_Вводные'!$B$311)&gt;60),0,INDEX('04_Продажи'!$B$15:$BI$15,1,14-('01_Вводные'!$B$15+'01_Вводные'!$B$311)))*'01_Вводные'!$B$298*MAX(0,'01_Вводные'!$B$22-1)</f>
        <v/>
      </c>
      <c r="P8" s="185">
        <f>IF(OR(15&lt;='01_Вводные'!$B$15,15-'01_Вводные'!$B$15&gt;60),0,INDEX('04_Продажи'!$B$15:$BI$15,1,15-'01_Вводные'!$B$15))*'01_Вводные'!$B$298*MIN(1,'01_Вводные'!$B$22)+IF(OR(15&lt;=('01_Вводные'!$B$15+'01_Вводные'!$B$311),15-('01_Вводные'!$B$15+'01_Вводные'!$B$311)&gt;60),0,INDEX('04_Продажи'!$B$15:$BI$15,1,15-('01_Вводные'!$B$15+'01_Вводные'!$B$311)))*'01_Вводные'!$B$298*MAX(0,'01_Вводные'!$B$22-1)</f>
        <v/>
      </c>
      <c r="Q8" s="185">
        <f>IF(OR(16&lt;='01_Вводные'!$B$15,16-'01_Вводные'!$B$15&gt;60),0,INDEX('04_Продажи'!$B$15:$BI$15,1,16-'01_Вводные'!$B$15))*'01_Вводные'!$B$298*MIN(1,'01_Вводные'!$B$22)+IF(OR(16&lt;=('01_Вводные'!$B$15+'01_Вводные'!$B$311),16-('01_Вводные'!$B$15+'01_Вводные'!$B$311)&gt;60),0,INDEX('04_Продажи'!$B$15:$BI$15,1,16-('01_Вводные'!$B$15+'01_Вводные'!$B$311)))*'01_Вводные'!$B$298*MAX(0,'01_Вводные'!$B$22-1)</f>
        <v/>
      </c>
      <c r="R8" s="185">
        <f>IF(OR(17&lt;='01_Вводные'!$B$15,17-'01_Вводные'!$B$15&gt;60),0,INDEX('04_Продажи'!$B$15:$BI$15,1,17-'01_Вводные'!$B$15))*'01_Вводные'!$B$298*MIN(1,'01_Вводные'!$B$22)+IF(OR(17&lt;=('01_Вводные'!$B$15+'01_Вводные'!$B$311),17-('01_Вводные'!$B$15+'01_Вводные'!$B$311)&gt;60),0,INDEX('04_Продажи'!$B$15:$BI$15,1,17-('01_Вводные'!$B$15+'01_Вводные'!$B$311)))*'01_Вводные'!$B$298*MAX(0,'01_Вводные'!$B$22-1)</f>
        <v/>
      </c>
      <c r="S8" s="185">
        <f>IF(OR(18&lt;='01_Вводные'!$B$15,18-'01_Вводные'!$B$15&gt;60),0,INDEX('04_Продажи'!$B$15:$BI$15,1,18-'01_Вводные'!$B$15))*'01_Вводные'!$B$298*MIN(1,'01_Вводные'!$B$22)+IF(OR(18&lt;=('01_Вводные'!$B$15+'01_Вводные'!$B$311),18-('01_Вводные'!$B$15+'01_Вводные'!$B$311)&gt;60),0,INDEX('04_Продажи'!$B$15:$BI$15,1,18-('01_Вводные'!$B$15+'01_Вводные'!$B$311)))*'01_Вводные'!$B$298*MAX(0,'01_Вводные'!$B$22-1)</f>
        <v/>
      </c>
      <c r="T8" s="185">
        <f>IF(OR(19&lt;='01_Вводные'!$B$15,19-'01_Вводные'!$B$15&gt;60),0,INDEX('04_Продажи'!$B$15:$BI$15,1,19-'01_Вводные'!$B$15))*'01_Вводные'!$B$298*MIN(1,'01_Вводные'!$B$22)+IF(OR(19&lt;=('01_Вводные'!$B$15+'01_Вводные'!$B$311),19-('01_Вводные'!$B$15+'01_Вводные'!$B$311)&gt;60),0,INDEX('04_Продажи'!$B$15:$BI$15,1,19-('01_Вводные'!$B$15+'01_Вводные'!$B$311)))*'01_Вводные'!$B$298*MAX(0,'01_Вводные'!$B$22-1)</f>
        <v/>
      </c>
      <c r="U8" s="185">
        <f>IF(OR(20&lt;='01_Вводные'!$B$15,20-'01_Вводные'!$B$15&gt;60),0,INDEX('04_Продажи'!$B$15:$BI$15,1,20-'01_Вводные'!$B$15))*'01_Вводные'!$B$298*MIN(1,'01_Вводные'!$B$22)+IF(OR(20&lt;=('01_Вводные'!$B$15+'01_Вводные'!$B$311),20-('01_Вводные'!$B$15+'01_Вводные'!$B$311)&gt;60),0,INDEX('04_Продажи'!$B$15:$BI$15,1,20-('01_Вводные'!$B$15+'01_Вводные'!$B$311)))*'01_Вводные'!$B$298*MAX(0,'01_Вводные'!$B$22-1)</f>
        <v/>
      </c>
      <c r="V8" s="185">
        <f>IF(OR(21&lt;='01_Вводные'!$B$15,21-'01_Вводные'!$B$15&gt;60),0,INDEX('04_Продажи'!$B$15:$BI$15,1,21-'01_Вводные'!$B$15))*'01_Вводные'!$B$298*MIN(1,'01_Вводные'!$B$22)+IF(OR(21&lt;=('01_Вводные'!$B$15+'01_Вводные'!$B$311),21-('01_Вводные'!$B$15+'01_Вводные'!$B$311)&gt;60),0,INDEX('04_Продажи'!$B$15:$BI$15,1,21-('01_Вводные'!$B$15+'01_Вводные'!$B$311)))*'01_Вводные'!$B$298*MAX(0,'01_Вводные'!$B$22-1)</f>
        <v/>
      </c>
      <c r="W8" s="185">
        <f>IF(OR(22&lt;='01_Вводные'!$B$15,22-'01_Вводные'!$B$15&gt;60),0,INDEX('04_Продажи'!$B$15:$BI$15,1,22-'01_Вводные'!$B$15))*'01_Вводные'!$B$298*MIN(1,'01_Вводные'!$B$22)+IF(OR(22&lt;=('01_Вводные'!$B$15+'01_Вводные'!$B$311),22-('01_Вводные'!$B$15+'01_Вводные'!$B$311)&gt;60),0,INDEX('04_Продажи'!$B$15:$BI$15,1,22-('01_Вводные'!$B$15+'01_Вводные'!$B$311)))*'01_Вводные'!$B$298*MAX(0,'01_Вводные'!$B$22-1)</f>
        <v/>
      </c>
      <c r="X8" s="185">
        <f>IF(OR(23&lt;='01_Вводные'!$B$15,23-'01_Вводные'!$B$15&gt;60),0,INDEX('04_Продажи'!$B$15:$BI$15,1,23-'01_Вводные'!$B$15))*'01_Вводные'!$B$298*MIN(1,'01_Вводные'!$B$22)+IF(OR(23&lt;=('01_Вводные'!$B$15+'01_Вводные'!$B$311),23-('01_Вводные'!$B$15+'01_Вводные'!$B$311)&gt;60),0,INDEX('04_Продажи'!$B$15:$BI$15,1,23-('01_Вводные'!$B$15+'01_Вводные'!$B$311)))*'01_Вводные'!$B$298*MAX(0,'01_Вводные'!$B$22-1)</f>
        <v/>
      </c>
      <c r="Y8" s="185">
        <f>IF(OR(24&lt;='01_Вводные'!$B$15,24-'01_Вводные'!$B$15&gt;60),0,INDEX('04_Продажи'!$B$15:$BI$15,1,24-'01_Вводные'!$B$15))*'01_Вводные'!$B$298*MIN(1,'01_Вводные'!$B$22)+IF(OR(24&lt;=('01_Вводные'!$B$15+'01_Вводные'!$B$311),24-('01_Вводные'!$B$15+'01_Вводные'!$B$311)&gt;60),0,INDEX('04_Продажи'!$B$15:$BI$15,1,24-('01_Вводные'!$B$15+'01_Вводные'!$B$311)))*'01_Вводные'!$B$298*MAX(0,'01_Вводные'!$B$22-1)</f>
        <v/>
      </c>
      <c r="Z8" s="185">
        <f>IF(OR(25&lt;='01_Вводные'!$B$15,25-'01_Вводные'!$B$15&gt;60),0,INDEX('04_Продажи'!$B$15:$BI$15,1,25-'01_Вводные'!$B$15))*'01_Вводные'!$B$298*MIN(1,'01_Вводные'!$B$22)+IF(OR(25&lt;=('01_Вводные'!$B$15+'01_Вводные'!$B$311),25-('01_Вводные'!$B$15+'01_Вводные'!$B$311)&gt;60),0,INDEX('04_Продажи'!$B$15:$BI$15,1,25-('01_Вводные'!$B$15+'01_Вводные'!$B$311)))*'01_Вводные'!$B$298*MAX(0,'01_Вводные'!$B$22-1)</f>
        <v/>
      </c>
      <c r="AA8" s="185">
        <f>IF(OR(26&lt;='01_Вводные'!$B$15,26-'01_Вводные'!$B$15&gt;60),0,INDEX('04_Продажи'!$B$15:$BI$15,1,26-'01_Вводные'!$B$15))*'01_Вводные'!$B$298*MIN(1,'01_Вводные'!$B$22)+IF(OR(26&lt;=('01_Вводные'!$B$15+'01_Вводные'!$B$311),26-('01_Вводные'!$B$15+'01_Вводные'!$B$311)&gt;60),0,INDEX('04_Продажи'!$B$15:$BI$15,1,26-('01_Вводные'!$B$15+'01_Вводные'!$B$311)))*'01_Вводные'!$B$298*MAX(0,'01_Вводные'!$B$22-1)</f>
        <v/>
      </c>
      <c r="AB8" s="185">
        <f>IF(OR(27&lt;='01_Вводные'!$B$15,27-'01_Вводные'!$B$15&gt;60),0,INDEX('04_Продажи'!$B$15:$BI$15,1,27-'01_Вводные'!$B$15))*'01_Вводные'!$B$298*MIN(1,'01_Вводные'!$B$22)+IF(OR(27&lt;=('01_Вводные'!$B$15+'01_Вводные'!$B$311),27-('01_Вводные'!$B$15+'01_Вводные'!$B$311)&gt;60),0,INDEX('04_Продажи'!$B$15:$BI$15,1,27-('01_Вводные'!$B$15+'01_Вводные'!$B$311)))*'01_Вводные'!$B$298*MAX(0,'01_Вводные'!$B$22-1)</f>
        <v/>
      </c>
      <c r="AC8" s="185">
        <f>IF(OR(28&lt;='01_Вводные'!$B$15,28-'01_Вводные'!$B$15&gt;60),0,INDEX('04_Продажи'!$B$15:$BI$15,1,28-'01_Вводные'!$B$15))*'01_Вводные'!$B$298*MIN(1,'01_Вводные'!$B$22)+IF(OR(28&lt;=('01_Вводные'!$B$15+'01_Вводные'!$B$311),28-('01_Вводные'!$B$15+'01_Вводные'!$B$311)&gt;60),0,INDEX('04_Продажи'!$B$15:$BI$15,1,28-('01_Вводные'!$B$15+'01_Вводные'!$B$311)))*'01_Вводные'!$B$298*MAX(0,'01_Вводные'!$B$22-1)</f>
        <v/>
      </c>
      <c r="AD8" s="185">
        <f>IF(OR(29&lt;='01_Вводные'!$B$15,29-'01_Вводные'!$B$15&gt;60),0,INDEX('04_Продажи'!$B$15:$BI$15,1,29-'01_Вводные'!$B$15))*'01_Вводные'!$B$298*MIN(1,'01_Вводные'!$B$22)+IF(OR(29&lt;=('01_Вводные'!$B$15+'01_Вводные'!$B$311),29-('01_Вводные'!$B$15+'01_Вводные'!$B$311)&gt;60),0,INDEX('04_Продажи'!$B$15:$BI$15,1,29-('01_Вводные'!$B$15+'01_Вводные'!$B$311)))*'01_Вводные'!$B$298*MAX(0,'01_Вводные'!$B$22-1)</f>
        <v/>
      </c>
      <c r="AE8" s="185">
        <f>IF(OR(30&lt;='01_Вводные'!$B$15,30-'01_Вводные'!$B$15&gt;60),0,INDEX('04_Продажи'!$B$15:$BI$15,1,30-'01_Вводные'!$B$15))*'01_Вводные'!$B$298*MIN(1,'01_Вводные'!$B$22)+IF(OR(30&lt;=('01_Вводные'!$B$15+'01_Вводные'!$B$311),30-('01_Вводные'!$B$15+'01_Вводные'!$B$311)&gt;60),0,INDEX('04_Продажи'!$B$15:$BI$15,1,30-('01_Вводные'!$B$15+'01_Вводные'!$B$311)))*'01_Вводные'!$B$298*MAX(0,'01_Вводные'!$B$22-1)</f>
        <v/>
      </c>
      <c r="AF8" s="185">
        <f>IF(OR(31&lt;='01_Вводные'!$B$15,31-'01_Вводные'!$B$15&gt;60),0,INDEX('04_Продажи'!$B$15:$BI$15,1,31-'01_Вводные'!$B$15))*'01_Вводные'!$B$298*MIN(1,'01_Вводные'!$B$22)+IF(OR(31&lt;=('01_Вводные'!$B$15+'01_Вводные'!$B$311),31-('01_Вводные'!$B$15+'01_Вводные'!$B$311)&gt;60),0,INDEX('04_Продажи'!$B$15:$BI$15,1,31-('01_Вводные'!$B$15+'01_Вводные'!$B$311)))*'01_Вводные'!$B$298*MAX(0,'01_Вводные'!$B$22-1)</f>
        <v/>
      </c>
      <c r="AG8" s="185">
        <f>IF(OR(32&lt;='01_Вводные'!$B$15,32-'01_Вводные'!$B$15&gt;60),0,INDEX('04_Продажи'!$B$15:$BI$15,1,32-'01_Вводные'!$B$15))*'01_Вводные'!$B$298*MIN(1,'01_Вводные'!$B$22)+IF(OR(32&lt;=('01_Вводные'!$B$15+'01_Вводные'!$B$311),32-('01_Вводные'!$B$15+'01_Вводные'!$B$311)&gt;60),0,INDEX('04_Продажи'!$B$15:$BI$15,1,32-('01_Вводные'!$B$15+'01_Вводные'!$B$311)))*'01_Вводные'!$B$298*MAX(0,'01_Вводные'!$B$22-1)</f>
        <v/>
      </c>
      <c r="AH8" s="185">
        <f>IF(OR(33&lt;='01_Вводные'!$B$15,33-'01_Вводные'!$B$15&gt;60),0,INDEX('04_Продажи'!$B$15:$BI$15,1,33-'01_Вводные'!$B$15))*'01_Вводные'!$B$298*MIN(1,'01_Вводные'!$B$22)+IF(OR(33&lt;=('01_Вводные'!$B$15+'01_Вводные'!$B$311),33-('01_Вводные'!$B$15+'01_Вводные'!$B$311)&gt;60),0,INDEX('04_Продажи'!$B$15:$BI$15,1,33-('01_Вводные'!$B$15+'01_Вводные'!$B$311)))*'01_Вводные'!$B$298*MAX(0,'01_Вводные'!$B$22-1)</f>
        <v/>
      </c>
      <c r="AI8" s="185">
        <f>IF(OR(34&lt;='01_Вводные'!$B$15,34-'01_Вводные'!$B$15&gt;60),0,INDEX('04_Продажи'!$B$15:$BI$15,1,34-'01_Вводные'!$B$15))*'01_Вводные'!$B$298*MIN(1,'01_Вводные'!$B$22)+IF(OR(34&lt;=('01_Вводные'!$B$15+'01_Вводные'!$B$311),34-('01_Вводные'!$B$15+'01_Вводные'!$B$311)&gt;60),0,INDEX('04_Продажи'!$B$15:$BI$15,1,34-('01_Вводные'!$B$15+'01_Вводные'!$B$311)))*'01_Вводные'!$B$298*MAX(0,'01_Вводные'!$B$22-1)</f>
        <v/>
      </c>
      <c r="AJ8" s="185">
        <f>IF(OR(35&lt;='01_Вводные'!$B$15,35-'01_Вводные'!$B$15&gt;60),0,INDEX('04_Продажи'!$B$15:$BI$15,1,35-'01_Вводные'!$B$15))*'01_Вводные'!$B$298*MIN(1,'01_Вводные'!$B$22)+IF(OR(35&lt;=('01_Вводные'!$B$15+'01_Вводные'!$B$311),35-('01_Вводные'!$B$15+'01_Вводные'!$B$311)&gt;60),0,INDEX('04_Продажи'!$B$15:$BI$15,1,35-('01_Вводные'!$B$15+'01_Вводные'!$B$311)))*'01_Вводные'!$B$298*MAX(0,'01_Вводные'!$B$22-1)</f>
        <v/>
      </c>
      <c r="AK8" s="185">
        <f>IF(OR(36&lt;='01_Вводные'!$B$15,36-'01_Вводные'!$B$15&gt;60),0,INDEX('04_Продажи'!$B$15:$BI$15,1,36-'01_Вводные'!$B$15))*'01_Вводные'!$B$298*MIN(1,'01_Вводные'!$B$22)+IF(OR(36&lt;=('01_Вводные'!$B$15+'01_Вводные'!$B$311),36-('01_Вводные'!$B$15+'01_Вводные'!$B$311)&gt;60),0,INDEX('04_Продажи'!$B$15:$BI$15,1,36-('01_Вводные'!$B$15+'01_Вводные'!$B$311)))*'01_Вводные'!$B$298*MAX(0,'01_Вводные'!$B$22-1)</f>
        <v/>
      </c>
      <c r="AL8" s="185">
        <f>IF(OR(37&lt;='01_Вводные'!$B$15,37-'01_Вводные'!$B$15&gt;60),0,INDEX('04_Продажи'!$B$15:$BI$15,1,37-'01_Вводные'!$B$15))*'01_Вводные'!$B$298*MIN(1,'01_Вводные'!$B$22)+IF(OR(37&lt;=('01_Вводные'!$B$15+'01_Вводные'!$B$311),37-('01_Вводные'!$B$15+'01_Вводные'!$B$311)&gt;60),0,INDEX('04_Продажи'!$B$15:$BI$15,1,37-('01_Вводные'!$B$15+'01_Вводные'!$B$311)))*'01_Вводные'!$B$298*MAX(0,'01_Вводные'!$B$22-1)</f>
        <v/>
      </c>
      <c r="AM8" s="185">
        <f>IF(OR(38&lt;='01_Вводные'!$B$15,38-'01_Вводные'!$B$15&gt;60),0,INDEX('04_Продажи'!$B$15:$BI$15,1,38-'01_Вводные'!$B$15))*'01_Вводные'!$B$298*MIN(1,'01_Вводные'!$B$22)+IF(OR(38&lt;=('01_Вводные'!$B$15+'01_Вводные'!$B$311),38-('01_Вводные'!$B$15+'01_Вводные'!$B$311)&gt;60),0,INDEX('04_Продажи'!$B$15:$BI$15,1,38-('01_Вводные'!$B$15+'01_Вводные'!$B$311)))*'01_Вводные'!$B$298*MAX(0,'01_Вводные'!$B$22-1)</f>
        <v/>
      </c>
      <c r="AN8" s="185">
        <f>IF(OR(39&lt;='01_Вводные'!$B$15,39-'01_Вводные'!$B$15&gt;60),0,INDEX('04_Продажи'!$B$15:$BI$15,1,39-'01_Вводные'!$B$15))*'01_Вводные'!$B$298*MIN(1,'01_Вводные'!$B$22)+IF(OR(39&lt;=('01_Вводные'!$B$15+'01_Вводные'!$B$311),39-('01_Вводные'!$B$15+'01_Вводные'!$B$311)&gt;60),0,INDEX('04_Продажи'!$B$15:$BI$15,1,39-('01_Вводные'!$B$15+'01_Вводные'!$B$311)))*'01_Вводные'!$B$298*MAX(0,'01_Вводные'!$B$22-1)</f>
        <v/>
      </c>
      <c r="AO8" s="185">
        <f>IF(OR(40&lt;='01_Вводные'!$B$15,40-'01_Вводные'!$B$15&gt;60),0,INDEX('04_Продажи'!$B$15:$BI$15,1,40-'01_Вводные'!$B$15))*'01_Вводные'!$B$298*MIN(1,'01_Вводные'!$B$22)+IF(OR(40&lt;=('01_Вводные'!$B$15+'01_Вводные'!$B$311),40-('01_Вводные'!$B$15+'01_Вводные'!$B$311)&gt;60),0,INDEX('04_Продажи'!$B$15:$BI$15,1,40-('01_Вводные'!$B$15+'01_Вводные'!$B$311)))*'01_Вводные'!$B$298*MAX(0,'01_Вводные'!$B$22-1)</f>
        <v/>
      </c>
      <c r="AP8" s="185">
        <f>IF(OR(41&lt;='01_Вводные'!$B$15,41-'01_Вводные'!$B$15&gt;60),0,INDEX('04_Продажи'!$B$15:$BI$15,1,41-'01_Вводные'!$B$15))*'01_Вводные'!$B$298*MIN(1,'01_Вводные'!$B$22)+IF(OR(41&lt;=('01_Вводные'!$B$15+'01_Вводные'!$B$311),41-('01_Вводные'!$B$15+'01_Вводные'!$B$311)&gt;60),0,INDEX('04_Продажи'!$B$15:$BI$15,1,41-('01_Вводные'!$B$15+'01_Вводные'!$B$311)))*'01_Вводные'!$B$298*MAX(0,'01_Вводные'!$B$22-1)</f>
        <v/>
      </c>
      <c r="AQ8" s="185">
        <f>IF(OR(42&lt;='01_Вводные'!$B$15,42-'01_Вводные'!$B$15&gt;60),0,INDEX('04_Продажи'!$B$15:$BI$15,1,42-'01_Вводные'!$B$15))*'01_Вводные'!$B$298*MIN(1,'01_Вводные'!$B$22)+IF(OR(42&lt;=('01_Вводные'!$B$15+'01_Вводные'!$B$311),42-('01_Вводные'!$B$15+'01_Вводные'!$B$311)&gt;60),0,INDEX('04_Продажи'!$B$15:$BI$15,1,42-('01_Вводные'!$B$15+'01_Вводные'!$B$311)))*'01_Вводные'!$B$298*MAX(0,'01_Вводные'!$B$22-1)</f>
        <v/>
      </c>
      <c r="AR8" s="185">
        <f>IF(OR(43&lt;='01_Вводные'!$B$15,43-'01_Вводные'!$B$15&gt;60),0,INDEX('04_Продажи'!$B$15:$BI$15,1,43-'01_Вводные'!$B$15))*'01_Вводные'!$B$298*MIN(1,'01_Вводные'!$B$22)+IF(OR(43&lt;=('01_Вводные'!$B$15+'01_Вводные'!$B$311),43-('01_Вводные'!$B$15+'01_Вводные'!$B$311)&gt;60),0,INDEX('04_Продажи'!$B$15:$BI$15,1,43-('01_Вводные'!$B$15+'01_Вводные'!$B$311)))*'01_Вводные'!$B$298*MAX(0,'01_Вводные'!$B$22-1)</f>
        <v/>
      </c>
      <c r="AS8" s="185">
        <f>IF(OR(44&lt;='01_Вводные'!$B$15,44-'01_Вводные'!$B$15&gt;60),0,INDEX('04_Продажи'!$B$15:$BI$15,1,44-'01_Вводные'!$B$15))*'01_Вводные'!$B$298*MIN(1,'01_Вводные'!$B$22)+IF(OR(44&lt;=('01_Вводные'!$B$15+'01_Вводные'!$B$311),44-('01_Вводные'!$B$15+'01_Вводные'!$B$311)&gt;60),0,INDEX('04_Продажи'!$B$15:$BI$15,1,44-('01_Вводные'!$B$15+'01_Вводные'!$B$311)))*'01_Вводные'!$B$298*MAX(0,'01_Вводные'!$B$22-1)</f>
        <v/>
      </c>
      <c r="AT8" s="185">
        <f>IF(OR(45&lt;='01_Вводные'!$B$15,45-'01_Вводные'!$B$15&gt;60),0,INDEX('04_Продажи'!$B$15:$BI$15,1,45-'01_Вводные'!$B$15))*'01_Вводные'!$B$298*MIN(1,'01_Вводные'!$B$22)+IF(OR(45&lt;=('01_Вводные'!$B$15+'01_Вводные'!$B$311),45-('01_Вводные'!$B$15+'01_Вводные'!$B$311)&gt;60),0,INDEX('04_Продажи'!$B$15:$BI$15,1,45-('01_Вводные'!$B$15+'01_Вводные'!$B$311)))*'01_Вводные'!$B$298*MAX(0,'01_Вводные'!$B$22-1)</f>
        <v/>
      </c>
      <c r="AU8" s="185">
        <f>IF(OR(46&lt;='01_Вводные'!$B$15,46-'01_Вводные'!$B$15&gt;60),0,INDEX('04_Продажи'!$B$15:$BI$15,1,46-'01_Вводные'!$B$15))*'01_Вводные'!$B$298*MIN(1,'01_Вводные'!$B$22)+IF(OR(46&lt;=('01_Вводные'!$B$15+'01_Вводные'!$B$311),46-('01_Вводные'!$B$15+'01_Вводные'!$B$311)&gt;60),0,INDEX('04_Продажи'!$B$15:$BI$15,1,46-('01_Вводные'!$B$15+'01_Вводные'!$B$311)))*'01_Вводные'!$B$298*MAX(0,'01_Вводные'!$B$22-1)</f>
        <v/>
      </c>
      <c r="AV8" s="185">
        <f>IF(OR(47&lt;='01_Вводные'!$B$15,47-'01_Вводные'!$B$15&gt;60),0,INDEX('04_Продажи'!$B$15:$BI$15,1,47-'01_Вводные'!$B$15))*'01_Вводные'!$B$298*MIN(1,'01_Вводные'!$B$22)+IF(OR(47&lt;=('01_Вводные'!$B$15+'01_Вводные'!$B$311),47-('01_Вводные'!$B$15+'01_Вводные'!$B$311)&gt;60),0,INDEX('04_Продажи'!$B$15:$BI$15,1,47-('01_Вводные'!$B$15+'01_Вводные'!$B$311)))*'01_Вводные'!$B$298*MAX(0,'01_Вводные'!$B$22-1)</f>
        <v/>
      </c>
      <c r="AW8" s="185">
        <f>IF(OR(48&lt;='01_Вводные'!$B$15,48-'01_Вводные'!$B$15&gt;60),0,INDEX('04_Продажи'!$B$15:$BI$15,1,48-'01_Вводные'!$B$15))*'01_Вводные'!$B$298*MIN(1,'01_Вводные'!$B$22)+IF(OR(48&lt;=('01_Вводные'!$B$15+'01_Вводные'!$B$311),48-('01_Вводные'!$B$15+'01_Вводные'!$B$311)&gt;60),0,INDEX('04_Продажи'!$B$15:$BI$15,1,48-('01_Вводные'!$B$15+'01_Вводные'!$B$311)))*'01_Вводные'!$B$298*MAX(0,'01_Вводные'!$B$22-1)</f>
        <v/>
      </c>
      <c r="AX8" s="185">
        <f>IF(OR(49&lt;='01_Вводные'!$B$15,49-'01_Вводные'!$B$15&gt;60),0,INDEX('04_Продажи'!$B$15:$BI$15,1,49-'01_Вводные'!$B$15))*'01_Вводные'!$B$298*MIN(1,'01_Вводные'!$B$22)+IF(OR(49&lt;=('01_Вводные'!$B$15+'01_Вводные'!$B$311),49-('01_Вводные'!$B$15+'01_Вводные'!$B$311)&gt;60),0,INDEX('04_Продажи'!$B$15:$BI$15,1,49-('01_Вводные'!$B$15+'01_Вводные'!$B$311)))*'01_Вводные'!$B$298*MAX(0,'01_Вводные'!$B$22-1)</f>
        <v/>
      </c>
      <c r="AY8" s="185">
        <f>IF(OR(50&lt;='01_Вводные'!$B$15,50-'01_Вводные'!$B$15&gt;60),0,INDEX('04_Продажи'!$B$15:$BI$15,1,50-'01_Вводные'!$B$15))*'01_Вводные'!$B$298*MIN(1,'01_Вводные'!$B$22)+IF(OR(50&lt;=('01_Вводные'!$B$15+'01_Вводные'!$B$311),50-('01_Вводные'!$B$15+'01_Вводные'!$B$311)&gt;60),0,INDEX('04_Продажи'!$B$15:$BI$15,1,50-('01_Вводные'!$B$15+'01_Вводные'!$B$311)))*'01_Вводные'!$B$298*MAX(0,'01_Вводные'!$B$22-1)</f>
        <v/>
      </c>
      <c r="AZ8" s="185">
        <f>IF(OR(51&lt;='01_Вводные'!$B$15,51-'01_Вводные'!$B$15&gt;60),0,INDEX('04_Продажи'!$B$15:$BI$15,1,51-'01_Вводные'!$B$15))*'01_Вводные'!$B$298*MIN(1,'01_Вводные'!$B$22)+IF(OR(51&lt;=('01_Вводные'!$B$15+'01_Вводные'!$B$311),51-('01_Вводные'!$B$15+'01_Вводные'!$B$311)&gt;60),0,INDEX('04_Продажи'!$B$15:$BI$15,1,51-('01_Вводные'!$B$15+'01_Вводные'!$B$311)))*'01_Вводные'!$B$298*MAX(0,'01_Вводные'!$B$22-1)</f>
        <v/>
      </c>
      <c r="BA8" s="185">
        <f>IF(OR(52&lt;='01_Вводные'!$B$15,52-'01_Вводные'!$B$15&gt;60),0,INDEX('04_Продажи'!$B$15:$BI$15,1,52-'01_Вводные'!$B$15))*'01_Вводные'!$B$298*MIN(1,'01_Вводные'!$B$22)+IF(OR(52&lt;=('01_Вводные'!$B$15+'01_Вводные'!$B$311),52-('01_Вводные'!$B$15+'01_Вводные'!$B$311)&gt;60),0,INDEX('04_Продажи'!$B$15:$BI$15,1,52-('01_Вводные'!$B$15+'01_Вводные'!$B$311)))*'01_Вводные'!$B$298*MAX(0,'01_Вводные'!$B$22-1)</f>
        <v/>
      </c>
      <c r="BB8" s="185">
        <f>IF(OR(53&lt;='01_Вводные'!$B$15,53-'01_Вводные'!$B$15&gt;60),0,INDEX('04_Продажи'!$B$15:$BI$15,1,53-'01_Вводные'!$B$15))*'01_Вводные'!$B$298*MIN(1,'01_Вводные'!$B$22)+IF(OR(53&lt;=('01_Вводные'!$B$15+'01_Вводные'!$B$311),53-('01_Вводные'!$B$15+'01_Вводные'!$B$311)&gt;60),0,INDEX('04_Продажи'!$B$15:$BI$15,1,53-('01_Вводные'!$B$15+'01_Вводные'!$B$311)))*'01_Вводные'!$B$298*MAX(0,'01_Вводные'!$B$22-1)</f>
        <v/>
      </c>
      <c r="BC8" s="185">
        <f>IF(OR(54&lt;='01_Вводные'!$B$15,54-'01_Вводные'!$B$15&gt;60),0,INDEX('04_Продажи'!$B$15:$BI$15,1,54-'01_Вводные'!$B$15))*'01_Вводные'!$B$298*MIN(1,'01_Вводные'!$B$22)+IF(OR(54&lt;=('01_Вводные'!$B$15+'01_Вводные'!$B$311),54-('01_Вводные'!$B$15+'01_Вводные'!$B$311)&gt;60),0,INDEX('04_Продажи'!$B$15:$BI$15,1,54-('01_Вводные'!$B$15+'01_Вводные'!$B$311)))*'01_Вводные'!$B$298*MAX(0,'01_Вводные'!$B$22-1)</f>
        <v/>
      </c>
      <c r="BD8" s="185">
        <f>IF(OR(55&lt;='01_Вводные'!$B$15,55-'01_Вводные'!$B$15&gt;60),0,INDEX('04_Продажи'!$B$15:$BI$15,1,55-'01_Вводные'!$B$15))*'01_Вводные'!$B$298*MIN(1,'01_Вводные'!$B$22)+IF(OR(55&lt;=('01_Вводные'!$B$15+'01_Вводные'!$B$311),55-('01_Вводные'!$B$15+'01_Вводные'!$B$311)&gt;60),0,INDEX('04_Продажи'!$B$15:$BI$15,1,55-('01_Вводные'!$B$15+'01_Вводные'!$B$311)))*'01_Вводные'!$B$298*MAX(0,'01_Вводные'!$B$22-1)</f>
        <v/>
      </c>
      <c r="BE8" s="185">
        <f>IF(OR(56&lt;='01_Вводные'!$B$15,56-'01_Вводные'!$B$15&gt;60),0,INDEX('04_Продажи'!$B$15:$BI$15,1,56-'01_Вводные'!$B$15))*'01_Вводные'!$B$298*MIN(1,'01_Вводные'!$B$22)+IF(OR(56&lt;=('01_Вводные'!$B$15+'01_Вводные'!$B$311),56-('01_Вводные'!$B$15+'01_Вводные'!$B$311)&gt;60),0,INDEX('04_Продажи'!$B$15:$BI$15,1,56-('01_Вводные'!$B$15+'01_Вводные'!$B$311)))*'01_Вводные'!$B$298*MAX(0,'01_Вводные'!$B$22-1)</f>
        <v/>
      </c>
      <c r="BF8" s="185">
        <f>IF(OR(57&lt;='01_Вводные'!$B$15,57-'01_Вводные'!$B$15&gt;60),0,INDEX('04_Продажи'!$B$15:$BI$15,1,57-'01_Вводные'!$B$15))*'01_Вводные'!$B$298*MIN(1,'01_Вводные'!$B$22)+IF(OR(57&lt;=('01_Вводные'!$B$15+'01_Вводные'!$B$311),57-('01_Вводные'!$B$15+'01_Вводные'!$B$311)&gt;60),0,INDEX('04_Продажи'!$B$15:$BI$15,1,57-('01_Вводные'!$B$15+'01_Вводные'!$B$311)))*'01_Вводные'!$B$298*MAX(0,'01_Вводные'!$B$22-1)</f>
        <v/>
      </c>
      <c r="BG8" s="185">
        <f>IF(OR(58&lt;='01_Вводные'!$B$15,58-'01_Вводные'!$B$15&gt;60),0,INDEX('04_Продажи'!$B$15:$BI$15,1,58-'01_Вводные'!$B$15))*'01_Вводные'!$B$298*MIN(1,'01_Вводные'!$B$22)+IF(OR(58&lt;=('01_Вводные'!$B$15+'01_Вводные'!$B$311),58-('01_Вводные'!$B$15+'01_Вводные'!$B$311)&gt;60),0,INDEX('04_Продажи'!$B$15:$BI$15,1,58-('01_Вводные'!$B$15+'01_Вводные'!$B$311)))*'01_Вводные'!$B$298*MAX(0,'01_Вводные'!$B$22-1)</f>
        <v/>
      </c>
      <c r="BH8" s="185">
        <f>IF(OR(59&lt;='01_Вводные'!$B$15,59-'01_Вводные'!$B$15&gt;60),0,INDEX('04_Продажи'!$B$15:$BI$15,1,59-'01_Вводные'!$B$15))*'01_Вводные'!$B$298*MIN(1,'01_Вводные'!$B$22)+IF(OR(59&lt;=('01_Вводные'!$B$15+'01_Вводные'!$B$311),59-('01_Вводные'!$B$15+'01_Вводные'!$B$311)&gt;60),0,INDEX('04_Продажи'!$B$15:$BI$15,1,59-('01_Вводные'!$B$15+'01_Вводные'!$B$311)))*'01_Вводные'!$B$298*MAX(0,'01_Вводные'!$B$22-1)</f>
        <v/>
      </c>
      <c r="BI8" s="185">
        <f>IF(OR(60&lt;='01_Вводные'!$B$15,60-'01_Вводные'!$B$15&gt;60),0,INDEX('04_Продажи'!$B$15:$BI$15,1,60-'01_Вводные'!$B$15))*'01_Вводные'!$B$298*MIN(1,'01_Вводные'!$B$22)+IF(OR(60&lt;=('01_Вводные'!$B$15+'01_Вводные'!$B$311),60-('01_Вводные'!$B$15+'01_Вводные'!$B$311)&gt;60),0,INDEX('04_Продажи'!$B$15:$BI$15,1,60-('01_Вводные'!$B$15+'01_Вводные'!$B$311)))*'01_Вводные'!$B$298*MAX(0,'01_Вводные'!$B$22-1)</f>
        <v/>
      </c>
      <c r="BJ8" s="185">
        <f>IF(OR(61&lt;='01_Вводные'!$B$15,61-'01_Вводные'!$B$15&gt;60),0,INDEX('04_Продажи'!$B$15:$BI$15,1,61-'01_Вводные'!$B$15))*'01_Вводные'!$B$298*MIN(1,'01_Вводные'!$B$22)+IF(OR(61&lt;=('01_Вводные'!$B$15+'01_Вводные'!$B$311),61-('01_Вводные'!$B$15+'01_Вводные'!$B$311)&gt;60),0,INDEX('04_Продажи'!$B$15:$BI$15,1,61-('01_Вводные'!$B$15+'01_Вводные'!$B$311)))*'01_Вводные'!$B$298*MAX(0,'01_Вводные'!$B$22-1)</f>
        <v/>
      </c>
      <c r="BK8" s="185">
        <f>IF(OR(62&lt;='01_Вводные'!$B$15,62-'01_Вводные'!$B$15&gt;60),0,INDEX('04_Продажи'!$B$15:$BI$15,1,62-'01_Вводные'!$B$15))*'01_Вводные'!$B$298*MIN(1,'01_Вводные'!$B$22)+IF(OR(62&lt;=('01_Вводные'!$B$15+'01_Вводные'!$B$311),62-('01_Вводные'!$B$15+'01_Вводные'!$B$311)&gt;60),0,INDEX('04_Продажи'!$B$15:$BI$15,1,62-('01_Вводные'!$B$15+'01_Вводные'!$B$311)))*'01_Вводные'!$B$298*MAX(0,'01_Вводные'!$B$22-1)</f>
        <v/>
      </c>
      <c r="BL8" s="185">
        <f>IF(OR(63&lt;='01_Вводные'!$B$15,63-'01_Вводные'!$B$15&gt;60),0,INDEX('04_Продажи'!$B$15:$BI$15,1,63-'01_Вводные'!$B$15))*'01_Вводные'!$B$298*MIN(1,'01_Вводные'!$B$22)+IF(OR(63&lt;=('01_Вводные'!$B$15+'01_Вводные'!$B$311),63-('01_Вводные'!$B$15+'01_Вводные'!$B$311)&gt;60),0,INDEX('04_Продажи'!$B$15:$BI$15,1,63-('01_Вводные'!$B$15+'01_Вводные'!$B$311)))*'01_Вводные'!$B$298*MAX(0,'01_Вводные'!$B$22-1)</f>
        <v/>
      </c>
      <c r="BM8" s="185">
        <f>IF(OR(64&lt;='01_Вводные'!$B$15,64-'01_Вводные'!$B$15&gt;60),0,INDEX('04_Продажи'!$B$15:$BI$15,1,64-'01_Вводные'!$B$15))*'01_Вводные'!$B$298*MIN(1,'01_Вводные'!$B$22)+IF(OR(64&lt;=('01_Вводные'!$B$15+'01_Вводные'!$B$311),64-('01_Вводные'!$B$15+'01_Вводные'!$B$311)&gt;60),0,INDEX('04_Продажи'!$B$15:$BI$15,1,64-('01_Вводные'!$B$15+'01_Вводные'!$B$311)))*'01_Вводные'!$B$298*MAX(0,'01_Вводные'!$B$22-1)</f>
        <v/>
      </c>
      <c r="BN8" s="185">
        <f>IF(OR(65&lt;='01_Вводные'!$B$15,65-'01_Вводные'!$B$15&gt;60),0,INDEX('04_Продажи'!$B$15:$BI$15,1,65-'01_Вводные'!$B$15))*'01_Вводные'!$B$298*MIN(1,'01_Вводные'!$B$22)+IF(OR(65&lt;=('01_Вводные'!$B$15+'01_Вводные'!$B$311),65-('01_Вводные'!$B$15+'01_Вводные'!$B$311)&gt;60),0,INDEX('04_Продажи'!$B$15:$BI$15,1,65-('01_Вводные'!$B$15+'01_Вводные'!$B$311)))*'01_Вводные'!$B$298*MAX(0,'01_Вводные'!$B$22-1)</f>
        <v/>
      </c>
      <c r="BO8" s="185">
        <f>IF(OR(66&lt;='01_Вводные'!$B$15,66-'01_Вводные'!$B$15&gt;60),0,INDEX('04_Продажи'!$B$15:$BI$15,1,66-'01_Вводные'!$B$15))*'01_Вводные'!$B$298*MIN(1,'01_Вводные'!$B$22)+IF(OR(66&lt;=('01_Вводные'!$B$15+'01_Вводные'!$B$311),66-('01_Вводные'!$B$15+'01_Вводные'!$B$311)&gt;60),0,INDEX('04_Продажи'!$B$15:$BI$15,1,66-('01_Вводные'!$B$15+'01_Вводные'!$B$311)))*'01_Вводные'!$B$298*MAX(0,'01_Вводные'!$B$22-1)</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SUMPRODUCT(('01_Вводные'!$D$314:$D$318*'01_Вводные'!$B$314:$B$318*IF('01_Вводные'!$B$9=0,0,B11/'01_Вводные'!$B$9)+B20*'18_Календарь_тарифы'!B8*'01_Вводные'!$C$314:$C$318*('01_Вводные'!$E$314:$E$318*(B$3&lt;'01_Вводные'!$B$245)+'01_Вводные'!$B$57*(B$3&gt;='01_Вводные'!$B$245))+ABS('01_Вводные'!$D$314:$D$318*'01_Вводные'!$B$314:$B$318*IF('01_Вводные'!$B$9=0,0,B11/'01_Вводные'!$B$9)-B20*'18_Календарь_тарифы'!B8*'01_Вводные'!$C$314:$C$318*('01_Вводные'!$E$314:$E$318*(B$3&lt;'01_Вводные'!$B$245)+'01_Вводные'!$B$57*(B$3&gt;='01_Вводные'!$B$245))))/2)</f>
        <v/>
      </c>
      <c r="C28" s="185">
        <f>SUMPRODUCT(('01_Вводные'!$D$314:$D$318*'01_Вводные'!$B$314:$B$318*IF('01_Вводные'!$B$9=0,0,C11/'01_Вводные'!$B$9)+C20*'18_Календарь_тарифы'!C8*'01_Вводные'!$C$314:$C$318*('01_Вводные'!$E$314:$E$318*(C$3&lt;'01_Вводные'!$B$245)+'01_Вводные'!$B$57*(C$3&gt;='01_Вводные'!$B$245))+ABS('01_Вводные'!$D$314:$D$318*'01_Вводные'!$B$314:$B$318*IF('01_Вводные'!$B$9=0,0,C11/'01_Вводные'!$B$9)-C20*'18_Календарь_тарифы'!C8*'01_Вводные'!$C$314:$C$318*('01_Вводные'!$E$314:$E$318*(C$3&lt;'01_Вводные'!$B$245)+'01_Вводные'!$B$57*(C$3&gt;='01_Вводные'!$B$245))))/2)</f>
        <v/>
      </c>
      <c r="D28" s="185">
        <f>SUMPRODUCT(('01_Вводные'!$D$314:$D$318*'01_Вводные'!$B$314:$B$318*IF('01_Вводные'!$B$9=0,0,D11/'01_Вводные'!$B$9)+D20*'18_Календарь_тарифы'!D8*'01_Вводные'!$C$314:$C$318*('01_Вводные'!$E$314:$E$318*(D$3&lt;'01_Вводные'!$B$245)+'01_Вводные'!$B$57*(D$3&gt;='01_Вводные'!$B$245))+ABS('01_Вводные'!$D$314:$D$318*'01_Вводные'!$B$314:$B$318*IF('01_Вводные'!$B$9=0,0,D11/'01_Вводные'!$B$9)-D20*'18_Календарь_тарифы'!D8*'01_Вводные'!$C$314:$C$318*('01_Вводные'!$E$314:$E$318*(D$3&lt;'01_Вводные'!$B$245)+'01_Вводные'!$B$57*(D$3&gt;='01_Вводные'!$B$245))))/2)</f>
        <v/>
      </c>
      <c r="E28" s="185">
        <f>SUMPRODUCT(('01_Вводные'!$D$314:$D$318*'01_Вводные'!$B$314:$B$318*IF('01_Вводные'!$B$9=0,0,E11/'01_Вводные'!$B$9)+E20*'18_Календарь_тарифы'!E8*'01_Вводные'!$C$314:$C$318*('01_Вводные'!$E$314:$E$318*(E$3&lt;'01_Вводные'!$B$245)+'01_Вводные'!$B$57*(E$3&gt;='01_Вводные'!$B$245))+ABS('01_Вводные'!$D$314:$D$318*'01_Вводные'!$B$314:$B$318*IF('01_Вводные'!$B$9=0,0,E11/'01_Вводные'!$B$9)-E20*'18_Календарь_тарифы'!E8*'01_Вводные'!$C$314:$C$318*('01_Вводные'!$E$314:$E$318*(E$3&lt;'01_Вводные'!$B$245)+'01_Вводные'!$B$57*(E$3&gt;='01_Вводные'!$B$245))))/2)</f>
        <v/>
      </c>
      <c r="F28" s="185">
        <f>SUMPRODUCT(('01_Вводные'!$D$314:$D$318*'01_Вводные'!$B$314:$B$318*IF('01_Вводные'!$B$9=0,0,F11/'01_Вводные'!$B$9)+F20*'18_Календарь_тарифы'!F8*'01_Вводные'!$C$314:$C$318*('01_Вводные'!$E$314:$E$318*(F$3&lt;'01_Вводные'!$B$245)+'01_Вводные'!$B$57*(F$3&gt;='01_Вводные'!$B$245))+ABS('01_Вводные'!$D$314:$D$318*'01_Вводные'!$B$314:$B$318*IF('01_Вводные'!$B$9=0,0,F11/'01_Вводные'!$B$9)-F20*'18_Календарь_тарифы'!F8*'01_Вводные'!$C$314:$C$318*('01_Вводные'!$E$314:$E$318*(F$3&lt;'01_Вводные'!$B$245)+'01_Вводные'!$B$57*(F$3&gt;='01_Вводные'!$B$245))))/2)</f>
        <v/>
      </c>
      <c r="G28" s="185">
        <f>SUMPRODUCT(('01_Вводные'!$D$314:$D$318*'01_Вводные'!$B$314:$B$318*IF('01_Вводные'!$B$9=0,0,G11/'01_Вводные'!$B$9)+G20*'18_Календарь_тарифы'!G8*'01_Вводные'!$C$314:$C$318*('01_Вводные'!$E$314:$E$318*(G$3&lt;'01_Вводные'!$B$245)+'01_Вводные'!$B$57*(G$3&gt;='01_Вводные'!$B$245))+ABS('01_Вводные'!$D$314:$D$318*'01_Вводные'!$B$314:$B$318*IF('01_Вводные'!$B$9=0,0,G11/'01_Вводные'!$B$9)-G20*'18_Календарь_тарифы'!G8*'01_Вводные'!$C$314:$C$318*('01_Вводные'!$E$314:$E$318*(G$3&lt;'01_Вводные'!$B$245)+'01_Вводные'!$B$57*(G$3&gt;='01_Вводные'!$B$245))))/2)</f>
        <v/>
      </c>
      <c r="H28" s="185">
        <f>SUMPRODUCT(('01_Вводные'!$D$314:$D$318*'01_Вводные'!$B$314:$B$318*IF('01_Вводные'!$B$9=0,0,H11/'01_Вводные'!$B$9)+H20*'18_Календарь_тарифы'!H8*'01_Вводные'!$C$314:$C$318*('01_Вводные'!$E$314:$E$318*(H$3&lt;'01_Вводные'!$B$245)+'01_Вводные'!$B$57*(H$3&gt;='01_Вводные'!$B$245))+ABS('01_Вводные'!$D$314:$D$318*'01_Вводные'!$B$314:$B$318*IF('01_Вводные'!$B$9=0,0,H11/'01_Вводные'!$B$9)-H20*'18_Календарь_тарифы'!H8*'01_Вводные'!$C$314:$C$318*('01_Вводные'!$E$314:$E$318*(H$3&lt;'01_Вводные'!$B$245)+'01_Вводные'!$B$57*(H$3&gt;='01_Вводные'!$B$245))))/2)</f>
        <v/>
      </c>
      <c r="I28" s="185">
        <f>SUMPRODUCT(('01_Вводные'!$D$314:$D$318*'01_Вводные'!$B$314:$B$318*IF('01_Вводные'!$B$9=0,0,I11/'01_Вводные'!$B$9)+I20*'18_Календарь_тарифы'!I8*'01_Вводные'!$C$314:$C$318*('01_Вводные'!$E$314:$E$318*(I$3&lt;'01_Вводные'!$B$245)+'01_Вводные'!$B$57*(I$3&gt;='01_Вводные'!$B$245))+ABS('01_Вводные'!$D$314:$D$318*'01_Вводные'!$B$314:$B$318*IF('01_Вводные'!$B$9=0,0,I11/'01_Вводные'!$B$9)-I20*'18_Календарь_тарифы'!I8*'01_Вводные'!$C$314:$C$318*('01_Вводные'!$E$314:$E$318*(I$3&lt;'01_Вводные'!$B$245)+'01_Вводные'!$B$57*(I$3&gt;='01_Вводные'!$B$245))))/2)</f>
        <v/>
      </c>
      <c r="J28" s="185">
        <f>SUMPRODUCT(('01_Вводные'!$D$314:$D$318*'01_Вводные'!$B$314:$B$318*IF('01_Вводные'!$B$9=0,0,J11/'01_Вводные'!$B$9)+J20*'18_Календарь_тарифы'!J8*'01_Вводные'!$C$314:$C$318*('01_Вводные'!$E$314:$E$318*(J$3&lt;'01_Вводные'!$B$245)+'01_Вводные'!$B$57*(J$3&gt;='01_Вводные'!$B$245))+ABS('01_Вводные'!$D$314:$D$318*'01_Вводные'!$B$314:$B$318*IF('01_Вводные'!$B$9=0,0,J11/'01_Вводные'!$B$9)-J20*'18_Календарь_тарифы'!J8*'01_Вводные'!$C$314:$C$318*('01_Вводные'!$E$314:$E$318*(J$3&lt;'01_Вводные'!$B$245)+'01_Вводные'!$B$57*(J$3&gt;='01_Вводные'!$B$245))))/2)</f>
        <v/>
      </c>
      <c r="K28" s="185">
        <f>SUMPRODUCT(('01_Вводные'!$D$314:$D$318*'01_Вводные'!$B$314:$B$318*IF('01_Вводные'!$B$9=0,0,K11/'01_Вводные'!$B$9)+K20*'18_Календарь_тарифы'!K8*'01_Вводные'!$C$314:$C$318*('01_Вводные'!$E$314:$E$318*(K$3&lt;'01_Вводные'!$B$245)+'01_Вводные'!$B$57*(K$3&gt;='01_Вводные'!$B$245))+ABS('01_Вводные'!$D$314:$D$318*'01_Вводные'!$B$314:$B$318*IF('01_Вводные'!$B$9=0,0,K11/'01_Вводные'!$B$9)-K20*'18_Календарь_тарифы'!K8*'01_Вводные'!$C$314:$C$318*('01_Вводные'!$E$314:$E$318*(K$3&lt;'01_Вводные'!$B$245)+'01_Вводные'!$B$57*(K$3&gt;='01_Вводные'!$B$245))))/2)</f>
        <v/>
      </c>
      <c r="L28" s="185">
        <f>SUMPRODUCT(('01_Вводные'!$D$314:$D$318*'01_Вводные'!$B$314:$B$318*IF('01_Вводные'!$B$9=0,0,L11/'01_Вводные'!$B$9)+L20*'18_Календарь_тарифы'!L8*'01_Вводные'!$C$314:$C$318*('01_Вводные'!$E$314:$E$318*(L$3&lt;'01_Вводные'!$B$245)+'01_Вводные'!$B$57*(L$3&gt;='01_Вводные'!$B$245))+ABS('01_Вводные'!$D$314:$D$318*'01_Вводные'!$B$314:$B$318*IF('01_Вводные'!$B$9=0,0,L11/'01_Вводные'!$B$9)-L20*'18_Календарь_тарифы'!L8*'01_Вводные'!$C$314:$C$318*('01_Вводные'!$E$314:$E$318*(L$3&lt;'01_Вводные'!$B$245)+'01_Вводные'!$B$57*(L$3&gt;='01_Вводные'!$B$245))))/2)</f>
        <v/>
      </c>
      <c r="M28" s="185">
        <f>SUMPRODUCT(('01_Вводные'!$D$314:$D$318*'01_Вводные'!$B$314:$B$318*IF('01_Вводные'!$B$9=0,0,M11/'01_Вводные'!$B$9)+M20*'18_Календарь_тарифы'!M8*'01_Вводные'!$C$314:$C$318*('01_Вводные'!$E$314:$E$318*(M$3&lt;'01_Вводные'!$B$245)+'01_Вводные'!$B$57*(M$3&gt;='01_Вводные'!$B$245))+ABS('01_Вводные'!$D$314:$D$318*'01_Вводные'!$B$314:$B$318*IF('01_Вводные'!$B$9=0,0,M11/'01_Вводные'!$B$9)-M20*'18_Календарь_тарифы'!M8*'01_Вводные'!$C$314:$C$318*('01_Вводные'!$E$314:$E$318*(M$3&lt;'01_Вводные'!$B$245)+'01_Вводные'!$B$57*(M$3&gt;='01_Вводные'!$B$245))))/2)</f>
        <v/>
      </c>
      <c r="N28" s="185">
        <f>SUMPRODUCT(('01_Вводные'!$D$314:$D$318*'01_Вводные'!$B$314:$B$318*IF('01_Вводные'!$B$9=0,0,N11/'01_Вводные'!$B$9)+N20*'18_Календарь_тарифы'!N8*'01_Вводные'!$C$314:$C$318*('01_Вводные'!$E$314:$E$318*(N$3&lt;'01_Вводные'!$B$245)+'01_Вводные'!$B$57*(N$3&gt;='01_Вводные'!$B$245))+ABS('01_Вводные'!$D$314:$D$318*'01_Вводные'!$B$314:$B$318*IF('01_Вводные'!$B$9=0,0,N11/'01_Вводные'!$B$9)-N20*'18_Календарь_тарифы'!N8*'01_Вводные'!$C$314:$C$318*('01_Вводные'!$E$314:$E$318*(N$3&lt;'01_Вводные'!$B$245)+'01_Вводные'!$B$57*(N$3&gt;='01_Вводные'!$B$245))))/2)</f>
        <v/>
      </c>
      <c r="O28" s="185">
        <f>SUMPRODUCT(('01_Вводные'!$D$314:$D$318*'01_Вводные'!$B$314:$B$318*IF('01_Вводные'!$B$9=0,0,O11/'01_Вводные'!$B$9)+O20*'18_Календарь_тарифы'!O8*'01_Вводные'!$C$314:$C$318*('01_Вводные'!$E$314:$E$318*(O$3&lt;'01_Вводные'!$B$245)+'01_Вводные'!$B$57*(O$3&gt;='01_Вводные'!$B$245))+ABS('01_Вводные'!$D$314:$D$318*'01_Вводные'!$B$314:$B$318*IF('01_Вводные'!$B$9=0,0,O11/'01_Вводные'!$B$9)-O20*'18_Календарь_тарифы'!O8*'01_Вводные'!$C$314:$C$318*('01_Вводные'!$E$314:$E$318*(O$3&lt;'01_Вводные'!$B$245)+'01_Вводные'!$B$57*(O$3&gt;='01_Вводные'!$B$245))))/2)</f>
        <v/>
      </c>
      <c r="P28" s="185">
        <f>SUMPRODUCT(('01_Вводные'!$D$314:$D$318*'01_Вводные'!$B$314:$B$318*IF('01_Вводные'!$B$9=0,0,P11/'01_Вводные'!$B$9)+P20*'18_Календарь_тарифы'!P8*'01_Вводные'!$C$314:$C$318*('01_Вводные'!$E$314:$E$318*(P$3&lt;'01_Вводные'!$B$245)+'01_Вводные'!$B$57*(P$3&gt;='01_Вводные'!$B$245))+ABS('01_Вводные'!$D$314:$D$318*'01_Вводные'!$B$314:$B$318*IF('01_Вводные'!$B$9=0,0,P11/'01_Вводные'!$B$9)-P20*'18_Календарь_тарифы'!P8*'01_Вводные'!$C$314:$C$318*('01_Вводные'!$E$314:$E$318*(P$3&lt;'01_Вводные'!$B$245)+'01_Вводные'!$B$57*(P$3&gt;='01_Вводные'!$B$245))))/2)</f>
        <v/>
      </c>
      <c r="Q28" s="185">
        <f>SUMPRODUCT(('01_Вводные'!$D$314:$D$318*'01_Вводные'!$B$314:$B$318*IF('01_Вводные'!$B$9=0,0,Q11/'01_Вводные'!$B$9)+Q20*'18_Календарь_тарифы'!Q8*'01_Вводные'!$C$314:$C$318*('01_Вводные'!$E$314:$E$318*(Q$3&lt;'01_Вводные'!$B$245)+'01_Вводные'!$B$57*(Q$3&gt;='01_Вводные'!$B$245))+ABS('01_Вводные'!$D$314:$D$318*'01_Вводные'!$B$314:$B$318*IF('01_Вводные'!$B$9=0,0,Q11/'01_Вводные'!$B$9)-Q20*'18_Календарь_тарифы'!Q8*'01_Вводные'!$C$314:$C$318*('01_Вводные'!$E$314:$E$318*(Q$3&lt;'01_Вводные'!$B$245)+'01_Вводные'!$B$57*(Q$3&gt;='01_Вводные'!$B$245))))/2)</f>
        <v/>
      </c>
      <c r="R28" s="185">
        <f>SUMPRODUCT(('01_Вводные'!$D$314:$D$318*'01_Вводные'!$B$314:$B$318*IF('01_Вводные'!$B$9=0,0,R11/'01_Вводные'!$B$9)+R20*'18_Календарь_тарифы'!R8*'01_Вводные'!$C$314:$C$318*('01_Вводные'!$E$314:$E$318*(R$3&lt;'01_Вводные'!$B$245)+'01_Вводные'!$B$57*(R$3&gt;='01_Вводные'!$B$245))+ABS('01_Вводные'!$D$314:$D$318*'01_Вводные'!$B$314:$B$318*IF('01_Вводные'!$B$9=0,0,R11/'01_Вводные'!$B$9)-R20*'18_Календарь_тарифы'!R8*'01_Вводные'!$C$314:$C$318*('01_Вводные'!$E$314:$E$318*(R$3&lt;'01_Вводные'!$B$245)+'01_Вводные'!$B$57*(R$3&gt;='01_Вводные'!$B$245))))/2)</f>
        <v/>
      </c>
      <c r="S28" s="185">
        <f>SUMPRODUCT(('01_Вводные'!$D$314:$D$318*'01_Вводные'!$B$314:$B$318*IF('01_Вводные'!$B$9=0,0,S11/'01_Вводные'!$B$9)+S20*'18_Календарь_тарифы'!S8*'01_Вводные'!$C$314:$C$318*('01_Вводные'!$E$314:$E$318*(S$3&lt;'01_Вводные'!$B$245)+'01_Вводные'!$B$57*(S$3&gt;='01_Вводные'!$B$245))+ABS('01_Вводные'!$D$314:$D$318*'01_Вводные'!$B$314:$B$318*IF('01_Вводные'!$B$9=0,0,S11/'01_Вводные'!$B$9)-S20*'18_Календарь_тарифы'!S8*'01_Вводные'!$C$314:$C$318*('01_Вводные'!$E$314:$E$318*(S$3&lt;'01_Вводные'!$B$245)+'01_Вводные'!$B$57*(S$3&gt;='01_Вводные'!$B$245))))/2)</f>
        <v/>
      </c>
      <c r="T28" s="185">
        <f>SUMPRODUCT(('01_Вводные'!$D$314:$D$318*'01_Вводные'!$B$314:$B$318*IF('01_Вводные'!$B$9=0,0,T11/'01_Вводные'!$B$9)+T20*'18_Календарь_тарифы'!T8*'01_Вводные'!$C$314:$C$318*('01_Вводные'!$E$314:$E$318*(T$3&lt;'01_Вводные'!$B$245)+'01_Вводные'!$B$57*(T$3&gt;='01_Вводные'!$B$245))+ABS('01_Вводные'!$D$314:$D$318*'01_Вводные'!$B$314:$B$318*IF('01_Вводные'!$B$9=0,0,T11/'01_Вводные'!$B$9)-T20*'18_Календарь_тарифы'!T8*'01_Вводные'!$C$314:$C$318*('01_Вводные'!$E$314:$E$318*(T$3&lt;'01_Вводные'!$B$245)+'01_Вводные'!$B$57*(T$3&gt;='01_Вводные'!$B$245))))/2)</f>
        <v/>
      </c>
      <c r="U28" s="185">
        <f>SUMPRODUCT(('01_Вводные'!$D$314:$D$318*'01_Вводные'!$B$314:$B$318*IF('01_Вводные'!$B$9=0,0,U11/'01_Вводные'!$B$9)+U20*'18_Календарь_тарифы'!U8*'01_Вводные'!$C$314:$C$318*('01_Вводные'!$E$314:$E$318*(U$3&lt;'01_Вводные'!$B$245)+'01_Вводные'!$B$57*(U$3&gt;='01_Вводные'!$B$245))+ABS('01_Вводные'!$D$314:$D$318*'01_Вводные'!$B$314:$B$318*IF('01_Вводные'!$B$9=0,0,U11/'01_Вводные'!$B$9)-U20*'18_Календарь_тарифы'!U8*'01_Вводные'!$C$314:$C$318*('01_Вводные'!$E$314:$E$318*(U$3&lt;'01_Вводные'!$B$245)+'01_Вводные'!$B$57*(U$3&gt;='01_Вводные'!$B$245))))/2)</f>
        <v/>
      </c>
      <c r="V28" s="185">
        <f>SUMPRODUCT(('01_Вводные'!$D$314:$D$318*'01_Вводные'!$B$314:$B$318*IF('01_Вводные'!$B$9=0,0,V11/'01_Вводные'!$B$9)+V20*'18_Календарь_тарифы'!V8*'01_Вводные'!$C$314:$C$318*('01_Вводные'!$E$314:$E$318*(V$3&lt;'01_Вводные'!$B$245)+'01_Вводные'!$B$57*(V$3&gt;='01_Вводные'!$B$245))+ABS('01_Вводные'!$D$314:$D$318*'01_Вводные'!$B$314:$B$318*IF('01_Вводные'!$B$9=0,0,V11/'01_Вводные'!$B$9)-V20*'18_Календарь_тарифы'!V8*'01_Вводные'!$C$314:$C$318*('01_Вводные'!$E$314:$E$318*(V$3&lt;'01_Вводные'!$B$245)+'01_Вводные'!$B$57*(V$3&gt;='01_Вводные'!$B$245))))/2)</f>
        <v/>
      </c>
      <c r="W28" s="185">
        <f>SUMPRODUCT(('01_Вводные'!$D$314:$D$318*'01_Вводные'!$B$314:$B$318*IF('01_Вводные'!$B$9=0,0,W11/'01_Вводные'!$B$9)+W20*'18_Календарь_тарифы'!W8*'01_Вводные'!$C$314:$C$318*('01_Вводные'!$E$314:$E$318*(W$3&lt;'01_Вводные'!$B$245)+'01_Вводные'!$B$57*(W$3&gt;='01_Вводные'!$B$245))+ABS('01_Вводные'!$D$314:$D$318*'01_Вводные'!$B$314:$B$318*IF('01_Вводные'!$B$9=0,0,W11/'01_Вводные'!$B$9)-W20*'18_Календарь_тарифы'!W8*'01_Вводные'!$C$314:$C$318*('01_Вводные'!$E$314:$E$318*(W$3&lt;'01_Вводные'!$B$245)+'01_Вводные'!$B$57*(W$3&gt;='01_Вводные'!$B$245))))/2)</f>
        <v/>
      </c>
      <c r="X28" s="185">
        <f>SUMPRODUCT(('01_Вводные'!$D$314:$D$318*'01_Вводные'!$B$314:$B$318*IF('01_Вводные'!$B$9=0,0,X11/'01_Вводные'!$B$9)+X20*'18_Календарь_тарифы'!X8*'01_Вводные'!$C$314:$C$318*('01_Вводные'!$E$314:$E$318*(X$3&lt;'01_Вводные'!$B$245)+'01_Вводные'!$B$57*(X$3&gt;='01_Вводные'!$B$245))+ABS('01_Вводные'!$D$314:$D$318*'01_Вводные'!$B$314:$B$318*IF('01_Вводные'!$B$9=0,0,X11/'01_Вводные'!$B$9)-X20*'18_Календарь_тарифы'!X8*'01_Вводные'!$C$314:$C$318*('01_Вводные'!$E$314:$E$318*(X$3&lt;'01_Вводные'!$B$245)+'01_Вводные'!$B$57*(X$3&gt;='01_Вводные'!$B$245))))/2)</f>
        <v/>
      </c>
      <c r="Y28" s="185">
        <f>SUMPRODUCT(('01_Вводные'!$D$314:$D$318*'01_Вводные'!$B$314:$B$318*IF('01_Вводные'!$B$9=0,0,Y11/'01_Вводные'!$B$9)+Y20*'18_Календарь_тарифы'!Y8*'01_Вводные'!$C$314:$C$318*('01_Вводные'!$E$314:$E$318*(Y$3&lt;'01_Вводные'!$B$245)+'01_Вводные'!$B$57*(Y$3&gt;='01_Вводные'!$B$245))+ABS('01_Вводные'!$D$314:$D$318*'01_Вводные'!$B$314:$B$318*IF('01_Вводные'!$B$9=0,0,Y11/'01_Вводные'!$B$9)-Y20*'18_Календарь_тарифы'!Y8*'01_Вводные'!$C$314:$C$318*('01_Вводные'!$E$314:$E$318*(Y$3&lt;'01_Вводные'!$B$245)+'01_Вводные'!$B$57*(Y$3&gt;='01_Вводные'!$B$245))))/2)</f>
        <v/>
      </c>
      <c r="Z28" s="185">
        <f>SUMPRODUCT(('01_Вводные'!$D$314:$D$318*'01_Вводные'!$B$314:$B$318*IF('01_Вводные'!$B$9=0,0,Z11/'01_Вводные'!$B$9)+Z20*'18_Календарь_тарифы'!Z8*'01_Вводные'!$C$314:$C$318*('01_Вводные'!$E$314:$E$318*(Z$3&lt;'01_Вводные'!$B$245)+'01_Вводные'!$B$57*(Z$3&gt;='01_Вводные'!$B$245))+ABS('01_Вводные'!$D$314:$D$318*'01_Вводные'!$B$314:$B$318*IF('01_Вводные'!$B$9=0,0,Z11/'01_Вводные'!$B$9)-Z20*'18_Календарь_тарифы'!Z8*'01_Вводные'!$C$314:$C$318*('01_Вводные'!$E$314:$E$318*(Z$3&lt;'01_Вводные'!$B$245)+'01_Вводные'!$B$57*(Z$3&gt;='01_Вводные'!$B$245))))/2)</f>
        <v/>
      </c>
      <c r="AA28" s="185">
        <f>SUMPRODUCT(('01_Вводные'!$D$314:$D$318*'01_Вводные'!$B$314:$B$318*IF('01_Вводные'!$B$9=0,0,AA11/'01_Вводные'!$B$9)+AA20*'18_Календарь_тарифы'!AA8*'01_Вводные'!$C$314:$C$318*('01_Вводные'!$E$314:$E$318*(AA$3&lt;'01_Вводные'!$B$245)+'01_Вводные'!$B$57*(AA$3&gt;='01_Вводные'!$B$245))+ABS('01_Вводные'!$D$314:$D$318*'01_Вводные'!$B$314:$B$318*IF('01_Вводные'!$B$9=0,0,AA11/'01_Вводные'!$B$9)-AA20*'18_Календарь_тарифы'!AA8*'01_Вводные'!$C$314:$C$318*('01_Вводные'!$E$314:$E$318*(AA$3&lt;'01_Вводные'!$B$245)+'01_Вводные'!$B$57*(AA$3&gt;='01_Вводные'!$B$245))))/2)</f>
        <v/>
      </c>
      <c r="AB28" s="185">
        <f>SUMPRODUCT(('01_Вводные'!$D$314:$D$318*'01_Вводные'!$B$314:$B$318*IF('01_Вводные'!$B$9=0,0,AB11/'01_Вводные'!$B$9)+AB20*'18_Календарь_тарифы'!AB8*'01_Вводные'!$C$314:$C$318*('01_Вводные'!$E$314:$E$318*(AB$3&lt;'01_Вводные'!$B$245)+'01_Вводные'!$B$57*(AB$3&gt;='01_Вводные'!$B$245))+ABS('01_Вводные'!$D$314:$D$318*'01_Вводные'!$B$314:$B$318*IF('01_Вводные'!$B$9=0,0,AB11/'01_Вводные'!$B$9)-AB20*'18_Календарь_тарифы'!AB8*'01_Вводные'!$C$314:$C$318*('01_Вводные'!$E$314:$E$318*(AB$3&lt;'01_Вводные'!$B$245)+'01_Вводные'!$B$57*(AB$3&gt;='01_Вводные'!$B$245))))/2)</f>
        <v/>
      </c>
      <c r="AC28" s="185">
        <f>SUMPRODUCT(('01_Вводные'!$D$314:$D$318*'01_Вводные'!$B$314:$B$318*IF('01_Вводные'!$B$9=0,0,AC11/'01_Вводные'!$B$9)+AC20*'18_Календарь_тарифы'!AC8*'01_Вводные'!$C$314:$C$318*('01_Вводные'!$E$314:$E$318*(AC$3&lt;'01_Вводные'!$B$245)+'01_Вводные'!$B$57*(AC$3&gt;='01_Вводные'!$B$245))+ABS('01_Вводные'!$D$314:$D$318*'01_Вводные'!$B$314:$B$318*IF('01_Вводные'!$B$9=0,0,AC11/'01_Вводные'!$B$9)-AC20*'18_Календарь_тарифы'!AC8*'01_Вводные'!$C$314:$C$318*('01_Вводные'!$E$314:$E$318*(AC$3&lt;'01_Вводные'!$B$245)+'01_Вводные'!$B$57*(AC$3&gt;='01_Вводные'!$B$245))))/2)</f>
        <v/>
      </c>
      <c r="AD28" s="185">
        <f>SUMPRODUCT(('01_Вводные'!$D$314:$D$318*'01_Вводные'!$B$314:$B$318*IF('01_Вводные'!$B$9=0,0,AD11/'01_Вводные'!$B$9)+AD20*'18_Календарь_тарифы'!AD8*'01_Вводные'!$C$314:$C$318*('01_Вводные'!$E$314:$E$318*(AD$3&lt;'01_Вводные'!$B$245)+'01_Вводные'!$B$57*(AD$3&gt;='01_Вводные'!$B$245))+ABS('01_Вводные'!$D$314:$D$318*'01_Вводные'!$B$314:$B$318*IF('01_Вводные'!$B$9=0,0,AD11/'01_Вводные'!$B$9)-AD20*'18_Календарь_тарифы'!AD8*'01_Вводные'!$C$314:$C$318*('01_Вводные'!$E$314:$E$318*(AD$3&lt;'01_Вводные'!$B$245)+'01_Вводные'!$B$57*(AD$3&gt;='01_Вводные'!$B$245))))/2)</f>
        <v/>
      </c>
      <c r="AE28" s="185">
        <f>SUMPRODUCT(('01_Вводные'!$D$314:$D$318*'01_Вводные'!$B$314:$B$318*IF('01_Вводные'!$B$9=0,0,AE11/'01_Вводные'!$B$9)+AE20*'18_Календарь_тарифы'!AE8*'01_Вводные'!$C$314:$C$318*('01_Вводные'!$E$314:$E$318*(AE$3&lt;'01_Вводные'!$B$245)+'01_Вводные'!$B$57*(AE$3&gt;='01_Вводные'!$B$245))+ABS('01_Вводные'!$D$314:$D$318*'01_Вводные'!$B$314:$B$318*IF('01_Вводные'!$B$9=0,0,AE11/'01_Вводные'!$B$9)-AE20*'18_Календарь_тарифы'!AE8*'01_Вводные'!$C$314:$C$318*('01_Вводные'!$E$314:$E$318*(AE$3&lt;'01_Вводные'!$B$245)+'01_Вводные'!$B$57*(AE$3&gt;='01_Вводные'!$B$245))))/2)</f>
        <v/>
      </c>
      <c r="AF28" s="185">
        <f>SUMPRODUCT(('01_Вводные'!$D$314:$D$318*'01_Вводные'!$B$314:$B$318*IF('01_Вводные'!$B$9=0,0,AF11/'01_Вводные'!$B$9)+AF20*'18_Календарь_тарифы'!AF8*'01_Вводные'!$C$314:$C$318*('01_Вводные'!$E$314:$E$318*(AF$3&lt;'01_Вводные'!$B$245)+'01_Вводные'!$B$57*(AF$3&gt;='01_Вводные'!$B$245))+ABS('01_Вводные'!$D$314:$D$318*'01_Вводные'!$B$314:$B$318*IF('01_Вводные'!$B$9=0,0,AF11/'01_Вводные'!$B$9)-AF20*'18_Календарь_тарифы'!AF8*'01_Вводные'!$C$314:$C$318*('01_Вводные'!$E$314:$E$318*(AF$3&lt;'01_Вводные'!$B$245)+'01_Вводные'!$B$57*(AF$3&gt;='01_Вводные'!$B$245))))/2)</f>
        <v/>
      </c>
      <c r="AG28" s="185">
        <f>SUMPRODUCT(('01_Вводные'!$D$314:$D$318*'01_Вводные'!$B$314:$B$318*IF('01_Вводные'!$B$9=0,0,AG11/'01_Вводные'!$B$9)+AG20*'18_Календарь_тарифы'!AG8*'01_Вводные'!$C$314:$C$318*('01_Вводные'!$E$314:$E$318*(AG$3&lt;'01_Вводные'!$B$245)+'01_Вводные'!$B$57*(AG$3&gt;='01_Вводные'!$B$245))+ABS('01_Вводные'!$D$314:$D$318*'01_Вводные'!$B$314:$B$318*IF('01_Вводные'!$B$9=0,0,AG11/'01_Вводные'!$B$9)-AG20*'18_Календарь_тарифы'!AG8*'01_Вводные'!$C$314:$C$318*('01_Вводные'!$E$314:$E$318*(AG$3&lt;'01_Вводные'!$B$245)+'01_Вводные'!$B$57*(AG$3&gt;='01_Вводные'!$B$245))))/2)</f>
        <v/>
      </c>
      <c r="AH28" s="185">
        <f>SUMPRODUCT(('01_Вводные'!$D$314:$D$318*'01_Вводные'!$B$314:$B$318*IF('01_Вводные'!$B$9=0,0,AH11/'01_Вводные'!$B$9)+AH20*'18_Календарь_тарифы'!AH8*'01_Вводные'!$C$314:$C$318*('01_Вводные'!$E$314:$E$318*(AH$3&lt;'01_Вводные'!$B$245)+'01_Вводные'!$B$57*(AH$3&gt;='01_Вводные'!$B$245))+ABS('01_Вводные'!$D$314:$D$318*'01_Вводные'!$B$314:$B$318*IF('01_Вводные'!$B$9=0,0,AH11/'01_Вводные'!$B$9)-AH20*'18_Календарь_тарифы'!AH8*'01_Вводные'!$C$314:$C$318*('01_Вводные'!$E$314:$E$318*(AH$3&lt;'01_Вводные'!$B$245)+'01_Вводные'!$B$57*(AH$3&gt;='01_Вводные'!$B$245))))/2)</f>
        <v/>
      </c>
      <c r="AI28" s="185">
        <f>SUMPRODUCT(('01_Вводные'!$D$314:$D$318*'01_Вводные'!$B$314:$B$318*IF('01_Вводные'!$B$9=0,0,AI11/'01_Вводные'!$B$9)+AI20*'18_Календарь_тарифы'!AI8*'01_Вводные'!$C$314:$C$318*('01_Вводные'!$E$314:$E$318*(AI$3&lt;'01_Вводные'!$B$245)+'01_Вводные'!$B$57*(AI$3&gt;='01_Вводные'!$B$245))+ABS('01_Вводные'!$D$314:$D$318*'01_Вводные'!$B$314:$B$318*IF('01_Вводные'!$B$9=0,0,AI11/'01_Вводные'!$B$9)-AI20*'18_Календарь_тарифы'!AI8*'01_Вводные'!$C$314:$C$318*('01_Вводные'!$E$314:$E$318*(AI$3&lt;'01_Вводные'!$B$245)+'01_Вводные'!$B$57*(AI$3&gt;='01_Вводные'!$B$245))))/2)</f>
        <v/>
      </c>
      <c r="AJ28" s="185">
        <f>SUMPRODUCT(('01_Вводные'!$D$314:$D$318*'01_Вводные'!$B$314:$B$318*IF('01_Вводные'!$B$9=0,0,AJ11/'01_Вводные'!$B$9)+AJ20*'18_Календарь_тарифы'!AJ8*'01_Вводные'!$C$314:$C$318*('01_Вводные'!$E$314:$E$318*(AJ$3&lt;'01_Вводные'!$B$245)+'01_Вводные'!$B$57*(AJ$3&gt;='01_Вводные'!$B$245))+ABS('01_Вводные'!$D$314:$D$318*'01_Вводные'!$B$314:$B$318*IF('01_Вводные'!$B$9=0,0,AJ11/'01_Вводные'!$B$9)-AJ20*'18_Календарь_тарифы'!AJ8*'01_Вводные'!$C$314:$C$318*('01_Вводные'!$E$314:$E$318*(AJ$3&lt;'01_Вводные'!$B$245)+'01_Вводные'!$B$57*(AJ$3&gt;='01_Вводные'!$B$245))))/2)</f>
        <v/>
      </c>
      <c r="AK28" s="185">
        <f>SUMPRODUCT(('01_Вводные'!$D$314:$D$318*'01_Вводные'!$B$314:$B$318*IF('01_Вводные'!$B$9=0,0,AK11/'01_Вводные'!$B$9)+AK20*'18_Календарь_тарифы'!AK8*'01_Вводные'!$C$314:$C$318*('01_Вводные'!$E$314:$E$318*(AK$3&lt;'01_Вводные'!$B$245)+'01_Вводные'!$B$57*(AK$3&gt;='01_Вводные'!$B$245))+ABS('01_Вводные'!$D$314:$D$318*'01_Вводные'!$B$314:$B$318*IF('01_Вводные'!$B$9=0,0,AK11/'01_Вводные'!$B$9)-AK20*'18_Календарь_тарифы'!AK8*'01_Вводные'!$C$314:$C$318*('01_Вводные'!$E$314:$E$318*(AK$3&lt;'01_Вводные'!$B$245)+'01_Вводные'!$B$57*(AK$3&gt;='01_Вводные'!$B$245))))/2)</f>
        <v/>
      </c>
      <c r="AL28" s="185">
        <f>SUMPRODUCT(('01_Вводные'!$D$314:$D$318*'01_Вводные'!$B$314:$B$318*IF('01_Вводные'!$B$9=0,0,AL11/'01_Вводные'!$B$9)+AL20*'18_Календарь_тарифы'!AL8*'01_Вводные'!$C$314:$C$318*('01_Вводные'!$E$314:$E$318*(AL$3&lt;'01_Вводные'!$B$245)+'01_Вводные'!$B$57*(AL$3&gt;='01_Вводные'!$B$245))+ABS('01_Вводные'!$D$314:$D$318*'01_Вводные'!$B$314:$B$318*IF('01_Вводные'!$B$9=0,0,AL11/'01_Вводные'!$B$9)-AL20*'18_Календарь_тарифы'!AL8*'01_Вводные'!$C$314:$C$318*('01_Вводные'!$E$314:$E$318*(AL$3&lt;'01_Вводные'!$B$245)+'01_Вводные'!$B$57*(AL$3&gt;='01_Вводные'!$B$245))))/2)</f>
        <v/>
      </c>
      <c r="AM28" s="185">
        <f>SUMPRODUCT(('01_Вводные'!$D$314:$D$318*'01_Вводные'!$B$314:$B$318*IF('01_Вводные'!$B$9=0,0,AM11/'01_Вводные'!$B$9)+AM20*'18_Календарь_тарифы'!AM8*'01_Вводные'!$C$314:$C$318*('01_Вводные'!$E$314:$E$318*(AM$3&lt;'01_Вводные'!$B$245)+'01_Вводные'!$B$57*(AM$3&gt;='01_Вводные'!$B$245))+ABS('01_Вводные'!$D$314:$D$318*'01_Вводные'!$B$314:$B$318*IF('01_Вводные'!$B$9=0,0,AM11/'01_Вводные'!$B$9)-AM20*'18_Календарь_тарифы'!AM8*'01_Вводные'!$C$314:$C$318*('01_Вводные'!$E$314:$E$318*(AM$3&lt;'01_Вводные'!$B$245)+'01_Вводные'!$B$57*(AM$3&gt;='01_Вводные'!$B$245))))/2)</f>
        <v/>
      </c>
      <c r="AN28" s="185">
        <f>SUMPRODUCT(('01_Вводные'!$D$314:$D$318*'01_Вводные'!$B$314:$B$318*IF('01_Вводные'!$B$9=0,0,AN11/'01_Вводные'!$B$9)+AN20*'18_Календарь_тарифы'!AN8*'01_Вводные'!$C$314:$C$318*('01_Вводные'!$E$314:$E$318*(AN$3&lt;'01_Вводные'!$B$245)+'01_Вводные'!$B$57*(AN$3&gt;='01_Вводные'!$B$245))+ABS('01_Вводные'!$D$314:$D$318*'01_Вводные'!$B$314:$B$318*IF('01_Вводные'!$B$9=0,0,AN11/'01_Вводные'!$B$9)-AN20*'18_Календарь_тарифы'!AN8*'01_Вводные'!$C$314:$C$318*('01_Вводные'!$E$314:$E$318*(AN$3&lt;'01_Вводные'!$B$245)+'01_Вводные'!$B$57*(AN$3&gt;='01_Вводные'!$B$245))))/2)</f>
        <v/>
      </c>
      <c r="AO28" s="185">
        <f>SUMPRODUCT(('01_Вводные'!$D$314:$D$318*'01_Вводные'!$B$314:$B$318*IF('01_Вводные'!$B$9=0,0,AO11/'01_Вводные'!$B$9)+AO20*'18_Календарь_тарифы'!AO8*'01_Вводные'!$C$314:$C$318*('01_Вводные'!$E$314:$E$318*(AO$3&lt;'01_Вводные'!$B$245)+'01_Вводные'!$B$57*(AO$3&gt;='01_Вводные'!$B$245))+ABS('01_Вводные'!$D$314:$D$318*'01_Вводные'!$B$314:$B$318*IF('01_Вводные'!$B$9=0,0,AO11/'01_Вводные'!$B$9)-AO20*'18_Календарь_тарифы'!AO8*'01_Вводные'!$C$314:$C$318*('01_Вводные'!$E$314:$E$318*(AO$3&lt;'01_Вводные'!$B$245)+'01_Вводные'!$B$57*(AO$3&gt;='01_Вводные'!$B$245))))/2)</f>
        <v/>
      </c>
      <c r="AP28" s="185">
        <f>SUMPRODUCT(('01_Вводные'!$D$314:$D$318*'01_Вводные'!$B$314:$B$318*IF('01_Вводные'!$B$9=0,0,AP11/'01_Вводные'!$B$9)+AP20*'18_Календарь_тарифы'!AP8*'01_Вводные'!$C$314:$C$318*('01_Вводные'!$E$314:$E$318*(AP$3&lt;'01_Вводные'!$B$245)+'01_Вводные'!$B$57*(AP$3&gt;='01_Вводные'!$B$245))+ABS('01_Вводные'!$D$314:$D$318*'01_Вводные'!$B$314:$B$318*IF('01_Вводные'!$B$9=0,0,AP11/'01_Вводные'!$B$9)-AP20*'18_Календарь_тарифы'!AP8*'01_Вводные'!$C$314:$C$318*('01_Вводные'!$E$314:$E$318*(AP$3&lt;'01_Вводные'!$B$245)+'01_Вводные'!$B$57*(AP$3&gt;='01_Вводные'!$B$245))))/2)</f>
        <v/>
      </c>
      <c r="AQ28" s="185">
        <f>SUMPRODUCT(('01_Вводные'!$D$314:$D$318*'01_Вводные'!$B$314:$B$318*IF('01_Вводные'!$B$9=0,0,AQ11/'01_Вводные'!$B$9)+AQ20*'18_Календарь_тарифы'!AQ8*'01_Вводные'!$C$314:$C$318*('01_Вводные'!$E$314:$E$318*(AQ$3&lt;'01_Вводные'!$B$245)+'01_Вводные'!$B$57*(AQ$3&gt;='01_Вводные'!$B$245))+ABS('01_Вводные'!$D$314:$D$318*'01_Вводные'!$B$314:$B$318*IF('01_Вводные'!$B$9=0,0,AQ11/'01_Вводные'!$B$9)-AQ20*'18_Календарь_тарифы'!AQ8*'01_Вводные'!$C$314:$C$318*('01_Вводные'!$E$314:$E$318*(AQ$3&lt;'01_Вводные'!$B$245)+'01_Вводные'!$B$57*(AQ$3&gt;='01_Вводные'!$B$245))))/2)</f>
        <v/>
      </c>
      <c r="AR28" s="185">
        <f>SUMPRODUCT(('01_Вводные'!$D$314:$D$318*'01_Вводные'!$B$314:$B$318*IF('01_Вводные'!$B$9=0,0,AR11/'01_Вводные'!$B$9)+AR20*'18_Календарь_тарифы'!AR8*'01_Вводные'!$C$314:$C$318*('01_Вводные'!$E$314:$E$318*(AR$3&lt;'01_Вводные'!$B$245)+'01_Вводные'!$B$57*(AR$3&gt;='01_Вводные'!$B$245))+ABS('01_Вводные'!$D$314:$D$318*'01_Вводные'!$B$314:$B$318*IF('01_Вводные'!$B$9=0,0,AR11/'01_Вводные'!$B$9)-AR20*'18_Календарь_тарифы'!AR8*'01_Вводные'!$C$314:$C$318*('01_Вводные'!$E$314:$E$318*(AR$3&lt;'01_Вводные'!$B$245)+'01_Вводные'!$B$57*(AR$3&gt;='01_Вводные'!$B$245))))/2)</f>
        <v/>
      </c>
      <c r="AS28" s="185">
        <f>SUMPRODUCT(('01_Вводные'!$D$314:$D$318*'01_Вводные'!$B$314:$B$318*IF('01_Вводные'!$B$9=0,0,AS11/'01_Вводные'!$B$9)+AS20*'18_Календарь_тарифы'!AS8*'01_Вводные'!$C$314:$C$318*('01_Вводные'!$E$314:$E$318*(AS$3&lt;'01_Вводные'!$B$245)+'01_Вводные'!$B$57*(AS$3&gt;='01_Вводные'!$B$245))+ABS('01_Вводные'!$D$314:$D$318*'01_Вводные'!$B$314:$B$318*IF('01_Вводные'!$B$9=0,0,AS11/'01_Вводные'!$B$9)-AS20*'18_Календарь_тарифы'!AS8*'01_Вводные'!$C$314:$C$318*('01_Вводные'!$E$314:$E$318*(AS$3&lt;'01_Вводные'!$B$245)+'01_Вводные'!$B$57*(AS$3&gt;='01_Вводные'!$B$245))))/2)</f>
        <v/>
      </c>
      <c r="AT28" s="185">
        <f>SUMPRODUCT(('01_Вводные'!$D$314:$D$318*'01_Вводные'!$B$314:$B$318*IF('01_Вводные'!$B$9=0,0,AT11/'01_Вводные'!$B$9)+AT20*'18_Календарь_тарифы'!AT8*'01_Вводные'!$C$314:$C$318*('01_Вводные'!$E$314:$E$318*(AT$3&lt;'01_Вводные'!$B$245)+'01_Вводные'!$B$57*(AT$3&gt;='01_Вводные'!$B$245))+ABS('01_Вводные'!$D$314:$D$318*'01_Вводные'!$B$314:$B$318*IF('01_Вводные'!$B$9=0,0,AT11/'01_Вводные'!$B$9)-AT20*'18_Календарь_тарифы'!AT8*'01_Вводные'!$C$314:$C$318*('01_Вводные'!$E$314:$E$318*(AT$3&lt;'01_Вводные'!$B$245)+'01_Вводные'!$B$57*(AT$3&gt;='01_Вводные'!$B$245))))/2)</f>
        <v/>
      </c>
      <c r="AU28" s="185">
        <f>SUMPRODUCT(('01_Вводные'!$D$314:$D$318*'01_Вводные'!$B$314:$B$318*IF('01_Вводные'!$B$9=0,0,AU11/'01_Вводные'!$B$9)+AU20*'18_Календарь_тарифы'!AU8*'01_Вводные'!$C$314:$C$318*('01_Вводные'!$E$314:$E$318*(AU$3&lt;'01_Вводные'!$B$245)+'01_Вводные'!$B$57*(AU$3&gt;='01_Вводные'!$B$245))+ABS('01_Вводные'!$D$314:$D$318*'01_Вводные'!$B$314:$B$318*IF('01_Вводные'!$B$9=0,0,AU11/'01_Вводные'!$B$9)-AU20*'18_Календарь_тарифы'!AU8*'01_Вводные'!$C$314:$C$318*('01_Вводные'!$E$314:$E$318*(AU$3&lt;'01_Вводные'!$B$245)+'01_Вводные'!$B$57*(AU$3&gt;='01_Вводные'!$B$245))))/2)</f>
        <v/>
      </c>
      <c r="AV28" s="185">
        <f>SUMPRODUCT(('01_Вводные'!$D$314:$D$318*'01_Вводные'!$B$314:$B$318*IF('01_Вводные'!$B$9=0,0,AV11/'01_Вводные'!$B$9)+AV20*'18_Календарь_тарифы'!AV8*'01_Вводные'!$C$314:$C$318*('01_Вводные'!$E$314:$E$318*(AV$3&lt;'01_Вводные'!$B$245)+'01_Вводные'!$B$57*(AV$3&gt;='01_Вводные'!$B$245))+ABS('01_Вводные'!$D$314:$D$318*'01_Вводные'!$B$314:$B$318*IF('01_Вводные'!$B$9=0,0,AV11/'01_Вводные'!$B$9)-AV20*'18_Календарь_тарифы'!AV8*'01_Вводные'!$C$314:$C$318*('01_Вводные'!$E$314:$E$318*(AV$3&lt;'01_Вводные'!$B$245)+'01_Вводные'!$B$57*(AV$3&gt;='01_Вводные'!$B$245))))/2)</f>
        <v/>
      </c>
      <c r="AW28" s="185">
        <f>SUMPRODUCT(('01_Вводные'!$D$314:$D$318*'01_Вводные'!$B$314:$B$318*IF('01_Вводные'!$B$9=0,0,AW11/'01_Вводные'!$B$9)+AW20*'18_Календарь_тарифы'!AW8*'01_Вводные'!$C$314:$C$318*('01_Вводные'!$E$314:$E$318*(AW$3&lt;'01_Вводные'!$B$245)+'01_Вводные'!$B$57*(AW$3&gt;='01_Вводные'!$B$245))+ABS('01_Вводные'!$D$314:$D$318*'01_Вводные'!$B$314:$B$318*IF('01_Вводные'!$B$9=0,0,AW11/'01_Вводные'!$B$9)-AW20*'18_Календарь_тарифы'!AW8*'01_Вводные'!$C$314:$C$318*('01_Вводные'!$E$314:$E$318*(AW$3&lt;'01_Вводные'!$B$245)+'01_Вводные'!$B$57*(AW$3&gt;='01_Вводные'!$B$245))))/2)</f>
        <v/>
      </c>
      <c r="AX28" s="185">
        <f>SUMPRODUCT(('01_Вводные'!$D$314:$D$318*'01_Вводные'!$B$314:$B$318*IF('01_Вводные'!$B$9=0,0,AX11/'01_Вводные'!$B$9)+AX20*'18_Календарь_тарифы'!AX8*'01_Вводные'!$C$314:$C$318*('01_Вводные'!$E$314:$E$318*(AX$3&lt;'01_Вводные'!$B$245)+'01_Вводные'!$B$57*(AX$3&gt;='01_Вводные'!$B$245))+ABS('01_Вводные'!$D$314:$D$318*'01_Вводные'!$B$314:$B$318*IF('01_Вводные'!$B$9=0,0,AX11/'01_Вводные'!$B$9)-AX20*'18_Календарь_тарифы'!AX8*'01_Вводные'!$C$314:$C$318*('01_Вводные'!$E$314:$E$318*(AX$3&lt;'01_Вводные'!$B$245)+'01_Вводные'!$B$57*(AX$3&gt;='01_Вводные'!$B$245))))/2)</f>
        <v/>
      </c>
      <c r="AY28" s="185">
        <f>SUMPRODUCT(('01_Вводные'!$D$314:$D$318*'01_Вводные'!$B$314:$B$318*IF('01_Вводные'!$B$9=0,0,AY11/'01_Вводные'!$B$9)+AY20*'18_Календарь_тарифы'!AY8*'01_Вводные'!$C$314:$C$318*('01_Вводные'!$E$314:$E$318*(AY$3&lt;'01_Вводные'!$B$245)+'01_Вводные'!$B$57*(AY$3&gt;='01_Вводные'!$B$245))+ABS('01_Вводные'!$D$314:$D$318*'01_Вводные'!$B$314:$B$318*IF('01_Вводные'!$B$9=0,0,AY11/'01_Вводные'!$B$9)-AY20*'18_Календарь_тарифы'!AY8*'01_Вводные'!$C$314:$C$318*('01_Вводные'!$E$314:$E$318*(AY$3&lt;'01_Вводные'!$B$245)+'01_Вводные'!$B$57*(AY$3&gt;='01_Вводные'!$B$245))))/2)</f>
        <v/>
      </c>
      <c r="AZ28" s="185">
        <f>SUMPRODUCT(('01_Вводные'!$D$314:$D$318*'01_Вводные'!$B$314:$B$318*IF('01_Вводные'!$B$9=0,0,AZ11/'01_Вводные'!$B$9)+AZ20*'18_Календарь_тарифы'!AZ8*'01_Вводные'!$C$314:$C$318*('01_Вводные'!$E$314:$E$318*(AZ$3&lt;'01_Вводные'!$B$245)+'01_Вводные'!$B$57*(AZ$3&gt;='01_Вводные'!$B$245))+ABS('01_Вводные'!$D$314:$D$318*'01_Вводные'!$B$314:$B$318*IF('01_Вводные'!$B$9=0,0,AZ11/'01_Вводные'!$B$9)-AZ20*'18_Календарь_тарифы'!AZ8*'01_Вводные'!$C$314:$C$318*('01_Вводные'!$E$314:$E$318*(AZ$3&lt;'01_Вводные'!$B$245)+'01_Вводные'!$B$57*(AZ$3&gt;='01_Вводные'!$B$245))))/2)</f>
        <v/>
      </c>
      <c r="BA28" s="185">
        <f>SUMPRODUCT(('01_Вводные'!$D$314:$D$318*'01_Вводные'!$B$314:$B$318*IF('01_Вводные'!$B$9=0,0,BA11/'01_Вводные'!$B$9)+BA20*'18_Календарь_тарифы'!BA8*'01_Вводные'!$C$314:$C$318*('01_Вводные'!$E$314:$E$318*(BA$3&lt;'01_Вводные'!$B$245)+'01_Вводные'!$B$57*(BA$3&gt;='01_Вводные'!$B$245))+ABS('01_Вводные'!$D$314:$D$318*'01_Вводные'!$B$314:$B$318*IF('01_Вводные'!$B$9=0,0,BA11/'01_Вводные'!$B$9)-BA20*'18_Календарь_тарифы'!BA8*'01_Вводные'!$C$314:$C$318*('01_Вводные'!$E$314:$E$318*(BA$3&lt;'01_Вводные'!$B$245)+'01_Вводные'!$B$57*(BA$3&gt;='01_Вводные'!$B$245))))/2)</f>
        <v/>
      </c>
      <c r="BB28" s="185">
        <f>SUMPRODUCT(('01_Вводные'!$D$314:$D$318*'01_Вводные'!$B$314:$B$318*IF('01_Вводные'!$B$9=0,0,BB11/'01_Вводные'!$B$9)+BB20*'18_Календарь_тарифы'!BB8*'01_Вводные'!$C$314:$C$318*('01_Вводные'!$E$314:$E$318*(BB$3&lt;'01_Вводные'!$B$245)+'01_Вводные'!$B$57*(BB$3&gt;='01_Вводные'!$B$245))+ABS('01_Вводные'!$D$314:$D$318*'01_Вводные'!$B$314:$B$318*IF('01_Вводные'!$B$9=0,0,BB11/'01_Вводные'!$B$9)-BB20*'18_Календарь_тарифы'!BB8*'01_Вводные'!$C$314:$C$318*('01_Вводные'!$E$314:$E$318*(BB$3&lt;'01_Вводные'!$B$245)+'01_Вводные'!$B$57*(BB$3&gt;='01_Вводные'!$B$245))))/2)</f>
        <v/>
      </c>
      <c r="BC28" s="185">
        <f>SUMPRODUCT(('01_Вводные'!$D$314:$D$318*'01_Вводные'!$B$314:$B$318*IF('01_Вводные'!$B$9=0,0,BC11/'01_Вводные'!$B$9)+BC20*'18_Календарь_тарифы'!BC8*'01_Вводные'!$C$314:$C$318*('01_Вводные'!$E$314:$E$318*(BC$3&lt;'01_Вводные'!$B$245)+'01_Вводные'!$B$57*(BC$3&gt;='01_Вводные'!$B$245))+ABS('01_Вводные'!$D$314:$D$318*'01_Вводные'!$B$314:$B$318*IF('01_Вводные'!$B$9=0,0,BC11/'01_Вводные'!$B$9)-BC20*'18_Календарь_тарифы'!BC8*'01_Вводные'!$C$314:$C$318*('01_Вводные'!$E$314:$E$318*(BC$3&lt;'01_Вводные'!$B$245)+'01_Вводные'!$B$57*(BC$3&gt;='01_Вводные'!$B$245))))/2)</f>
        <v/>
      </c>
      <c r="BD28" s="185">
        <f>SUMPRODUCT(('01_Вводные'!$D$314:$D$318*'01_Вводные'!$B$314:$B$318*IF('01_Вводные'!$B$9=0,0,BD11/'01_Вводные'!$B$9)+BD20*'18_Календарь_тарифы'!BD8*'01_Вводные'!$C$314:$C$318*('01_Вводные'!$E$314:$E$318*(BD$3&lt;'01_Вводные'!$B$245)+'01_Вводные'!$B$57*(BD$3&gt;='01_Вводные'!$B$245))+ABS('01_Вводные'!$D$314:$D$318*'01_Вводные'!$B$314:$B$318*IF('01_Вводные'!$B$9=0,0,BD11/'01_Вводные'!$B$9)-BD20*'18_Календарь_тарифы'!BD8*'01_Вводные'!$C$314:$C$318*('01_Вводные'!$E$314:$E$318*(BD$3&lt;'01_Вводные'!$B$245)+'01_Вводные'!$B$57*(BD$3&gt;='01_Вводные'!$B$245))))/2)</f>
        <v/>
      </c>
      <c r="BE28" s="185">
        <f>SUMPRODUCT(('01_Вводные'!$D$314:$D$318*'01_Вводные'!$B$314:$B$318*IF('01_Вводные'!$B$9=0,0,BE11/'01_Вводные'!$B$9)+BE20*'18_Календарь_тарифы'!BE8*'01_Вводные'!$C$314:$C$318*('01_Вводные'!$E$314:$E$318*(BE$3&lt;'01_Вводные'!$B$245)+'01_Вводные'!$B$57*(BE$3&gt;='01_Вводные'!$B$245))+ABS('01_Вводные'!$D$314:$D$318*'01_Вводные'!$B$314:$B$318*IF('01_Вводные'!$B$9=0,0,BE11/'01_Вводные'!$B$9)-BE20*'18_Календарь_тарифы'!BE8*'01_Вводные'!$C$314:$C$318*('01_Вводные'!$E$314:$E$318*(BE$3&lt;'01_Вводные'!$B$245)+'01_Вводные'!$B$57*(BE$3&gt;='01_Вводные'!$B$245))))/2)</f>
        <v/>
      </c>
      <c r="BF28" s="185">
        <f>SUMPRODUCT(('01_Вводные'!$D$314:$D$318*'01_Вводные'!$B$314:$B$318*IF('01_Вводные'!$B$9=0,0,BF11/'01_Вводные'!$B$9)+BF20*'18_Календарь_тарифы'!BF8*'01_Вводные'!$C$314:$C$318*('01_Вводные'!$E$314:$E$318*(BF$3&lt;'01_Вводные'!$B$245)+'01_Вводные'!$B$57*(BF$3&gt;='01_Вводные'!$B$245))+ABS('01_Вводные'!$D$314:$D$318*'01_Вводные'!$B$314:$B$318*IF('01_Вводные'!$B$9=0,0,BF11/'01_Вводные'!$B$9)-BF20*'18_Календарь_тарифы'!BF8*'01_Вводные'!$C$314:$C$318*('01_Вводные'!$E$314:$E$318*(BF$3&lt;'01_Вводные'!$B$245)+'01_Вводные'!$B$57*(BF$3&gt;='01_Вводные'!$B$245))))/2)</f>
        <v/>
      </c>
      <c r="BG28" s="185">
        <f>SUMPRODUCT(('01_Вводные'!$D$314:$D$318*'01_Вводные'!$B$314:$B$318*IF('01_Вводные'!$B$9=0,0,BG11/'01_Вводные'!$B$9)+BG20*'18_Календарь_тарифы'!BG8*'01_Вводные'!$C$314:$C$318*('01_Вводные'!$E$314:$E$318*(BG$3&lt;'01_Вводные'!$B$245)+'01_Вводные'!$B$57*(BG$3&gt;='01_Вводные'!$B$245))+ABS('01_Вводные'!$D$314:$D$318*'01_Вводные'!$B$314:$B$318*IF('01_Вводные'!$B$9=0,0,BG11/'01_Вводные'!$B$9)-BG20*'18_Календарь_тарифы'!BG8*'01_Вводные'!$C$314:$C$318*('01_Вводные'!$E$314:$E$318*(BG$3&lt;'01_Вводные'!$B$245)+'01_Вводные'!$B$57*(BG$3&gt;='01_Вводные'!$B$245))))/2)</f>
        <v/>
      </c>
      <c r="BH28" s="185">
        <f>SUMPRODUCT(('01_Вводные'!$D$314:$D$318*'01_Вводные'!$B$314:$B$318*IF('01_Вводные'!$B$9=0,0,BH11/'01_Вводные'!$B$9)+BH20*'18_Календарь_тарифы'!BH8*'01_Вводные'!$C$314:$C$318*('01_Вводные'!$E$314:$E$318*(BH$3&lt;'01_Вводные'!$B$245)+'01_Вводные'!$B$57*(BH$3&gt;='01_Вводные'!$B$245))+ABS('01_Вводные'!$D$314:$D$318*'01_Вводные'!$B$314:$B$318*IF('01_Вводные'!$B$9=0,0,BH11/'01_Вводные'!$B$9)-BH20*'18_Календарь_тарифы'!BH8*'01_Вводные'!$C$314:$C$318*('01_Вводные'!$E$314:$E$318*(BH$3&lt;'01_Вводные'!$B$245)+'01_Вводные'!$B$57*(BH$3&gt;='01_Вводные'!$B$245))))/2)</f>
        <v/>
      </c>
      <c r="BI28" s="185">
        <f>SUMPRODUCT(('01_Вводные'!$D$314:$D$318*'01_Вводные'!$B$314:$B$318*IF('01_Вводные'!$B$9=0,0,BI11/'01_Вводные'!$B$9)+BI20*'18_Календарь_тарифы'!BI8*'01_Вводные'!$C$314:$C$318*('01_Вводные'!$E$314:$E$318*(BI$3&lt;'01_Вводные'!$B$245)+'01_Вводные'!$B$57*(BI$3&gt;='01_Вводные'!$B$245))+ABS('01_Вводные'!$D$314:$D$318*'01_Вводные'!$B$314:$B$318*IF('01_Вводные'!$B$9=0,0,BI11/'01_Вводные'!$B$9)-BI20*'18_Календарь_тарифы'!BI8*'01_Вводные'!$C$314:$C$318*('01_Вводные'!$E$314:$E$318*(BI$3&lt;'01_Вводные'!$B$245)+'01_Вводные'!$B$57*(BI$3&gt;='01_Вводные'!$B$245))))/2)</f>
        <v/>
      </c>
      <c r="BJ28" s="185">
        <f>SUMPRODUCT(('01_Вводные'!$D$314:$D$318*'01_Вводные'!$B$314:$B$318*IF('01_Вводные'!$B$9=0,0,BJ11/'01_Вводные'!$B$9)+BJ20*'18_Календарь_тарифы'!BJ8*'01_Вводные'!$C$314:$C$318*('01_Вводные'!$E$314:$E$318*(BJ$3&lt;'01_Вводные'!$B$245)+'01_Вводные'!$B$57*(BJ$3&gt;='01_Вводные'!$B$245))+ABS('01_Вводные'!$D$314:$D$318*'01_Вводные'!$B$314:$B$318*IF('01_Вводные'!$B$9=0,0,BJ11/'01_Вводные'!$B$9)-BJ20*'18_Календарь_тарифы'!BJ8*'01_Вводные'!$C$314:$C$318*('01_Вводные'!$E$314:$E$318*(BJ$3&lt;'01_Вводные'!$B$245)+'01_Вводные'!$B$57*(BJ$3&gt;='01_Вводные'!$B$245))))/2)</f>
        <v/>
      </c>
      <c r="BK28" s="185">
        <f>SUMPRODUCT(('01_Вводные'!$D$314:$D$318*'01_Вводные'!$B$314:$B$318*IF('01_Вводные'!$B$9=0,0,BK11/'01_Вводные'!$B$9)+BK20*'18_Календарь_тарифы'!BK8*'01_Вводные'!$C$314:$C$318*('01_Вводные'!$E$314:$E$318*(BK$3&lt;'01_Вводные'!$B$245)+'01_Вводные'!$B$57*(BK$3&gt;='01_Вводные'!$B$245))+ABS('01_Вводные'!$D$314:$D$318*'01_Вводные'!$B$314:$B$318*IF('01_Вводные'!$B$9=0,0,BK11/'01_Вводные'!$B$9)-BK20*'18_Календарь_тарифы'!BK8*'01_Вводные'!$C$314:$C$318*('01_Вводные'!$E$314:$E$318*(BK$3&lt;'01_Вводные'!$B$245)+'01_Вводные'!$B$57*(BK$3&gt;='01_Вводные'!$B$245))))/2)</f>
        <v/>
      </c>
      <c r="BL28" s="185">
        <f>SUMPRODUCT(('01_Вводные'!$D$314:$D$318*'01_Вводные'!$B$314:$B$318*IF('01_Вводные'!$B$9=0,0,BL11/'01_Вводные'!$B$9)+BL20*'18_Календарь_тарифы'!BL8*'01_Вводные'!$C$314:$C$318*('01_Вводные'!$E$314:$E$318*(BL$3&lt;'01_Вводные'!$B$245)+'01_Вводные'!$B$57*(BL$3&gt;='01_Вводные'!$B$245))+ABS('01_Вводные'!$D$314:$D$318*'01_Вводные'!$B$314:$B$318*IF('01_Вводные'!$B$9=0,0,BL11/'01_Вводные'!$B$9)-BL20*'18_Календарь_тарифы'!BL8*'01_Вводные'!$C$314:$C$318*('01_Вводные'!$E$314:$E$318*(BL$3&lt;'01_Вводные'!$B$245)+'01_Вводные'!$B$57*(BL$3&gt;='01_Вводные'!$B$245))))/2)</f>
        <v/>
      </c>
      <c r="BM28" s="185">
        <f>SUMPRODUCT(('01_Вводные'!$D$314:$D$318*'01_Вводные'!$B$314:$B$318*IF('01_Вводные'!$B$9=0,0,BM11/'01_Вводные'!$B$9)+BM20*'18_Календарь_тарифы'!BM8*'01_Вводные'!$C$314:$C$318*('01_Вводные'!$E$314:$E$318*(BM$3&lt;'01_Вводные'!$B$245)+'01_Вводные'!$B$57*(BM$3&gt;='01_Вводные'!$B$245))+ABS('01_Вводные'!$D$314:$D$318*'01_Вводные'!$B$314:$B$318*IF('01_Вводные'!$B$9=0,0,BM11/'01_Вводные'!$B$9)-BM20*'18_Календарь_тарифы'!BM8*'01_Вводные'!$C$314:$C$318*('01_Вводные'!$E$314:$E$318*(BM$3&lt;'01_Вводные'!$B$245)+'01_Вводные'!$B$57*(BM$3&gt;='01_Вводные'!$B$245))))/2)</f>
        <v/>
      </c>
      <c r="BN28" s="185">
        <f>SUMPRODUCT(('01_Вводные'!$D$314:$D$318*'01_Вводные'!$B$314:$B$318*IF('01_Вводные'!$B$9=0,0,BN11/'01_Вводные'!$B$9)+BN20*'18_Календарь_тарифы'!BN8*'01_Вводные'!$C$314:$C$318*('01_Вводные'!$E$314:$E$318*(BN$3&lt;'01_Вводные'!$B$245)+'01_Вводные'!$B$57*(BN$3&gt;='01_Вводные'!$B$245))+ABS('01_Вводные'!$D$314:$D$318*'01_Вводные'!$B$314:$B$318*IF('01_Вводные'!$B$9=0,0,BN11/'01_Вводные'!$B$9)-BN20*'18_Календарь_тарифы'!BN8*'01_Вводные'!$C$314:$C$318*('01_Вводные'!$E$314:$E$318*(BN$3&lt;'01_Вводные'!$B$245)+'01_Вводные'!$B$57*(BN$3&gt;='01_Вводные'!$B$245))))/2)</f>
        <v/>
      </c>
      <c r="BO28" s="185">
        <f>SUMPRODUCT(('01_Вводные'!$D$314:$D$318*'01_Вводные'!$B$314:$B$318*IF('01_Вводные'!$B$9=0,0,BO11/'01_Вводные'!$B$9)+BO20*'18_Календарь_тарифы'!BO8*'01_Вводные'!$C$314:$C$318*('01_Вводные'!$E$314:$E$318*(BO$3&lt;'01_Вводные'!$B$245)+'01_Вводные'!$B$57*(BO$3&gt;='01_Вводные'!$B$245))+ABS('01_Вводные'!$D$314:$D$318*'01_Вводные'!$B$314:$B$318*IF('01_Вводные'!$B$9=0,0,BO11/'01_Вводные'!$B$9)-BO20*'18_Календарь_тарифы'!BO8*'01_Вводные'!$C$314:$C$318*('01_Вводные'!$E$314:$E$318*(BO$3&lt;'01_Вводные'!$B$245)+'01_Вводные'!$B$57*(BO$3&gt;='01_Вводные'!$B$245)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IF(COUNTIF('01_Вводные'!$B$98:$E$98,B$3)&gt;0,SUMIF('01_Вводные'!$B$98:$E$98,B$3,'01_Вводные'!$B$99:$E$99),'06_Сеть_и_дети'!B19*'01_Вводные'!$B$74*B4)</f>
        <v/>
      </c>
      <c r="C5" s="40">
        <f>IF(COUNTIF('01_Вводные'!$B$98:$E$98,C$3)&gt;0,SUMIF('01_Вводные'!$B$98:$E$98,C$3,'01_Вводные'!$B$99:$E$99),'06_Сеть_и_дети'!C19*'01_Вводные'!$B$74*C4)</f>
        <v/>
      </c>
      <c r="D5" s="40">
        <f>IF(COUNTIF('01_Вводные'!$B$98:$E$98,D$3)&gt;0,SUMIF('01_Вводные'!$B$98:$E$98,D$3,'01_Вводные'!$B$99:$E$99),'06_Сеть_и_дети'!D19*'01_Вводные'!$B$74*D4)</f>
        <v/>
      </c>
      <c r="E5" s="40">
        <f>IF(COUNTIF('01_Вводные'!$B$98:$E$98,E$3)&gt;0,SUMIF('01_Вводные'!$B$98:$E$98,E$3,'01_Вводные'!$B$99:$E$99),'06_Сеть_и_дети'!E19*'01_Вводные'!$B$74*E4)</f>
        <v/>
      </c>
      <c r="F5" s="40">
        <f>IF(COUNTIF('01_Вводные'!$B$98:$E$98,F$3)&gt;0,SUMIF('01_Вводные'!$B$98:$E$98,F$3,'01_Вводные'!$B$99:$E$99),'06_Сеть_и_дети'!F19*'01_Вводные'!$B$74*F4)</f>
        <v/>
      </c>
      <c r="G5" s="40">
        <f>IF(COUNTIF('01_Вводные'!$B$98:$E$98,G$3)&gt;0,SUMIF('01_Вводные'!$B$98:$E$98,G$3,'01_Вводные'!$B$99:$E$99),'06_Сеть_и_дети'!G19*'01_Вводные'!$B$74*G4)</f>
        <v/>
      </c>
      <c r="H5" s="40">
        <f>IF(COUNTIF('01_Вводные'!$B$98:$E$98,H$3)&gt;0,SUMIF('01_Вводные'!$B$98:$E$98,H$3,'01_Вводные'!$B$99:$E$99),'06_Сеть_и_дети'!H19*'01_Вводные'!$B$74*H4)</f>
        <v/>
      </c>
      <c r="I5" s="40">
        <f>IF(COUNTIF('01_Вводные'!$B$98:$E$98,I$3)&gt;0,SUMIF('01_Вводные'!$B$98:$E$98,I$3,'01_Вводные'!$B$99:$E$99),'06_Сеть_и_дети'!I19*'01_Вводные'!$B$74*I4)</f>
        <v/>
      </c>
      <c r="J5" s="40">
        <f>IF(COUNTIF('01_Вводные'!$B$98:$E$98,J$3)&gt;0,SUMIF('01_Вводные'!$B$98:$E$98,J$3,'01_Вводные'!$B$99:$E$99),'06_Сеть_и_дети'!J19*'01_Вводные'!$B$74*J4)</f>
        <v/>
      </c>
      <c r="K5" s="40">
        <f>IF(COUNTIF('01_Вводные'!$B$98:$E$98,K$3)&gt;0,SUMIF('01_Вводные'!$B$98:$E$98,K$3,'01_Вводные'!$B$99:$E$99),'06_Сеть_и_дети'!K19*'01_Вводные'!$B$74*K4)</f>
        <v/>
      </c>
      <c r="L5" s="40">
        <f>IF(COUNTIF('01_Вводные'!$B$98:$E$98,L$3)&gt;0,SUMIF('01_Вводные'!$B$98:$E$98,L$3,'01_Вводные'!$B$99:$E$99),'06_Сеть_и_дети'!L19*'01_Вводные'!$B$74*L4)</f>
        <v/>
      </c>
      <c r="M5" s="40">
        <f>IF(COUNTIF('01_Вводные'!$B$98:$E$98,M$3)&gt;0,SUMIF('01_Вводные'!$B$98:$E$98,M$3,'01_Вводные'!$B$99:$E$99),'06_Сеть_и_дети'!M19*'01_Вводные'!$B$74*M4)</f>
        <v/>
      </c>
      <c r="N5" s="40">
        <f>IF(COUNTIF('01_Вводные'!$B$98:$E$98,N$3)&gt;0,SUMIF('01_Вводные'!$B$98:$E$98,N$3,'01_Вводные'!$B$99:$E$99),'06_Сеть_и_дети'!N19*'01_Вводные'!$B$74*N4)</f>
        <v/>
      </c>
      <c r="O5" s="40">
        <f>IF(COUNTIF('01_Вводные'!$B$98:$E$98,O$3)&gt;0,SUMIF('01_Вводные'!$B$98:$E$98,O$3,'01_Вводные'!$B$99:$E$99),'06_Сеть_и_дети'!O19*'01_Вводные'!$B$74*O4)</f>
        <v/>
      </c>
      <c r="P5" s="40">
        <f>IF(COUNTIF('01_Вводные'!$B$98:$E$98,P$3)&gt;0,SUMIF('01_Вводные'!$B$98:$E$98,P$3,'01_Вводные'!$B$99:$E$99),'06_Сеть_и_дети'!P19*'01_Вводные'!$B$74*P4)</f>
        <v/>
      </c>
      <c r="Q5" s="40">
        <f>IF(COUNTIF('01_Вводные'!$B$98:$E$98,Q$3)&gt;0,SUMIF('01_Вводные'!$B$98:$E$98,Q$3,'01_Вводные'!$B$99:$E$99),'06_Сеть_и_дети'!Q19*'01_Вводные'!$B$74*Q4)</f>
        <v/>
      </c>
      <c r="R5" s="40">
        <f>IF(COUNTIF('01_Вводные'!$B$98:$E$98,R$3)&gt;0,SUMIF('01_Вводные'!$B$98:$E$98,R$3,'01_Вводные'!$B$99:$E$99),'06_Сеть_и_дети'!R19*'01_Вводные'!$B$74*R4)</f>
        <v/>
      </c>
      <c r="S5" s="40">
        <f>IF(COUNTIF('01_Вводные'!$B$98:$E$98,S$3)&gt;0,SUMIF('01_Вводные'!$B$98:$E$98,S$3,'01_Вводные'!$B$99:$E$99),'06_Сеть_и_дети'!S19*'01_Вводные'!$B$74*S4)</f>
        <v/>
      </c>
      <c r="T5" s="40">
        <f>IF(COUNTIF('01_Вводные'!$B$98:$E$98,T$3)&gt;0,SUMIF('01_Вводные'!$B$98:$E$98,T$3,'01_Вводные'!$B$99:$E$99),'06_Сеть_и_дети'!T19*'01_Вводные'!$B$74*T4)</f>
        <v/>
      </c>
      <c r="U5" s="40">
        <f>IF(COUNTIF('01_Вводные'!$B$98:$E$98,U$3)&gt;0,SUMIF('01_Вводные'!$B$98:$E$98,U$3,'01_Вводные'!$B$99:$E$99),'06_Сеть_и_дети'!U19*'01_Вводные'!$B$74*U4)</f>
        <v/>
      </c>
      <c r="V5" s="40">
        <f>IF(COUNTIF('01_Вводные'!$B$98:$E$98,V$3)&gt;0,SUMIF('01_Вводные'!$B$98:$E$98,V$3,'01_Вводные'!$B$99:$E$99),'06_Сеть_и_дети'!V19*'01_Вводные'!$B$74*V4)</f>
        <v/>
      </c>
      <c r="W5" s="40">
        <f>IF(COUNTIF('01_Вводные'!$B$98:$E$98,W$3)&gt;0,SUMIF('01_Вводные'!$B$98:$E$98,W$3,'01_Вводные'!$B$99:$E$99),'06_Сеть_и_дети'!W19*'01_Вводные'!$B$74*W4)</f>
        <v/>
      </c>
      <c r="X5" s="40">
        <f>IF(COUNTIF('01_Вводные'!$B$98:$E$98,X$3)&gt;0,SUMIF('01_Вводные'!$B$98:$E$98,X$3,'01_Вводные'!$B$99:$E$99),'06_Сеть_и_дети'!X19*'01_Вводные'!$B$74*X4)</f>
        <v/>
      </c>
      <c r="Y5" s="40">
        <f>IF(COUNTIF('01_Вводные'!$B$98:$E$98,Y$3)&gt;0,SUMIF('01_Вводные'!$B$98:$E$98,Y$3,'01_Вводные'!$B$99:$E$99),'06_Сеть_и_дети'!Y19*'01_Вводные'!$B$74*Y4)</f>
        <v/>
      </c>
      <c r="Z5" s="40">
        <f>IF(COUNTIF('01_Вводные'!$B$98:$E$98,Z$3)&gt;0,SUMIF('01_Вводные'!$B$98:$E$98,Z$3,'01_Вводные'!$B$99:$E$99),'06_Сеть_и_дети'!Z19*'01_Вводные'!$B$74*Z4)</f>
        <v/>
      </c>
      <c r="AA5" s="40">
        <f>IF(COUNTIF('01_Вводные'!$B$98:$E$98,AA$3)&gt;0,SUMIF('01_Вводные'!$B$98:$E$98,AA$3,'01_Вводные'!$B$99:$E$99),'06_Сеть_и_дети'!AA19*'01_Вводные'!$B$74*AA4)</f>
        <v/>
      </c>
      <c r="AB5" s="40">
        <f>IF(COUNTIF('01_Вводные'!$B$98:$E$98,AB$3)&gt;0,SUMIF('01_Вводные'!$B$98:$E$98,AB$3,'01_Вводные'!$B$99:$E$99),'06_Сеть_и_дети'!AB19*'01_Вводные'!$B$74*AB4)</f>
        <v/>
      </c>
      <c r="AC5" s="40">
        <f>IF(COUNTIF('01_Вводные'!$B$98:$E$98,AC$3)&gt;0,SUMIF('01_Вводные'!$B$98:$E$98,AC$3,'01_Вводные'!$B$99:$E$99),'06_Сеть_и_дети'!AC19*'01_Вводные'!$B$74*AC4)</f>
        <v/>
      </c>
      <c r="AD5" s="40">
        <f>IF(COUNTIF('01_Вводные'!$B$98:$E$98,AD$3)&gt;0,SUMIF('01_Вводные'!$B$98:$E$98,AD$3,'01_Вводные'!$B$99:$E$99),'06_Сеть_и_дети'!AD19*'01_Вводные'!$B$74*AD4)</f>
        <v/>
      </c>
      <c r="AE5" s="40">
        <f>IF(COUNTIF('01_Вводные'!$B$98:$E$98,AE$3)&gt;0,SUMIF('01_Вводные'!$B$98:$E$98,AE$3,'01_Вводные'!$B$99:$E$99),'06_Сеть_и_дети'!AE19*'01_Вводные'!$B$74*AE4)</f>
        <v/>
      </c>
      <c r="AF5" s="40">
        <f>IF(COUNTIF('01_Вводные'!$B$98:$E$98,AF$3)&gt;0,SUMIF('01_Вводные'!$B$98:$E$98,AF$3,'01_Вводные'!$B$99:$E$99),'06_Сеть_и_дети'!AF19*'01_Вводные'!$B$74*AF4)</f>
        <v/>
      </c>
      <c r="AG5" s="40">
        <f>IF(COUNTIF('01_Вводные'!$B$98:$E$98,AG$3)&gt;0,SUMIF('01_Вводные'!$B$98:$E$98,AG$3,'01_Вводные'!$B$99:$E$99),'06_Сеть_и_дети'!AG19*'01_Вводные'!$B$74*AG4)</f>
        <v/>
      </c>
      <c r="AH5" s="40">
        <f>IF(COUNTIF('01_Вводные'!$B$98:$E$98,AH$3)&gt;0,SUMIF('01_Вводные'!$B$98:$E$98,AH$3,'01_Вводные'!$B$99:$E$99),'06_Сеть_и_дети'!AH19*'01_Вводные'!$B$74*AH4)</f>
        <v/>
      </c>
      <c r="AI5" s="40">
        <f>IF(COUNTIF('01_Вводные'!$B$98:$E$98,AI$3)&gt;0,SUMIF('01_Вводные'!$B$98:$E$98,AI$3,'01_Вводные'!$B$99:$E$99),'06_Сеть_и_дети'!AI19*'01_Вводные'!$B$74*AI4)</f>
        <v/>
      </c>
      <c r="AJ5" s="40">
        <f>IF(COUNTIF('01_Вводные'!$B$98:$E$98,AJ$3)&gt;0,SUMIF('01_Вводные'!$B$98:$E$98,AJ$3,'01_Вводные'!$B$99:$E$99),'06_Сеть_и_дети'!AJ19*'01_Вводные'!$B$74*AJ4)</f>
        <v/>
      </c>
      <c r="AK5" s="40">
        <f>IF(COUNTIF('01_Вводные'!$B$98:$E$98,AK$3)&gt;0,SUMIF('01_Вводные'!$B$98:$E$98,AK$3,'01_Вводные'!$B$99:$E$99),'06_Сеть_и_дети'!AK19*'01_Вводные'!$B$74*AK4)</f>
        <v/>
      </c>
      <c r="AL5" s="40">
        <f>IF(COUNTIF('01_Вводные'!$B$98:$E$98,AL$3)&gt;0,SUMIF('01_Вводные'!$B$98:$E$98,AL$3,'01_Вводные'!$B$99:$E$99),'06_Сеть_и_дети'!AL19*'01_Вводные'!$B$74*AL4)</f>
        <v/>
      </c>
      <c r="AM5" s="40">
        <f>IF(COUNTIF('01_Вводные'!$B$98:$E$98,AM$3)&gt;0,SUMIF('01_Вводные'!$B$98:$E$98,AM$3,'01_Вводные'!$B$99:$E$99),'06_Сеть_и_дети'!AM19*'01_Вводные'!$B$74*AM4)</f>
        <v/>
      </c>
      <c r="AN5" s="40">
        <f>IF(COUNTIF('01_Вводные'!$B$98:$E$98,AN$3)&gt;0,SUMIF('01_Вводные'!$B$98:$E$98,AN$3,'01_Вводные'!$B$99:$E$99),'06_Сеть_и_дети'!AN19*'01_Вводные'!$B$74*AN4)</f>
        <v/>
      </c>
      <c r="AO5" s="40">
        <f>IF(COUNTIF('01_Вводные'!$B$98:$E$98,AO$3)&gt;0,SUMIF('01_Вводные'!$B$98:$E$98,AO$3,'01_Вводные'!$B$99:$E$99),'06_Сеть_и_дети'!AO19*'01_Вводные'!$B$74*AO4)</f>
        <v/>
      </c>
      <c r="AP5" s="40">
        <f>IF(COUNTIF('01_Вводные'!$B$98:$E$98,AP$3)&gt;0,SUMIF('01_Вводные'!$B$98:$E$98,AP$3,'01_Вводные'!$B$99:$E$99),'06_Сеть_и_дети'!AP19*'01_Вводные'!$B$74*AP4)</f>
        <v/>
      </c>
      <c r="AQ5" s="40">
        <f>IF(COUNTIF('01_Вводные'!$B$98:$E$98,AQ$3)&gt;0,SUMIF('01_Вводные'!$B$98:$E$98,AQ$3,'01_Вводные'!$B$99:$E$99),'06_Сеть_и_дети'!AQ19*'01_Вводные'!$B$74*AQ4)</f>
        <v/>
      </c>
      <c r="AR5" s="40">
        <f>IF(COUNTIF('01_Вводные'!$B$98:$E$98,AR$3)&gt;0,SUMIF('01_Вводные'!$B$98:$E$98,AR$3,'01_Вводные'!$B$99:$E$99),'06_Сеть_и_дети'!AR19*'01_Вводные'!$B$74*AR4)</f>
        <v/>
      </c>
      <c r="AS5" s="40">
        <f>IF(COUNTIF('01_Вводные'!$B$98:$E$98,AS$3)&gt;0,SUMIF('01_Вводные'!$B$98:$E$98,AS$3,'01_Вводные'!$B$99:$E$99),'06_Сеть_и_дети'!AS19*'01_Вводные'!$B$74*AS4)</f>
        <v/>
      </c>
      <c r="AT5" s="40">
        <f>IF(COUNTIF('01_Вводные'!$B$98:$E$98,AT$3)&gt;0,SUMIF('01_Вводные'!$B$98:$E$98,AT$3,'01_Вводные'!$B$99:$E$99),'06_Сеть_и_дети'!AT19*'01_Вводные'!$B$74*AT4)</f>
        <v/>
      </c>
      <c r="AU5" s="40">
        <f>IF(COUNTIF('01_Вводные'!$B$98:$E$98,AU$3)&gt;0,SUMIF('01_Вводные'!$B$98:$E$98,AU$3,'01_Вводные'!$B$99:$E$99),'06_Сеть_и_дети'!AU19*'01_Вводные'!$B$74*AU4)</f>
        <v/>
      </c>
      <c r="AV5" s="40">
        <f>IF(COUNTIF('01_Вводные'!$B$98:$E$98,AV$3)&gt;0,SUMIF('01_Вводные'!$B$98:$E$98,AV$3,'01_Вводные'!$B$99:$E$99),'06_Сеть_и_дети'!AV19*'01_Вводные'!$B$74*AV4)</f>
        <v/>
      </c>
      <c r="AW5" s="40">
        <f>IF(COUNTIF('01_Вводные'!$B$98:$E$98,AW$3)&gt;0,SUMIF('01_Вводные'!$B$98:$E$98,AW$3,'01_Вводные'!$B$99:$E$99),'06_Сеть_и_дети'!AW19*'01_Вводные'!$B$74*AW4)</f>
        <v/>
      </c>
      <c r="AX5" s="40">
        <f>IF(COUNTIF('01_Вводные'!$B$98:$E$98,AX$3)&gt;0,SUMIF('01_Вводные'!$B$98:$E$98,AX$3,'01_Вводные'!$B$99:$E$99),'06_Сеть_и_дети'!AX19*'01_Вводные'!$B$74*AX4)</f>
        <v/>
      </c>
      <c r="AY5" s="40">
        <f>IF(COUNTIF('01_Вводные'!$B$98:$E$98,AY$3)&gt;0,SUMIF('01_Вводные'!$B$98:$E$98,AY$3,'01_Вводные'!$B$99:$E$99),'06_Сеть_и_дети'!AY19*'01_Вводные'!$B$74*AY4)</f>
        <v/>
      </c>
      <c r="AZ5" s="40">
        <f>IF(COUNTIF('01_Вводные'!$B$98:$E$98,AZ$3)&gt;0,SUMIF('01_Вводные'!$B$98:$E$98,AZ$3,'01_Вводные'!$B$99:$E$99),'06_Сеть_и_дети'!AZ19*'01_Вводные'!$B$74*AZ4)</f>
        <v/>
      </c>
      <c r="BA5" s="40">
        <f>IF(COUNTIF('01_Вводные'!$B$98:$E$98,BA$3)&gt;0,SUMIF('01_Вводные'!$B$98:$E$98,BA$3,'01_Вводные'!$B$99:$E$99),'06_Сеть_и_дети'!BA19*'01_Вводные'!$B$74*BA4)</f>
        <v/>
      </c>
      <c r="BB5" s="40">
        <f>IF(COUNTIF('01_Вводные'!$B$98:$E$98,BB$3)&gt;0,SUMIF('01_Вводные'!$B$98:$E$98,BB$3,'01_Вводные'!$B$99:$E$99),'06_Сеть_и_дети'!BB19*'01_Вводные'!$B$74*BB4)</f>
        <v/>
      </c>
      <c r="BC5" s="40">
        <f>IF(COUNTIF('01_Вводные'!$B$98:$E$98,BC$3)&gt;0,SUMIF('01_Вводные'!$B$98:$E$98,BC$3,'01_Вводные'!$B$99:$E$99),'06_Сеть_и_дети'!BC19*'01_Вводные'!$B$74*BC4)</f>
        <v/>
      </c>
      <c r="BD5" s="40">
        <f>IF(COUNTIF('01_Вводные'!$B$98:$E$98,BD$3)&gt;0,SUMIF('01_Вводные'!$B$98:$E$98,BD$3,'01_Вводные'!$B$99:$E$99),'06_Сеть_и_дети'!BD19*'01_Вводные'!$B$74*BD4)</f>
        <v/>
      </c>
      <c r="BE5" s="40">
        <f>IF(COUNTIF('01_Вводные'!$B$98:$E$98,BE$3)&gt;0,SUMIF('01_Вводные'!$B$98:$E$98,BE$3,'01_Вводные'!$B$99:$E$99),'06_Сеть_и_дети'!BE19*'01_Вводные'!$B$74*BE4)</f>
        <v/>
      </c>
      <c r="BF5" s="40">
        <f>IF(COUNTIF('01_Вводные'!$B$98:$E$98,BF$3)&gt;0,SUMIF('01_Вводные'!$B$98:$E$98,BF$3,'01_Вводные'!$B$99:$E$99),'06_Сеть_и_дети'!BF19*'01_Вводные'!$B$74*BF4)</f>
        <v/>
      </c>
      <c r="BG5" s="40">
        <f>IF(COUNTIF('01_Вводные'!$B$98:$E$98,BG$3)&gt;0,SUMIF('01_Вводные'!$B$98:$E$98,BG$3,'01_Вводные'!$B$99:$E$99),'06_Сеть_и_дети'!BG19*'01_Вводные'!$B$74*BG4)</f>
        <v/>
      </c>
      <c r="BH5" s="40">
        <f>IF(COUNTIF('01_Вводные'!$B$98:$E$98,BH$3)&gt;0,SUMIF('01_Вводные'!$B$98:$E$98,BH$3,'01_Вводные'!$B$99:$E$99),'06_Сеть_и_дети'!BH19*'01_Вводные'!$B$74*BH4)</f>
        <v/>
      </c>
      <c r="BI5" s="40">
        <f>IF(COUNTIF('01_Вводные'!$B$98:$E$98,BI$3)&gt;0,SUMIF('01_Вводные'!$B$98:$E$98,BI$3,'01_Вводные'!$B$99:$E$99),'06_Сеть_и_дети'!BI19*'01_Вводные'!$B$74*BI4)</f>
        <v/>
      </c>
      <c r="BJ5" s="40">
        <f>IF(COUNTIF('01_Вводные'!$B$98:$E$98,BJ$3)&gt;0,SUMIF('01_Вводные'!$B$98:$E$98,BJ$3,'01_Вводные'!$B$99:$E$99),'06_Сеть_и_дети'!BJ19*'01_Вводные'!$B$74*BJ4)</f>
        <v/>
      </c>
      <c r="BK5" s="40">
        <f>IF(COUNTIF('01_Вводные'!$B$98:$E$98,BK$3)&gt;0,SUMIF('01_Вводные'!$B$98:$E$98,BK$3,'01_Вводные'!$B$99:$E$99),'06_Сеть_и_дети'!BK19*'01_Вводные'!$B$74*BK4)</f>
        <v/>
      </c>
      <c r="BL5" s="40">
        <f>IF(COUNTIF('01_Вводные'!$B$98:$E$98,BL$3)&gt;0,SUMIF('01_Вводные'!$B$98:$E$98,BL$3,'01_Вводные'!$B$99:$E$99),'06_Сеть_и_дети'!BL19*'01_Вводные'!$B$74*BL4)</f>
        <v/>
      </c>
      <c r="BM5" s="40">
        <f>IF(COUNTIF('01_Вводные'!$B$98:$E$98,BM$3)&gt;0,SUMIF('01_Вводные'!$B$98:$E$98,BM$3,'01_Вводные'!$B$99:$E$99),'06_Сеть_и_дети'!BM19*'01_Вводные'!$B$74*BM4)</f>
        <v/>
      </c>
      <c r="BN5" s="40">
        <f>IF(COUNTIF('01_Вводные'!$B$98:$E$98,BN$3)&gt;0,SUMIF('01_Вводные'!$B$98:$E$98,BN$3,'01_Вводные'!$B$99:$E$99),'06_Сеть_и_дети'!BN19*'01_Вводные'!$B$74*BN4)</f>
        <v/>
      </c>
      <c r="BO5" s="40">
        <f>IF(COUNTIF('01_Вводные'!$B$98:$E$98,BO$3)&gt;0,SUMIF('01_Вводные'!$B$98:$E$98,BO$3,'01_Вводные'!$B$99:$E$99),'06_Сеть_и_дети'!BO19*'01_Вводные'!$B$74*BO4)</f>
        <v/>
      </c>
    </row>
    <row r="6">
      <c r="A6" s="2" t="inlineStr">
        <is>
          <t>Действующая сеть — выручка с НДС</t>
        </is>
      </c>
      <c r="B6" s="40">
        <f>IF(COUNTIF('01_Вводные'!$B$98:$E$98,B$3)&gt;0,SUMIF('01_Вводные'!$B$98:$E$98,B$3,'01_Вводные'!$B$100:$E$100),B5*'18_Календарь_тарифы'!B10)</f>
        <v/>
      </c>
      <c r="C6" s="40">
        <f>IF(COUNTIF('01_Вводные'!$B$98:$E$98,C$3)&gt;0,SUMIF('01_Вводные'!$B$98:$E$98,C$3,'01_Вводные'!$B$100:$E$100),C5*'18_Календарь_тарифы'!C10)</f>
        <v/>
      </c>
      <c r="D6" s="40">
        <f>IF(COUNTIF('01_Вводные'!$B$98:$E$98,D$3)&gt;0,SUMIF('01_Вводные'!$B$98:$E$98,D$3,'01_Вводные'!$B$100:$E$100),D5*'18_Календарь_тарифы'!D10)</f>
        <v/>
      </c>
      <c r="E6" s="40">
        <f>IF(COUNTIF('01_Вводные'!$B$98:$E$98,E$3)&gt;0,SUMIF('01_Вводные'!$B$98:$E$98,E$3,'01_Вводные'!$B$100:$E$100),E5*'18_Календарь_тарифы'!E10)</f>
        <v/>
      </c>
      <c r="F6" s="185">
        <f>IF(COUNTIF('01_Вводные'!$B$98:$E$98,F$3)&gt;0,SUMIF('01_Вводные'!$B$98:$E$98,F$3,'01_Вводные'!$B$100:$E$100),F5*'18_Календарь_тарифы'!F10)</f>
        <v/>
      </c>
      <c r="G6" s="185">
        <f>IF(COUNTIF('01_Вводные'!$B$98:$E$98,G$3)&gt;0,SUMIF('01_Вводные'!$B$98:$E$98,G$3,'01_Вводные'!$B$100:$E$100),G5*'18_Календарь_тарифы'!G10)</f>
        <v/>
      </c>
      <c r="H6" s="185">
        <f>IF(COUNTIF('01_Вводные'!$B$98:$E$98,H$3)&gt;0,SUMIF('01_Вводные'!$B$98:$E$98,H$3,'01_Вводные'!$B$100:$E$100),H5*'18_Календарь_тарифы'!H10)</f>
        <v/>
      </c>
      <c r="I6" s="185">
        <f>IF(COUNTIF('01_Вводные'!$B$98:$E$98,I$3)&gt;0,SUMIF('01_Вводные'!$B$98:$E$98,I$3,'01_Вводные'!$B$100:$E$100),I5*'18_Календарь_тарифы'!I10)</f>
        <v/>
      </c>
      <c r="J6" s="185">
        <f>IF(COUNTIF('01_Вводные'!$B$98:$E$98,J$3)&gt;0,SUMIF('01_Вводные'!$B$98:$E$98,J$3,'01_Вводные'!$B$100:$E$100),J5*'18_Календарь_тарифы'!J10)</f>
        <v/>
      </c>
      <c r="K6" s="185">
        <f>IF(COUNTIF('01_Вводные'!$B$98:$E$98,K$3)&gt;0,SUMIF('01_Вводные'!$B$98:$E$98,K$3,'01_Вводные'!$B$100:$E$100),K5*'18_Календарь_тарифы'!K10)</f>
        <v/>
      </c>
      <c r="L6" s="185">
        <f>IF(COUNTIF('01_Вводные'!$B$98:$E$98,L$3)&gt;0,SUMIF('01_Вводные'!$B$98:$E$98,L$3,'01_Вводные'!$B$100:$E$100),L5*'18_Календарь_тарифы'!L10)</f>
        <v/>
      </c>
      <c r="M6" s="185">
        <f>IF(COUNTIF('01_Вводные'!$B$98:$E$98,M$3)&gt;0,SUMIF('01_Вводные'!$B$98:$E$98,M$3,'01_Вводные'!$B$100:$E$100),M5*'18_Календарь_тарифы'!M10)</f>
        <v/>
      </c>
      <c r="N6" s="185">
        <f>IF(COUNTIF('01_Вводные'!$B$98:$E$98,N$3)&gt;0,SUMIF('01_Вводные'!$B$98:$E$98,N$3,'01_Вводные'!$B$100:$E$100),N5*'18_Календарь_тарифы'!N10)</f>
        <v/>
      </c>
      <c r="O6" s="185">
        <f>IF(COUNTIF('01_Вводные'!$B$98:$E$98,O$3)&gt;0,SUMIF('01_Вводные'!$B$98:$E$98,O$3,'01_Вводные'!$B$100:$E$100),O5*'18_Календарь_тарифы'!O10)</f>
        <v/>
      </c>
      <c r="P6" s="185">
        <f>IF(COUNTIF('01_Вводные'!$B$98:$E$98,P$3)&gt;0,SUMIF('01_Вводные'!$B$98:$E$98,P$3,'01_Вводные'!$B$100:$E$100),P5*'18_Календарь_тарифы'!P10)</f>
        <v/>
      </c>
      <c r="Q6" s="185">
        <f>IF(COUNTIF('01_Вводные'!$B$98:$E$98,Q$3)&gt;0,SUMIF('01_Вводные'!$B$98:$E$98,Q$3,'01_Вводные'!$B$100:$E$100),Q5*'18_Календарь_тарифы'!Q10)</f>
        <v/>
      </c>
      <c r="R6" s="185">
        <f>IF(COUNTIF('01_Вводные'!$B$98:$E$98,R$3)&gt;0,SUMIF('01_Вводные'!$B$98:$E$98,R$3,'01_Вводные'!$B$100:$E$100),R5*'18_Календарь_тарифы'!R10)</f>
        <v/>
      </c>
      <c r="S6" s="185">
        <f>IF(COUNTIF('01_Вводные'!$B$98:$E$98,S$3)&gt;0,SUMIF('01_Вводные'!$B$98:$E$98,S$3,'01_Вводные'!$B$100:$E$100),S5*'18_Календарь_тарифы'!S10)</f>
        <v/>
      </c>
      <c r="T6" s="185">
        <f>IF(COUNTIF('01_Вводные'!$B$98:$E$98,T$3)&gt;0,SUMIF('01_Вводные'!$B$98:$E$98,T$3,'01_Вводные'!$B$100:$E$100),T5*'18_Календарь_тарифы'!T10)</f>
        <v/>
      </c>
      <c r="U6" s="185">
        <f>IF(COUNTIF('01_Вводные'!$B$98:$E$98,U$3)&gt;0,SUMIF('01_Вводные'!$B$98:$E$98,U$3,'01_Вводные'!$B$100:$E$100),U5*'18_Календарь_тарифы'!U10)</f>
        <v/>
      </c>
      <c r="V6" s="185">
        <f>IF(COUNTIF('01_Вводные'!$B$98:$E$98,V$3)&gt;0,SUMIF('01_Вводные'!$B$98:$E$98,V$3,'01_Вводные'!$B$100:$E$100),V5*'18_Календарь_тарифы'!V10)</f>
        <v/>
      </c>
      <c r="W6" s="185">
        <f>IF(COUNTIF('01_Вводные'!$B$98:$E$98,W$3)&gt;0,SUMIF('01_Вводные'!$B$98:$E$98,W$3,'01_Вводные'!$B$100:$E$100),W5*'18_Календарь_тарифы'!W10)</f>
        <v/>
      </c>
      <c r="X6" s="185">
        <f>IF(COUNTIF('01_Вводные'!$B$98:$E$98,X$3)&gt;0,SUMIF('01_Вводные'!$B$98:$E$98,X$3,'01_Вводные'!$B$100:$E$100),X5*'18_Календарь_тарифы'!X10)</f>
        <v/>
      </c>
      <c r="Y6" s="185">
        <f>IF(COUNTIF('01_Вводные'!$B$98:$E$98,Y$3)&gt;0,SUMIF('01_Вводные'!$B$98:$E$98,Y$3,'01_Вводные'!$B$100:$E$100),Y5*'18_Календарь_тарифы'!Y10)</f>
        <v/>
      </c>
      <c r="Z6" s="185">
        <f>IF(COUNTIF('01_Вводные'!$B$98:$E$98,Z$3)&gt;0,SUMIF('01_Вводные'!$B$98:$E$98,Z$3,'01_Вводные'!$B$100:$E$100),Z5*'18_Календарь_тарифы'!Z10)</f>
        <v/>
      </c>
      <c r="AA6" s="185">
        <f>IF(COUNTIF('01_Вводные'!$B$98:$E$98,AA$3)&gt;0,SUMIF('01_Вводные'!$B$98:$E$98,AA$3,'01_Вводные'!$B$100:$E$100),AA5*'18_Календарь_тарифы'!AA10)</f>
        <v/>
      </c>
      <c r="AB6" s="185">
        <f>IF(COUNTIF('01_Вводные'!$B$98:$E$98,AB$3)&gt;0,SUMIF('01_Вводные'!$B$98:$E$98,AB$3,'01_Вводные'!$B$100:$E$100),AB5*'18_Календарь_тарифы'!AB10)</f>
        <v/>
      </c>
      <c r="AC6" s="185">
        <f>IF(COUNTIF('01_Вводные'!$B$98:$E$98,AC$3)&gt;0,SUMIF('01_Вводные'!$B$98:$E$98,AC$3,'01_Вводные'!$B$100:$E$100),AC5*'18_Календарь_тарифы'!AC10)</f>
        <v/>
      </c>
      <c r="AD6" s="185">
        <f>IF(COUNTIF('01_Вводные'!$B$98:$E$98,AD$3)&gt;0,SUMIF('01_Вводные'!$B$98:$E$98,AD$3,'01_Вводные'!$B$100:$E$100),AD5*'18_Календарь_тарифы'!AD10)</f>
        <v/>
      </c>
      <c r="AE6" s="185">
        <f>IF(COUNTIF('01_Вводные'!$B$98:$E$98,AE$3)&gt;0,SUMIF('01_Вводные'!$B$98:$E$98,AE$3,'01_Вводные'!$B$100:$E$100),AE5*'18_Календарь_тарифы'!AE10)</f>
        <v/>
      </c>
      <c r="AF6" s="185">
        <f>IF(COUNTIF('01_Вводные'!$B$98:$E$98,AF$3)&gt;0,SUMIF('01_Вводные'!$B$98:$E$98,AF$3,'01_Вводные'!$B$100:$E$100),AF5*'18_Календарь_тарифы'!AF10)</f>
        <v/>
      </c>
      <c r="AG6" s="185">
        <f>IF(COUNTIF('01_Вводные'!$B$98:$E$98,AG$3)&gt;0,SUMIF('01_Вводные'!$B$98:$E$98,AG$3,'01_Вводные'!$B$100:$E$100),AG5*'18_Календарь_тарифы'!AG10)</f>
        <v/>
      </c>
      <c r="AH6" s="185">
        <f>IF(COUNTIF('01_Вводные'!$B$98:$E$98,AH$3)&gt;0,SUMIF('01_Вводные'!$B$98:$E$98,AH$3,'01_Вводные'!$B$100:$E$100),AH5*'18_Календарь_тарифы'!AH10)</f>
        <v/>
      </c>
      <c r="AI6" s="185">
        <f>IF(COUNTIF('01_Вводные'!$B$98:$E$98,AI$3)&gt;0,SUMIF('01_Вводные'!$B$98:$E$98,AI$3,'01_Вводные'!$B$100:$E$100),AI5*'18_Календарь_тарифы'!AI10)</f>
        <v/>
      </c>
      <c r="AJ6" s="185">
        <f>IF(COUNTIF('01_Вводные'!$B$98:$E$98,AJ$3)&gt;0,SUMIF('01_Вводные'!$B$98:$E$98,AJ$3,'01_Вводные'!$B$100:$E$100),AJ5*'18_Календарь_тарифы'!AJ10)</f>
        <v/>
      </c>
      <c r="AK6" s="185">
        <f>IF(COUNTIF('01_Вводные'!$B$98:$E$98,AK$3)&gt;0,SUMIF('01_Вводные'!$B$98:$E$98,AK$3,'01_Вводные'!$B$100:$E$100),AK5*'18_Календарь_тарифы'!AK10)</f>
        <v/>
      </c>
      <c r="AL6" s="185">
        <f>IF(COUNTIF('01_Вводные'!$B$98:$E$98,AL$3)&gt;0,SUMIF('01_Вводные'!$B$98:$E$98,AL$3,'01_Вводные'!$B$100:$E$100),AL5*'18_Календарь_тарифы'!AL10)</f>
        <v/>
      </c>
      <c r="AM6" s="185">
        <f>IF(COUNTIF('01_Вводные'!$B$98:$E$98,AM$3)&gt;0,SUMIF('01_Вводные'!$B$98:$E$98,AM$3,'01_Вводные'!$B$100:$E$100),AM5*'18_Календарь_тарифы'!AM10)</f>
        <v/>
      </c>
      <c r="AN6" s="185">
        <f>IF(COUNTIF('01_Вводные'!$B$98:$E$98,AN$3)&gt;0,SUMIF('01_Вводные'!$B$98:$E$98,AN$3,'01_Вводные'!$B$100:$E$100),AN5*'18_Календарь_тарифы'!AN10)</f>
        <v/>
      </c>
      <c r="AO6" s="185">
        <f>IF(COUNTIF('01_Вводные'!$B$98:$E$98,AO$3)&gt;0,SUMIF('01_Вводные'!$B$98:$E$98,AO$3,'01_Вводные'!$B$100:$E$100),AO5*'18_Календарь_тарифы'!AO10)</f>
        <v/>
      </c>
      <c r="AP6" s="185">
        <f>IF(COUNTIF('01_Вводные'!$B$98:$E$98,AP$3)&gt;0,SUMIF('01_Вводные'!$B$98:$E$98,AP$3,'01_Вводные'!$B$100:$E$100),AP5*'18_Календарь_тарифы'!AP10)</f>
        <v/>
      </c>
      <c r="AQ6" s="185">
        <f>IF(COUNTIF('01_Вводные'!$B$98:$E$98,AQ$3)&gt;0,SUMIF('01_Вводные'!$B$98:$E$98,AQ$3,'01_Вводные'!$B$100:$E$100),AQ5*'18_Календарь_тарифы'!AQ10)</f>
        <v/>
      </c>
      <c r="AR6" s="185">
        <f>IF(COUNTIF('01_Вводные'!$B$98:$E$98,AR$3)&gt;0,SUMIF('01_Вводные'!$B$98:$E$98,AR$3,'01_Вводные'!$B$100:$E$100),AR5*'18_Календарь_тарифы'!AR10)</f>
        <v/>
      </c>
      <c r="AS6" s="185">
        <f>IF(COUNTIF('01_Вводные'!$B$98:$E$98,AS$3)&gt;0,SUMIF('01_Вводные'!$B$98:$E$98,AS$3,'01_Вводные'!$B$100:$E$100),AS5*'18_Календарь_тарифы'!AS10)</f>
        <v/>
      </c>
      <c r="AT6" s="185">
        <f>IF(COUNTIF('01_Вводные'!$B$98:$E$98,AT$3)&gt;0,SUMIF('01_Вводные'!$B$98:$E$98,AT$3,'01_Вводные'!$B$100:$E$100),AT5*'18_Календарь_тарифы'!AT10)</f>
        <v/>
      </c>
      <c r="AU6" s="185">
        <f>IF(COUNTIF('01_Вводные'!$B$98:$E$98,AU$3)&gt;0,SUMIF('01_Вводные'!$B$98:$E$98,AU$3,'01_Вводные'!$B$100:$E$100),AU5*'18_Календарь_тарифы'!AU10)</f>
        <v/>
      </c>
      <c r="AV6" s="185">
        <f>IF(COUNTIF('01_Вводные'!$B$98:$E$98,AV$3)&gt;0,SUMIF('01_Вводные'!$B$98:$E$98,AV$3,'01_Вводные'!$B$100:$E$100),AV5*'18_Календарь_тарифы'!AV10)</f>
        <v/>
      </c>
      <c r="AW6" s="185">
        <f>IF(COUNTIF('01_Вводные'!$B$98:$E$98,AW$3)&gt;0,SUMIF('01_Вводные'!$B$98:$E$98,AW$3,'01_Вводные'!$B$100:$E$100),AW5*'18_Календарь_тарифы'!AW10)</f>
        <v/>
      </c>
      <c r="AX6" s="185">
        <f>IF(COUNTIF('01_Вводные'!$B$98:$E$98,AX$3)&gt;0,SUMIF('01_Вводные'!$B$98:$E$98,AX$3,'01_Вводные'!$B$100:$E$100),AX5*'18_Календарь_тарифы'!AX10)</f>
        <v/>
      </c>
      <c r="AY6" s="185">
        <f>IF(COUNTIF('01_Вводные'!$B$98:$E$98,AY$3)&gt;0,SUMIF('01_Вводные'!$B$98:$E$98,AY$3,'01_Вводные'!$B$100:$E$100),AY5*'18_Календарь_тарифы'!AY10)</f>
        <v/>
      </c>
      <c r="AZ6" s="185">
        <f>IF(COUNTIF('01_Вводные'!$B$98:$E$98,AZ$3)&gt;0,SUMIF('01_Вводные'!$B$98:$E$98,AZ$3,'01_Вводные'!$B$100:$E$100),AZ5*'18_Календарь_тарифы'!AZ10)</f>
        <v/>
      </c>
      <c r="BA6" s="185">
        <f>IF(COUNTIF('01_Вводные'!$B$98:$E$98,BA$3)&gt;0,SUMIF('01_Вводные'!$B$98:$E$98,BA$3,'01_Вводные'!$B$100:$E$100),BA5*'18_Календарь_тарифы'!BA10)</f>
        <v/>
      </c>
      <c r="BB6" s="185">
        <f>IF(COUNTIF('01_Вводные'!$B$98:$E$98,BB$3)&gt;0,SUMIF('01_Вводные'!$B$98:$E$98,BB$3,'01_Вводные'!$B$100:$E$100),BB5*'18_Календарь_тарифы'!BB10)</f>
        <v/>
      </c>
      <c r="BC6" s="185">
        <f>IF(COUNTIF('01_Вводные'!$B$98:$E$98,BC$3)&gt;0,SUMIF('01_Вводные'!$B$98:$E$98,BC$3,'01_Вводные'!$B$100:$E$100),BC5*'18_Календарь_тарифы'!BC10)</f>
        <v/>
      </c>
      <c r="BD6" s="185">
        <f>IF(COUNTIF('01_Вводные'!$B$98:$E$98,BD$3)&gt;0,SUMIF('01_Вводные'!$B$98:$E$98,BD$3,'01_Вводные'!$B$100:$E$100),BD5*'18_Календарь_тарифы'!BD10)</f>
        <v/>
      </c>
      <c r="BE6" s="185">
        <f>IF(COUNTIF('01_Вводные'!$B$98:$E$98,BE$3)&gt;0,SUMIF('01_Вводные'!$B$98:$E$98,BE$3,'01_Вводные'!$B$100:$E$100),BE5*'18_Календарь_тарифы'!BE10)</f>
        <v/>
      </c>
      <c r="BF6" s="185">
        <f>IF(COUNTIF('01_Вводные'!$B$98:$E$98,BF$3)&gt;0,SUMIF('01_Вводные'!$B$98:$E$98,BF$3,'01_Вводные'!$B$100:$E$100),BF5*'18_Календарь_тарифы'!BF10)</f>
        <v/>
      </c>
      <c r="BG6" s="185">
        <f>IF(COUNTIF('01_Вводные'!$B$98:$E$98,BG$3)&gt;0,SUMIF('01_Вводные'!$B$98:$E$98,BG$3,'01_Вводные'!$B$100:$E$100),BG5*'18_Календарь_тарифы'!BG10)</f>
        <v/>
      </c>
      <c r="BH6" s="185">
        <f>IF(COUNTIF('01_Вводные'!$B$98:$E$98,BH$3)&gt;0,SUMIF('01_Вводные'!$B$98:$E$98,BH$3,'01_Вводные'!$B$100:$E$100),BH5*'18_Календарь_тарифы'!BH10)</f>
        <v/>
      </c>
      <c r="BI6" s="185">
        <f>IF(COUNTIF('01_Вводные'!$B$98:$E$98,BI$3)&gt;0,SUMIF('01_Вводные'!$B$98:$E$98,BI$3,'01_Вводные'!$B$100:$E$100),BI5*'18_Календарь_тарифы'!BI10)</f>
        <v/>
      </c>
      <c r="BJ6" s="185">
        <f>IF(COUNTIF('01_Вводные'!$B$98:$E$98,BJ$3)&gt;0,SUMIF('01_Вводные'!$B$98:$E$98,BJ$3,'01_Вводные'!$B$100:$E$100),BJ5*'18_Календарь_тарифы'!BJ10)</f>
        <v/>
      </c>
      <c r="BK6" s="185">
        <f>IF(COUNTIF('01_Вводные'!$B$98:$E$98,BK$3)&gt;0,SUMIF('01_Вводные'!$B$98:$E$98,BK$3,'01_Вводные'!$B$100:$E$100),BK5*'18_Календарь_тарифы'!BK10)</f>
        <v/>
      </c>
      <c r="BL6" s="185">
        <f>IF(COUNTIF('01_Вводные'!$B$98:$E$98,BL$3)&gt;0,SUMIF('01_Вводные'!$B$98:$E$98,BL$3,'01_Вводные'!$B$100:$E$100),BL5*'18_Календарь_тарифы'!BL10)</f>
        <v/>
      </c>
      <c r="BM6" s="185">
        <f>IF(COUNTIF('01_Вводные'!$B$98:$E$98,BM$3)&gt;0,SUMIF('01_Вводные'!$B$98:$E$98,BM$3,'01_Вводные'!$B$100:$E$100),BM5*'18_Календарь_тарифы'!BM10)</f>
        <v/>
      </c>
      <c r="BN6" s="185">
        <f>IF(COUNTIF('01_Вводные'!$B$98:$E$98,BN$3)&gt;0,SUMIF('01_Вводные'!$B$98:$E$98,BN$3,'01_Вводные'!$B$100:$E$100),BN5*'18_Календарь_тарифы'!BN10)</f>
        <v/>
      </c>
      <c r="BO6" s="185">
        <f>IF(COUNTIF('01_Вводные'!$B$98:$E$98,BO$3)&gt;0,SUMIF('01_Вводные'!$B$98:$E$98,BO$3,'01_Вводные'!$B$100:$E$100),BO5*'18_Календарь_тарифы'!BO10)</f>
        <v/>
      </c>
    </row>
    <row r="7">
      <c r="A7" s="2" t="inlineStr">
        <is>
          <t>Действующая сеть — COGS</t>
        </is>
      </c>
      <c r="B7" s="40">
        <f>IF(COUNTIF('01_Вводные'!$B$98:$E$98,B$3)&gt;0,SUMIF('01_Вводные'!$B$98:$E$98,B$3,'01_Вводные'!$B$101:$E$101),B5*'18_Календарь_тарифы'!B9)</f>
        <v/>
      </c>
      <c r="C7" s="40">
        <f>IF(COUNTIF('01_Вводные'!$B$98:$E$98,C$3)&gt;0,SUMIF('01_Вводные'!$B$98:$E$98,C$3,'01_Вводные'!$B$101:$E$101),C5*'18_Календарь_тарифы'!C9)</f>
        <v/>
      </c>
      <c r="D7" s="40">
        <f>IF(COUNTIF('01_Вводные'!$B$98:$E$98,D$3)&gt;0,SUMIF('01_Вводные'!$B$98:$E$98,D$3,'01_Вводные'!$B$101:$E$101),D5*'18_Календарь_тарифы'!D9)</f>
        <v/>
      </c>
      <c r="E7" s="40">
        <f>IF(COUNTIF('01_Вводные'!$B$98:$E$98,E$3)&gt;0,SUMIF('01_Вводные'!$B$98:$E$98,E$3,'01_Вводные'!$B$101:$E$101),E5*'18_Календарь_тарифы'!E9)</f>
        <v/>
      </c>
      <c r="F7" s="185">
        <f>IF(COUNTIF('01_Вводные'!$B$98:$E$98,F$3)&gt;0,SUMIF('01_Вводные'!$B$98:$E$98,F$3,'01_Вводные'!$B$101:$E$101),F5*'18_Календарь_тарифы'!F9)</f>
        <v/>
      </c>
      <c r="G7" s="185">
        <f>IF(COUNTIF('01_Вводные'!$B$98:$E$98,G$3)&gt;0,SUMIF('01_Вводные'!$B$98:$E$98,G$3,'01_Вводные'!$B$101:$E$101),G5*'18_Календарь_тарифы'!G9)</f>
        <v/>
      </c>
      <c r="H7" s="185">
        <f>IF(COUNTIF('01_Вводные'!$B$98:$E$98,H$3)&gt;0,SUMIF('01_Вводные'!$B$98:$E$98,H$3,'01_Вводные'!$B$101:$E$101),H5*'18_Календарь_тарифы'!H9)</f>
        <v/>
      </c>
      <c r="I7" s="185">
        <f>IF(COUNTIF('01_Вводные'!$B$98:$E$98,I$3)&gt;0,SUMIF('01_Вводные'!$B$98:$E$98,I$3,'01_Вводные'!$B$101:$E$101),I5*'18_Календарь_тарифы'!I9)</f>
        <v/>
      </c>
      <c r="J7" s="185">
        <f>IF(COUNTIF('01_Вводные'!$B$98:$E$98,J$3)&gt;0,SUMIF('01_Вводные'!$B$98:$E$98,J$3,'01_Вводные'!$B$101:$E$101),J5*'18_Календарь_тарифы'!J9)</f>
        <v/>
      </c>
      <c r="K7" s="185">
        <f>IF(COUNTIF('01_Вводные'!$B$98:$E$98,K$3)&gt;0,SUMIF('01_Вводные'!$B$98:$E$98,K$3,'01_Вводные'!$B$101:$E$101),K5*'18_Календарь_тарифы'!K9)</f>
        <v/>
      </c>
      <c r="L7" s="185">
        <f>IF(COUNTIF('01_Вводные'!$B$98:$E$98,L$3)&gt;0,SUMIF('01_Вводные'!$B$98:$E$98,L$3,'01_Вводные'!$B$101:$E$101),L5*'18_Календарь_тарифы'!L9)</f>
        <v/>
      </c>
      <c r="M7" s="185">
        <f>IF(COUNTIF('01_Вводные'!$B$98:$E$98,M$3)&gt;0,SUMIF('01_Вводные'!$B$98:$E$98,M$3,'01_Вводные'!$B$101:$E$101),M5*'18_Календарь_тарифы'!M9)</f>
        <v/>
      </c>
      <c r="N7" s="185">
        <f>IF(COUNTIF('01_Вводные'!$B$98:$E$98,N$3)&gt;0,SUMIF('01_Вводные'!$B$98:$E$98,N$3,'01_Вводные'!$B$101:$E$101),N5*'18_Календарь_тарифы'!N9)</f>
        <v/>
      </c>
      <c r="O7" s="185">
        <f>IF(COUNTIF('01_Вводные'!$B$98:$E$98,O$3)&gt;0,SUMIF('01_Вводные'!$B$98:$E$98,O$3,'01_Вводные'!$B$101:$E$101),O5*'18_Календарь_тарифы'!O9)</f>
        <v/>
      </c>
      <c r="P7" s="185">
        <f>IF(COUNTIF('01_Вводные'!$B$98:$E$98,P$3)&gt;0,SUMIF('01_Вводные'!$B$98:$E$98,P$3,'01_Вводные'!$B$101:$E$101),P5*'18_Календарь_тарифы'!P9)</f>
        <v/>
      </c>
      <c r="Q7" s="185">
        <f>IF(COUNTIF('01_Вводные'!$B$98:$E$98,Q$3)&gt;0,SUMIF('01_Вводные'!$B$98:$E$98,Q$3,'01_Вводные'!$B$101:$E$101),Q5*'18_Календарь_тарифы'!Q9)</f>
        <v/>
      </c>
      <c r="R7" s="185">
        <f>IF(COUNTIF('01_Вводные'!$B$98:$E$98,R$3)&gt;0,SUMIF('01_Вводные'!$B$98:$E$98,R$3,'01_Вводные'!$B$101:$E$101),R5*'18_Календарь_тарифы'!R9)</f>
        <v/>
      </c>
      <c r="S7" s="185">
        <f>IF(COUNTIF('01_Вводные'!$B$98:$E$98,S$3)&gt;0,SUMIF('01_Вводные'!$B$98:$E$98,S$3,'01_Вводные'!$B$101:$E$101),S5*'18_Календарь_тарифы'!S9)</f>
        <v/>
      </c>
      <c r="T7" s="185">
        <f>IF(COUNTIF('01_Вводные'!$B$98:$E$98,T$3)&gt;0,SUMIF('01_Вводные'!$B$98:$E$98,T$3,'01_Вводные'!$B$101:$E$101),T5*'18_Календарь_тарифы'!T9)</f>
        <v/>
      </c>
      <c r="U7" s="185">
        <f>IF(COUNTIF('01_Вводные'!$B$98:$E$98,U$3)&gt;0,SUMIF('01_Вводные'!$B$98:$E$98,U$3,'01_Вводные'!$B$101:$E$101),U5*'18_Календарь_тарифы'!U9)</f>
        <v/>
      </c>
      <c r="V7" s="185">
        <f>IF(COUNTIF('01_Вводные'!$B$98:$E$98,V$3)&gt;0,SUMIF('01_Вводные'!$B$98:$E$98,V$3,'01_Вводные'!$B$101:$E$101),V5*'18_Календарь_тарифы'!V9)</f>
        <v/>
      </c>
      <c r="W7" s="185">
        <f>IF(COUNTIF('01_Вводные'!$B$98:$E$98,W$3)&gt;0,SUMIF('01_Вводные'!$B$98:$E$98,W$3,'01_Вводные'!$B$101:$E$101),W5*'18_Календарь_тарифы'!W9)</f>
        <v/>
      </c>
      <c r="X7" s="185">
        <f>IF(COUNTIF('01_Вводные'!$B$98:$E$98,X$3)&gt;0,SUMIF('01_Вводные'!$B$98:$E$98,X$3,'01_Вводные'!$B$101:$E$101),X5*'18_Календарь_тарифы'!X9)</f>
        <v/>
      </c>
      <c r="Y7" s="185">
        <f>IF(COUNTIF('01_Вводные'!$B$98:$E$98,Y$3)&gt;0,SUMIF('01_Вводные'!$B$98:$E$98,Y$3,'01_Вводные'!$B$101:$E$101),Y5*'18_Календарь_тарифы'!Y9)</f>
        <v/>
      </c>
      <c r="Z7" s="185">
        <f>IF(COUNTIF('01_Вводные'!$B$98:$E$98,Z$3)&gt;0,SUMIF('01_Вводные'!$B$98:$E$98,Z$3,'01_Вводные'!$B$101:$E$101),Z5*'18_Календарь_тарифы'!Z9)</f>
        <v/>
      </c>
      <c r="AA7" s="185">
        <f>IF(COUNTIF('01_Вводные'!$B$98:$E$98,AA$3)&gt;0,SUMIF('01_Вводные'!$B$98:$E$98,AA$3,'01_Вводные'!$B$101:$E$101),AA5*'18_Календарь_тарифы'!AA9)</f>
        <v/>
      </c>
      <c r="AB7" s="185">
        <f>IF(COUNTIF('01_Вводные'!$B$98:$E$98,AB$3)&gt;0,SUMIF('01_Вводные'!$B$98:$E$98,AB$3,'01_Вводные'!$B$101:$E$101),AB5*'18_Календарь_тарифы'!AB9)</f>
        <v/>
      </c>
      <c r="AC7" s="185">
        <f>IF(COUNTIF('01_Вводные'!$B$98:$E$98,AC$3)&gt;0,SUMIF('01_Вводные'!$B$98:$E$98,AC$3,'01_Вводные'!$B$101:$E$101),AC5*'18_Календарь_тарифы'!AC9)</f>
        <v/>
      </c>
      <c r="AD7" s="185">
        <f>IF(COUNTIF('01_Вводные'!$B$98:$E$98,AD$3)&gt;0,SUMIF('01_Вводные'!$B$98:$E$98,AD$3,'01_Вводные'!$B$101:$E$101),AD5*'18_Календарь_тарифы'!AD9)</f>
        <v/>
      </c>
      <c r="AE7" s="185">
        <f>IF(COUNTIF('01_Вводные'!$B$98:$E$98,AE$3)&gt;0,SUMIF('01_Вводные'!$B$98:$E$98,AE$3,'01_Вводные'!$B$101:$E$101),AE5*'18_Календарь_тарифы'!AE9)</f>
        <v/>
      </c>
      <c r="AF7" s="185">
        <f>IF(COUNTIF('01_Вводные'!$B$98:$E$98,AF$3)&gt;0,SUMIF('01_Вводные'!$B$98:$E$98,AF$3,'01_Вводные'!$B$101:$E$101),AF5*'18_Календарь_тарифы'!AF9)</f>
        <v/>
      </c>
      <c r="AG7" s="185">
        <f>IF(COUNTIF('01_Вводные'!$B$98:$E$98,AG$3)&gt;0,SUMIF('01_Вводные'!$B$98:$E$98,AG$3,'01_Вводные'!$B$101:$E$101),AG5*'18_Календарь_тарифы'!AG9)</f>
        <v/>
      </c>
      <c r="AH7" s="185">
        <f>IF(COUNTIF('01_Вводные'!$B$98:$E$98,AH$3)&gt;0,SUMIF('01_Вводные'!$B$98:$E$98,AH$3,'01_Вводные'!$B$101:$E$101),AH5*'18_Календарь_тарифы'!AH9)</f>
        <v/>
      </c>
      <c r="AI7" s="185">
        <f>IF(COUNTIF('01_Вводные'!$B$98:$E$98,AI$3)&gt;0,SUMIF('01_Вводные'!$B$98:$E$98,AI$3,'01_Вводные'!$B$101:$E$101),AI5*'18_Календарь_тарифы'!AI9)</f>
        <v/>
      </c>
      <c r="AJ7" s="185">
        <f>IF(COUNTIF('01_Вводные'!$B$98:$E$98,AJ$3)&gt;0,SUMIF('01_Вводные'!$B$98:$E$98,AJ$3,'01_Вводные'!$B$101:$E$101),AJ5*'18_Календарь_тарифы'!AJ9)</f>
        <v/>
      </c>
      <c r="AK7" s="185">
        <f>IF(COUNTIF('01_Вводные'!$B$98:$E$98,AK$3)&gt;0,SUMIF('01_Вводные'!$B$98:$E$98,AK$3,'01_Вводные'!$B$101:$E$101),AK5*'18_Календарь_тарифы'!AK9)</f>
        <v/>
      </c>
      <c r="AL7" s="185">
        <f>IF(COUNTIF('01_Вводные'!$B$98:$E$98,AL$3)&gt;0,SUMIF('01_Вводные'!$B$98:$E$98,AL$3,'01_Вводные'!$B$101:$E$101),AL5*'18_Календарь_тарифы'!AL9)</f>
        <v/>
      </c>
      <c r="AM7" s="185">
        <f>IF(COUNTIF('01_Вводные'!$B$98:$E$98,AM$3)&gt;0,SUMIF('01_Вводные'!$B$98:$E$98,AM$3,'01_Вводные'!$B$101:$E$101),AM5*'18_Календарь_тарифы'!AM9)</f>
        <v/>
      </c>
      <c r="AN7" s="185">
        <f>IF(COUNTIF('01_Вводные'!$B$98:$E$98,AN$3)&gt;0,SUMIF('01_Вводные'!$B$98:$E$98,AN$3,'01_Вводные'!$B$101:$E$101),AN5*'18_Календарь_тарифы'!AN9)</f>
        <v/>
      </c>
      <c r="AO7" s="185">
        <f>IF(COUNTIF('01_Вводные'!$B$98:$E$98,AO$3)&gt;0,SUMIF('01_Вводные'!$B$98:$E$98,AO$3,'01_Вводные'!$B$101:$E$101),AO5*'18_Календарь_тарифы'!AO9)</f>
        <v/>
      </c>
      <c r="AP7" s="185">
        <f>IF(COUNTIF('01_Вводные'!$B$98:$E$98,AP$3)&gt;0,SUMIF('01_Вводные'!$B$98:$E$98,AP$3,'01_Вводные'!$B$101:$E$101),AP5*'18_Календарь_тарифы'!AP9)</f>
        <v/>
      </c>
      <c r="AQ7" s="185">
        <f>IF(COUNTIF('01_Вводные'!$B$98:$E$98,AQ$3)&gt;0,SUMIF('01_Вводные'!$B$98:$E$98,AQ$3,'01_Вводные'!$B$101:$E$101),AQ5*'18_Календарь_тарифы'!AQ9)</f>
        <v/>
      </c>
      <c r="AR7" s="185">
        <f>IF(COUNTIF('01_Вводные'!$B$98:$E$98,AR$3)&gt;0,SUMIF('01_Вводные'!$B$98:$E$98,AR$3,'01_Вводные'!$B$101:$E$101),AR5*'18_Календарь_тарифы'!AR9)</f>
        <v/>
      </c>
      <c r="AS7" s="185">
        <f>IF(COUNTIF('01_Вводные'!$B$98:$E$98,AS$3)&gt;0,SUMIF('01_Вводные'!$B$98:$E$98,AS$3,'01_Вводные'!$B$101:$E$101),AS5*'18_Календарь_тарифы'!AS9)</f>
        <v/>
      </c>
      <c r="AT7" s="185">
        <f>IF(COUNTIF('01_Вводные'!$B$98:$E$98,AT$3)&gt;0,SUMIF('01_Вводные'!$B$98:$E$98,AT$3,'01_Вводные'!$B$101:$E$101),AT5*'18_Календарь_тарифы'!AT9)</f>
        <v/>
      </c>
      <c r="AU7" s="185">
        <f>IF(COUNTIF('01_Вводные'!$B$98:$E$98,AU$3)&gt;0,SUMIF('01_Вводные'!$B$98:$E$98,AU$3,'01_Вводные'!$B$101:$E$101),AU5*'18_Календарь_тарифы'!AU9)</f>
        <v/>
      </c>
      <c r="AV7" s="185">
        <f>IF(COUNTIF('01_Вводные'!$B$98:$E$98,AV$3)&gt;0,SUMIF('01_Вводные'!$B$98:$E$98,AV$3,'01_Вводные'!$B$101:$E$101),AV5*'18_Календарь_тарифы'!AV9)</f>
        <v/>
      </c>
      <c r="AW7" s="185">
        <f>IF(COUNTIF('01_Вводные'!$B$98:$E$98,AW$3)&gt;0,SUMIF('01_Вводные'!$B$98:$E$98,AW$3,'01_Вводные'!$B$101:$E$101),AW5*'18_Календарь_тарифы'!AW9)</f>
        <v/>
      </c>
      <c r="AX7" s="185">
        <f>IF(COUNTIF('01_Вводные'!$B$98:$E$98,AX$3)&gt;0,SUMIF('01_Вводные'!$B$98:$E$98,AX$3,'01_Вводные'!$B$101:$E$101),AX5*'18_Календарь_тарифы'!AX9)</f>
        <v/>
      </c>
      <c r="AY7" s="185">
        <f>IF(COUNTIF('01_Вводные'!$B$98:$E$98,AY$3)&gt;0,SUMIF('01_Вводные'!$B$98:$E$98,AY$3,'01_Вводные'!$B$101:$E$101),AY5*'18_Календарь_тарифы'!AY9)</f>
        <v/>
      </c>
      <c r="AZ7" s="185">
        <f>IF(COUNTIF('01_Вводные'!$B$98:$E$98,AZ$3)&gt;0,SUMIF('01_Вводные'!$B$98:$E$98,AZ$3,'01_Вводные'!$B$101:$E$101),AZ5*'18_Календарь_тарифы'!AZ9)</f>
        <v/>
      </c>
      <c r="BA7" s="185">
        <f>IF(COUNTIF('01_Вводные'!$B$98:$E$98,BA$3)&gt;0,SUMIF('01_Вводные'!$B$98:$E$98,BA$3,'01_Вводные'!$B$101:$E$101),BA5*'18_Календарь_тарифы'!BA9)</f>
        <v/>
      </c>
      <c r="BB7" s="185">
        <f>IF(COUNTIF('01_Вводные'!$B$98:$E$98,BB$3)&gt;0,SUMIF('01_Вводные'!$B$98:$E$98,BB$3,'01_Вводные'!$B$101:$E$101),BB5*'18_Календарь_тарифы'!BB9)</f>
        <v/>
      </c>
      <c r="BC7" s="185">
        <f>IF(COUNTIF('01_Вводные'!$B$98:$E$98,BC$3)&gt;0,SUMIF('01_Вводные'!$B$98:$E$98,BC$3,'01_Вводные'!$B$101:$E$101),BC5*'18_Календарь_тарифы'!BC9)</f>
        <v/>
      </c>
      <c r="BD7" s="185">
        <f>IF(COUNTIF('01_Вводные'!$B$98:$E$98,BD$3)&gt;0,SUMIF('01_Вводные'!$B$98:$E$98,BD$3,'01_Вводные'!$B$101:$E$101),BD5*'18_Календарь_тарифы'!BD9)</f>
        <v/>
      </c>
      <c r="BE7" s="185">
        <f>IF(COUNTIF('01_Вводные'!$B$98:$E$98,BE$3)&gt;0,SUMIF('01_Вводные'!$B$98:$E$98,BE$3,'01_Вводные'!$B$101:$E$101),BE5*'18_Календарь_тарифы'!BE9)</f>
        <v/>
      </c>
      <c r="BF7" s="185">
        <f>IF(COUNTIF('01_Вводные'!$B$98:$E$98,BF$3)&gt;0,SUMIF('01_Вводные'!$B$98:$E$98,BF$3,'01_Вводные'!$B$101:$E$101),BF5*'18_Календарь_тарифы'!BF9)</f>
        <v/>
      </c>
      <c r="BG7" s="185">
        <f>IF(COUNTIF('01_Вводные'!$B$98:$E$98,BG$3)&gt;0,SUMIF('01_Вводные'!$B$98:$E$98,BG$3,'01_Вводные'!$B$101:$E$101),BG5*'18_Календарь_тарифы'!BG9)</f>
        <v/>
      </c>
      <c r="BH7" s="185">
        <f>IF(COUNTIF('01_Вводные'!$B$98:$E$98,BH$3)&gt;0,SUMIF('01_Вводные'!$B$98:$E$98,BH$3,'01_Вводные'!$B$101:$E$101),BH5*'18_Календарь_тарифы'!BH9)</f>
        <v/>
      </c>
      <c r="BI7" s="185">
        <f>IF(COUNTIF('01_Вводные'!$B$98:$E$98,BI$3)&gt;0,SUMIF('01_Вводные'!$B$98:$E$98,BI$3,'01_Вводные'!$B$101:$E$101),BI5*'18_Календарь_тарифы'!BI9)</f>
        <v/>
      </c>
      <c r="BJ7" s="185">
        <f>IF(COUNTIF('01_Вводные'!$B$98:$E$98,BJ$3)&gt;0,SUMIF('01_Вводные'!$B$98:$E$98,BJ$3,'01_Вводные'!$B$101:$E$101),BJ5*'18_Календарь_тарифы'!BJ9)</f>
        <v/>
      </c>
      <c r="BK7" s="185">
        <f>IF(COUNTIF('01_Вводные'!$B$98:$E$98,BK$3)&gt;0,SUMIF('01_Вводные'!$B$98:$E$98,BK$3,'01_Вводные'!$B$101:$E$101),BK5*'18_Календарь_тарифы'!BK9)</f>
        <v/>
      </c>
      <c r="BL7" s="185">
        <f>IF(COUNTIF('01_Вводные'!$B$98:$E$98,BL$3)&gt;0,SUMIF('01_Вводные'!$B$98:$E$98,BL$3,'01_Вводные'!$B$101:$E$101),BL5*'18_Календарь_тарифы'!BL9)</f>
        <v/>
      </c>
      <c r="BM7" s="185">
        <f>IF(COUNTIF('01_Вводные'!$B$98:$E$98,BM$3)&gt;0,SUMIF('01_Вводные'!$B$98:$E$98,BM$3,'01_Вводные'!$B$101:$E$101),BM5*'18_Календарь_тарифы'!BM9)</f>
        <v/>
      </c>
      <c r="BN7" s="185">
        <f>IF(COUNTIF('01_Вводные'!$B$98:$E$98,BN$3)&gt;0,SUMIF('01_Вводные'!$B$98:$E$98,BN$3,'01_Вводные'!$B$101:$E$101),BN5*'18_Календарь_тарифы'!BN9)</f>
        <v/>
      </c>
      <c r="BO7" s="185">
        <f>IF(COUNTIF('01_Вводные'!$B$98:$E$98,BO$3)&gt;0,SUMIF('01_Вводные'!$B$98:$E$98,BO$3,'01_Вводные'!$B$101:$E$101),BO5*'18_Календарь_тарифы'!BO9)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2">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3">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3">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3">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3">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3">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4"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4">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5"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 (в пределах горизонта)</t>
        </is>
      </c>
      <c r="B60" s="103">
        <f>SUMPRODUCT('07_Мерч'!$B$6:$BO$6*(COUNTIF('01_Вводные'!$B$98:$E$98,'07_Мерч'!$B$3:$BO$3)&gt;0))-SUMPRODUCT('01_Вводные'!$B$100:$E$100*(COUNTIF('07_Мерч'!$B$3:$BO$3,'01_Вводные'!$B$98:$E$98)&gt;0))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4">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4">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4">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4">
        <f>IF(ABS(B74)&lt;0.01,"OK","ПРОВЕРИТЬ")</f>
        <v/>
      </c>
      <c r="D74" s="245" t="inlineStr">
        <is>
          <t>Ни поступлений, ни оплат.</t>
        </is>
      </c>
    </row>
    <row r="76">
      <c r="A76" s="326"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7" t="inlineStr">
        <is>
          <t>Начни отсюда</t>
        </is>
      </c>
      <c r="B2" s="328" t="inlineStr">
        <is>
          <t>Лист 00_Старт — один экран: текущий результат, все переключатели со ссылками, итог автопроверок, легенда цветов и карта листов.</t>
        </is>
      </c>
    </row>
    <row r="3">
      <c r="A3" s="327" t="inlineStr">
        <is>
          <t>Почему цифры такие</t>
        </is>
      </c>
      <c r="B3" s="328"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8" t="inlineStr">
        <is>
          <t>Стартовый экран: результат, переключатели, проверки, навигация.</t>
        </is>
      </c>
    </row>
    <row r="51">
      <c r="A51" s="222" t="inlineStr">
        <is>
          <t>16а_Логика_модели</t>
        </is>
      </c>
      <c r="B51" s="328"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f>
        <v/>
      </c>
      <c r="C338">
        <f>'19_Расчет_аналитики'!$B$48*INDEX('01_Вводные'!$C$36:$N$36,1,MOD(MONTH('06_Сеть_и_дети'!C$3)-9,12)+1)/(SUM('01_Вводные'!$C$36:$N$36)-INDEX('01_Вводные'!$C$36:$N$36,1,MOD(MONTH('01_Вводные'!$B$7)-9,12)+1))</f>
        <v/>
      </c>
      <c r="D338">
        <f>'19_Расчет_аналитики'!$B$48*INDEX('01_Вводные'!$C$36:$N$36,1,MOD(MONTH('06_Сеть_и_дети'!D$3)-9,12)+1)/(SUM('01_Вводные'!$C$36:$N$36)-INDEX('01_Вводные'!$C$36:$N$36,1,MOD(MONTH('01_Вводные'!$B$7)-9,12)+1))</f>
        <v/>
      </c>
      <c r="E338">
        <f>'19_Расчет_аналитики'!$B$48*INDEX('01_Вводные'!$C$36:$N$36,1,MOD(MONTH('06_Сеть_и_дети'!E$3)-9,12)+1)/(SUM('01_Вводные'!$C$36:$N$36)-INDEX('01_Вводные'!$C$36:$N$36,1,MOD(MONTH('01_Вводные'!$B$7)-9,12)+1))</f>
        <v/>
      </c>
      <c r="F338">
        <f>'19_Расчет_аналитики'!$B$48*INDEX('01_Вводные'!$C$36:$N$36,1,MOD(MONTH('06_Сеть_и_дети'!F$3)-9,12)+1)/(SUM('01_Вводные'!$C$36:$N$36)-INDEX('01_Вводные'!$C$36:$N$36,1,MOD(MONTH('01_Вводные'!$B$7)-9,12)+1))</f>
        <v/>
      </c>
      <c r="G338">
        <f>'19_Расчет_аналитики'!$B$48*INDEX('01_Вводные'!$C$36:$N$36,1,MOD(MONTH('06_Сеть_и_дети'!G$3)-9,12)+1)/(SUM('01_Вводные'!$C$36:$N$36)-INDEX('01_Вводные'!$C$36:$N$36,1,MOD(MONTH('01_Вводные'!$B$7)-9,12)+1))</f>
        <v/>
      </c>
      <c r="H338">
        <f>'19_Расчет_аналитики'!$B$48*INDEX('01_Вводные'!$C$36:$N$36,1,MOD(MONTH('06_Сеть_и_дети'!H$3)-9,12)+1)/(SUM('01_Вводные'!$C$36:$N$36)-INDEX('01_Вводные'!$C$36:$N$36,1,MOD(MONTH('01_Вводные'!$B$7)-9,12)+1))</f>
        <v/>
      </c>
      <c r="I338">
        <f>'19_Расчет_аналитики'!$B$48*INDEX('01_Вводные'!$C$36:$N$36,1,MOD(MONTH('06_Сеть_и_дети'!I$3)-9,12)+1)/(SUM('01_Вводные'!$C$36:$N$36)-INDEX('01_Вводные'!$C$36:$N$36,1,MOD(MONTH('01_Вводные'!$B$7)-9,12)+1))</f>
        <v/>
      </c>
      <c r="J338">
        <f>'19_Расчет_аналитики'!$B$48*INDEX('01_Вводные'!$C$36:$N$36,1,MOD(MONTH('06_Сеть_и_дети'!J$3)-9,12)+1)/(SUM('01_Вводные'!$C$36:$N$36)-INDEX('01_Вводные'!$C$36:$N$36,1,MOD(MONTH('01_Вводные'!$B$7)-9,12)+1))</f>
        <v/>
      </c>
      <c r="K338">
        <f>'19_Расчет_аналитики'!$B$48*INDEX('01_Вводные'!$C$36:$N$36,1,MOD(MONTH('06_Сеть_и_дети'!K$3)-9,12)+1)/(SUM('01_Вводные'!$C$36:$N$36)-INDEX('01_Вводные'!$C$36:$N$36,1,MOD(MONTH('01_Вводные'!$B$7)-9,12)+1))</f>
        <v/>
      </c>
      <c r="L338">
        <f>'19_Расчет_аналитики'!$B$48*INDEX('01_Вводные'!$C$36:$N$36,1,MOD(MONTH('06_Сеть_и_дети'!L$3)-9,12)+1)/(SUM('01_Вводные'!$C$36:$N$36)-INDEX('01_Вводные'!$C$36:$N$36,1,MOD(MONTH('01_Вводные'!$B$7)-9,12)+1))</f>
        <v/>
      </c>
      <c r="M338">
        <f>'19_Расчет_аналитики'!$B$48*INDEX('01_Вводные'!$C$36:$N$36,1,MOD(MONTH('06_Сеть_и_дети'!M$3)-9,12)+1)/(SUM('01_Вводные'!$C$36:$N$36)-INDEX('01_Вводные'!$C$36:$N$36,1,MOD(MONTH('01_Вводные'!$B$7)-9,12)+1))</f>
        <v/>
      </c>
      <c r="N338">
        <f>'19_Расчет_аналитики'!$B$49*INDEX('01_Вводные'!$C$37:$N$37,1,MOD(MONTH('06_Сеть_и_дети'!N$3)-9,12)+1)/SUM('01_Вводные'!$C$37:$N$37)</f>
        <v/>
      </c>
      <c r="O338">
        <f>'19_Расчет_аналитики'!$B$49*INDEX('01_Вводные'!$C$37:$N$37,1,MOD(MONTH('06_Сеть_и_дети'!O$3)-9,12)+1)/SUM('01_Вводные'!$C$37:$N$37)</f>
        <v/>
      </c>
      <c r="P338">
        <f>'19_Расчет_аналитики'!$B$49*INDEX('01_Вводные'!$C$37:$N$37,1,MOD(MONTH('06_Сеть_и_дети'!P$3)-9,12)+1)/SUM('01_Вводные'!$C$37:$N$37)</f>
        <v/>
      </c>
      <c r="Q338">
        <f>'19_Расчет_аналитики'!$B$49*INDEX('01_Вводные'!$C$37:$N$37,1,MOD(MONTH('06_Сеть_и_дети'!Q$3)-9,12)+1)/SUM('01_Вводные'!$C$37:$N$37)</f>
        <v/>
      </c>
      <c r="R338">
        <f>'19_Расчет_аналитики'!$B$49*INDEX('01_Вводные'!$C$37:$N$37,1,MOD(MONTH('06_Сеть_и_дети'!R$3)-9,12)+1)/SUM('01_Вводные'!$C$37:$N$37)</f>
        <v/>
      </c>
      <c r="S338">
        <f>'19_Расчет_аналитики'!$B$49*INDEX('01_Вводные'!$C$37:$N$37,1,MOD(MONTH('06_Сеть_и_дети'!S$3)-9,12)+1)/SUM('01_Вводные'!$C$37:$N$37)</f>
        <v/>
      </c>
      <c r="T338">
        <f>'19_Расчет_аналитики'!$B$49*INDEX('01_Вводные'!$C$37:$N$37,1,MOD(MONTH('06_Сеть_и_дети'!T$3)-9,12)+1)/SUM('01_Вводные'!$C$37:$N$37)</f>
        <v/>
      </c>
      <c r="U338">
        <f>'19_Расчет_аналитики'!$B$49*INDEX('01_Вводные'!$C$37:$N$37,1,MOD(MONTH('06_Сеть_и_дети'!U$3)-9,12)+1)/SUM('01_Вводные'!$C$37:$N$37)</f>
        <v/>
      </c>
      <c r="V338">
        <f>'19_Расчет_аналитики'!$B$49*INDEX('01_Вводные'!$C$37:$N$37,1,MOD(MONTH('06_Сеть_и_дети'!V$3)-9,12)+1)/SUM('01_Вводные'!$C$37:$N$37)</f>
        <v/>
      </c>
      <c r="W338">
        <f>'19_Расчет_аналитики'!$B$49*INDEX('01_Вводные'!$C$37:$N$37,1,MOD(MONTH('06_Сеть_и_дети'!W$3)-9,12)+1)/SUM('01_Вводные'!$C$37:$N$37)</f>
        <v/>
      </c>
      <c r="X338">
        <f>'19_Расчет_аналитики'!$B$49*INDEX('01_Вводные'!$C$37:$N$37,1,MOD(MONTH('06_Сеть_и_дети'!X$3)-9,12)+1)/SUM('01_Вводные'!$C$37:$N$37)</f>
        <v/>
      </c>
      <c r="Y338">
        <f>'19_Расчет_аналитики'!$B$49*INDEX('01_Вводные'!$C$37:$N$37,1,MOD(MONTH('06_Сеть_и_дети'!Y$3)-9,12)+1)/SUM('01_Вводные'!$C$37:$N$37)</f>
        <v/>
      </c>
      <c r="Z338">
        <f>'19_Расчет_аналитики'!$B$50*INDEX('01_Вводные'!$C$38:$N$38,1,MOD(MONTH('06_Сеть_и_дети'!Z$3)-9,12)+1)/SUM('01_Вводные'!$C$38:$N$38)</f>
        <v/>
      </c>
      <c r="AA338">
        <f>'19_Расчет_аналитики'!$B$50*INDEX('01_Вводные'!$C$38:$N$38,1,MOD(MONTH('06_Сеть_и_дети'!AA$3)-9,12)+1)/SUM('01_Вводные'!$C$38:$N$38)</f>
        <v/>
      </c>
      <c r="AB338">
        <f>'19_Расчет_аналитики'!$B$50*INDEX('01_Вводные'!$C$38:$N$38,1,MOD(MONTH('06_Сеть_и_дети'!AB$3)-9,12)+1)/SUM('01_Вводные'!$C$38:$N$38)</f>
        <v/>
      </c>
      <c r="AC338">
        <f>'19_Расчет_аналитики'!$B$50*INDEX('01_Вводные'!$C$38:$N$38,1,MOD(MONTH('06_Сеть_и_дети'!AC$3)-9,12)+1)/SUM('01_Вводные'!$C$38:$N$38)</f>
        <v/>
      </c>
      <c r="AD338">
        <f>'19_Расчет_аналитики'!$B$50*INDEX('01_Вводные'!$C$38:$N$38,1,MOD(MONTH('06_Сеть_и_дети'!AD$3)-9,12)+1)/SUM('01_Вводные'!$C$38:$N$38)</f>
        <v/>
      </c>
      <c r="AE338">
        <f>'19_Расчет_аналитики'!$B$50*INDEX('01_Вводные'!$C$38:$N$38,1,MOD(MONTH('06_Сеть_и_дети'!AE$3)-9,12)+1)/SUM('01_Вводные'!$C$38:$N$38)</f>
        <v/>
      </c>
      <c r="AF338">
        <f>'19_Расчет_аналитики'!$B$50*INDEX('01_Вводные'!$C$38:$N$38,1,MOD(MONTH('06_Сеть_и_дети'!AF$3)-9,12)+1)/SUM('01_Вводные'!$C$38:$N$38)</f>
        <v/>
      </c>
      <c r="AG338">
        <f>'19_Расчет_аналитики'!$B$50*INDEX('01_Вводные'!$C$38:$N$38,1,MOD(MONTH('06_Сеть_и_дети'!AG$3)-9,12)+1)/SUM('01_Вводные'!$C$38:$N$38)</f>
        <v/>
      </c>
      <c r="AH338">
        <f>'19_Расчет_аналитики'!$B$50*INDEX('01_Вводные'!$C$38:$N$38,1,MOD(MONTH('06_Сеть_и_дети'!AH$3)-9,12)+1)/SUM('01_Вводные'!$C$38:$N$38)</f>
        <v/>
      </c>
      <c r="AI338">
        <f>'19_Расчет_аналитики'!$B$50*INDEX('01_Вводные'!$C$38:$N$38,1,MOD(MONTH('06_Сеть_и_дети'!AI$3)-9,12)+1)/SUM('01_Вводные'!$C$38:$N$38)</f>
        <v/>
      </c>
      <c r="AJ338">
        <f>'19_Расчет_аналитики'!$B$50*INDEX('01_Вводные'!$C$38:$N$38,1,MOD(MONTH('06_Сеть_и_дети'!AJ$3)-9,12)+1)/SUM('01_Вводные'!$C$38:$N$38)</f>
        <v/>
      </c>
      <c r="AK338">
        <f>'19_Расчет_аналитики'!$B$50*INDEX('01_Вводные'!$C$38:$N$38,1,MOD(MONTH('06_Сеть_и_дети'!AK$3)-9,12)+1)/SUM('01_Вводные'!$C$38:$N$38)</f>
        <v/>
      </c>
      <c r="AL338">
        <f>'19_Расчет_аналитики'!$B$51*INDEX('01_Вводные'!$C$39:$N$39,1,MOD(MONTH('06_Сеть_и_дети'!AL$3)-9,12)+1)/SUM('01_Вводные'!$C$39:$N$39)</f>
        <v/>
      </c>
      <c r="AM338">
        <f>'19_Расчет_аналитики'!$B$51*INDEX('01_Вводные'!$C$39:$N$39,1,MOD(MONTH('06_Сеть_и_дети'!AM$3)-9,12)+1)/SUM('01_Вводные'!$C$39:$N$39)</f>
        <v/>
      </c>
      <c r="AN338">
        <f>'19_Расчет_аналитики'!$B$51*INDEX('01_Вводные'!$C$39:$N$39,1,MOD(MONTH('06_Сеть_и_дети'!AN$3)-9,12)+1)/SUM('01_Вводные'!$C$39:$N$39)</f>
        <v/>
      </c>
      <c r="AO338">
        <f>'19_Расчет_аналитики'!$B$51*INDEX('01_Вводные'!$C$39:$N$39,1,MOD(MONTH('06_Сеть_и_дети'!AO$3)-9,12)+1)/SUM('01_Вводные'!$C$39:$N$39)</f>
        <v/>
      </c>
      <c r="AP338">
        <f>'19_Расчет_аналитики'!$B$51*INDEX('01_Вводные'!$C$39:$N$39,1,MOD(MONTH('06_Сеть_и_дети'!AP$3)-9,12)+1)/SUM('01_Вводные'!$C$39:$N$39)</f>
        <v/>
      </c>
      <c r="AQ338">
        <f>'19_Расчет_аналитики'!$B$51*INDEX('01_Вводные'!$C$39:$N$39,1,MOD(MONTH('06_Сеть_и_дети'!AQ$3)-9,12)+1)/SUM('01_Вводные'!$C$39:$N$39)</f>
        <v/>
      </c>
      <c r="AR338">
        <f>'19_Расчет_аналитики'!$B$51*INDEX('01_Вводные'!$C$39:$N$39,1,MOD(MONTH('06_Сеть_и_дети'!AR$3)-9,12)+1)/SUM('01_Вводные'!$C$39:$N$39)</f>
        <v/>
      </c>
      <c r="AS338">
        <f>'19_Расчет_аналитики'!$B$51*INDEX('01_Вводные'!$C$39:$N$39,1,MOD(MONTH('06_Сеть_и_дети'!AS$3)-9,12)+1)/SUM('01_Вводные'!$C$39:$N$39)</f>
        <v/>
      </c>
      <c r="AT338">
        <f>'19_Расчет_аналитики'!$B$51*INDEX('01_Вводные'!$C$39:$N$39,1,MOD(MONTH('06_Сеть_и_дети'!AT$3)-9,12)+1)/SUM('01_Вводные'!$C$39:$N$39)</f>
        <v/>
      </c>
      <c r="AU338">
        <f>'19_Расчет_аналитики'!$B$51*INDEX('01_Вводные'!$C$39:$N$39,1,MOD(MONTH('06_Сеть_и_дети'!AU$3)-9,12)+1)/SUM('01_Вводные'!$C$39:$N$39)</f>
        <v/>
      </c>
      <c r="AV338">
        <f>'19_Расчет_аналитики'!$B$51*INDEX('01_Вводные'!$C$39:$N$39,1,MOD(MONTH('06_Сеть_и_дети'!AV$3)-9,12)+1)/SUM('01_Вводные'!$C$39:$N$39)</f>
        <v/>
      </c>
      <c r="AW338">
        <f>'19_Расчет_аналитики'!$B$51*INDEX('01_Вводные'!$C$39:$N$39,1,MOD(MONTH('06_Сеть_и_дети'!AW$3)-9,12)+1)/SUM('01_Вводные'!$C$39:$N$39)</f>
        <v/>
      </c>
      <c r="AX338">
        <f>'19_Расчет_аналитики'!$B$52*INDEX('01_Вводные'!$C$40:$N$40,1,MOD(MONTH('06_Сеть_и_дети'!AX$3)-9,12)+1)/SUM('01_Вводные'!$C$40:$N$40)</f>
        <v/>
      </c>
      <c r="AY338">
        <f>'19_Расчет_аналитики'!$B$52*INDEX('01_Вводные'!$C$40:$N$40,1,MOD(MONTH('06_Сеть_и_дети'!AY$3)-9,12)+1)/SUM('01_Вводные'!$C$40:$N$40)</f>
        <v/>
      </c>
      <c r="AZ338">
        <f>'19_Расчет_аналитики'!$B$52*INDEX('01_Вводные'!$C$40:$N$40,1,MOD(MONTH('06_Сеть_и_дети'!AZ$3)-9,12)+1)/SUM('01_Вводные'!$C$40:$N$40)</f>
        <v/>
      </c>
      <c r="BA338">
        <f>'19_Расчет_аналитики'!$B$52*INDEX('01_Вводные'!$C$40:$N$40,1,MOD(MONTH('06_Сеть_и_дети'!BA$3)-9,12)+1)/SUM('01_Вводные'!$C$40:$N$40)</f>
        <v/>
      </c>
      <c r="BB338">
        <f>'19_Расчет_аналитики'!$B$52*INDEX('01_Вводные'!$C$40:$N$40,1,MOD(MONTH('06_Сеть_и_дети'!BB$3)-9,12)+1)/SUM('01_Вводные'!$C$40:$N$40)</f>
        <v/>
      </c>
      <c r="BC338">
        <f>'19_Расчет_аналитики'!$B$52*INDEX('01_Вводные'!$C$40:$N$40,1,MOD(MONTH('06_Сеть_и_дети'!BC$3)-9,12)+1)/SUM('01_Вводные'!$C$40:$N$40)</f>
        <v/>
      </c>
      <c r="BD338">
        <f>'19_Расчет_аналитики'!$B$52*INDEX('01_Вводные'!$C$40:$N$40,1,MOD(MONTH('06_Сеть_и_дети'!BD$3)-9,12)+1)/SUM('01_Вводные'!$C$40:$N$40)</f>
        <v/>
      </c>
      <c r="BE338">
        <f>'19_Расчет_аналитики'!$B$52*INDEX('01_Вводные'!$C$40:$N$40,1,MOD(MONTH('06_Сеть_и_дети'!BE$3)-9,12)+1)/SUM('01_Вводные'!$C$40:$N$40)</f>
        <v/>
      </c>
      <c r="BF338">
        <f>'19_Расчет_аналитики'!$B$52*INDEX('01_Вводные'!$C$40:$N$40,1,MOD(MONTH('06_Сеть_и_дети'!BF$3)-9,12)+1)/SUM('01_Вводные'!$C$40:$N$40)</f>
        <v/>
      </c>
      <c r="BG338">
        <f>'19_Расчет_аналитики'!$B$52*INDEX('01_Вводные'!$C$40:$N$40,1,MOD(MONTH('06_Сеть_и_дети'!BG$3)-9,12)+1)/SUM('01_Вводные'!$C$40:$N$40)</f>
        <v/>
      </c>
      <c r="BH338">
        <f>'19_Расчет_аналитики'!$B$52*INDEX('01_Вводные'!$C$40:$N$40,1,MOD(MONTH('06_Сеть_и_дети'!BH$3)-9,12)+1)/SUM('01_Вводные'!$C$40:$N$40)</f>
        <v/>
      </c>
      <c r="BI338">
        <f>'19_Расчет_аналитики'!$B$52*INDEX('01_Вводные'!$C$40:$N$40,1,MOD(MONTH('06_Сеть_и_дети'!BI$3)-9,12)+1)/SUM('01_Вводные'!$C$40:$N$40)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MIN(1,'01_Вводные'!$B$22)+IF(OR(1&lt;=('01_Вводные'!$B$15+'01_Вводные'!$B$311),1-('01_Вводные'!$B$15+'01_Вводные'!$B$311)&gt;60),0,INDEX('19_Расчет_аналитики'!$B$338:$BI$338,1,1-('01_Вводные'!$B$15+'01_Вводные'!$B$311)))*'01_Вводные'!$B$298*MAX(0,'01_Вводные'!$B$22-1)</f>
        <v/>
      </c>
      <c r="C363">
        <f>IF(OR(2&lt;='01_Вводные'!$B$15,2-'01_Вводные'!$B$15&gt;60),0,INDEX('19_Расчет_аналитики'!$B$338:$BI$338,1,2-'01_Вводные'!$B$15))*'01_Вводные'!$B$298*MIN(1,'01_Вводные'!$B$22)+IF(OR(2&lt;=('01_Вводные'!$B$15+'01_Вводные'!$B$311),2-('01_Вводные'!$B$15+'01_Вводные'!$B$311)&gt;60),0,INDEX('19_Расчет_аналитики'!$B$338:$BI$338,1,2-('01_Вводные'!$B$15+'01_Вводные'!$B$311)))*'01_Вводные'!$B$298*MAX(0,'01_Вводные'!$B$22-1)</f>
        <v/>
      </c>
      <c r="D363">
        <f>IF(OR(3&lt;='01_Вводные'!$B$15,3-'01_Вводные'!$B$15&gt;60),0,INDEX('19_Расчет_аналитики'!$B$338:$BI$338,1,3-'01_Вводные'!$B$15))*'01_Вводные'!$B$298*MIN(1,'01_Вводные'!$B$22)+IF(OR(3&lt;=('01_Вводные'!$B$15+'01_Вводные'!$B$311),3-('01_Вводные'!$B$15+'01_Вводные'!$B$311)&gt;60),0,INDEX('19_Расчет_аналитики'!$B$338:$BI$338,1,3-('01_Вводные'!$B$15+'01_Вводные'!$B$311)))*'01_Вводные'!$B$298*MAX(0,'01_Вводные'!$B$22-1)</f>
        <v/>
      </c>
      <c r="E363">
        <f>IF(OR(4&lt;='01_Вводные'!$B$15,4-'01_Вводные'!$B$15&gt;60),0,INDEX('19_Расчет_аналитики'!$B$338:$BI$338,1,4-'01_Вводные'!$B$15))*'01_Вводные'!$B$298*MIN(1,'01_Вводные'!$B$22)+IF(OR(4&lt;=('01_Вводные'!$B$15+'01_Вводные'!$B$311),4-('01_Вводные'!$B$15+'01_Вводные'!$B$311)&gt;60),0,INDEX('19_Расчет_аналитики'!$B$338:$BI$338,1,4-('01_Вводные'!$B$15+'01_Вводные'!$B$311)))*'01_Вводные'!$B$298*MAX(0,'01_Вводные'!$B$22-1)</f>
        <v/>
      </c>
      <c r="F363">
        <f>IF(OR(5&lt;='01_Вводные'!$B$15,5-'01_Вводные'!$B$15&gt;60),0,INDEX('19_Расчет_аналитики'!$B$338:$BI$338,1,5-'01_Вводные'!$B$15))*'01_Вводные'!$B$298*MIN(1,'01_Вводные'!$B$22)+IF(OR(5&lt;=('01_Вводные'!$B$15+'01_Вводные'!$B$311),5-('01_Вводные'!$B$15+'01_Вводные'!$B$311)&gt;60),0,INDEX('19_Расчет_аналитики'!$B$338:$BI$338,1,5-('01_Вводные'!$B$15+'01_Вводные'!$B$311)))*'01_Вводные'!$B$298*MAX(0,'01_Вводные'!$B$22-1)</f>
        <v/>
      </c>
      <c r="G363">
        <f>IF(OR(6&lt;='01_Вводные'!$B$15,6-'01_Вводные'!$B$15&gt;60),0,INDEX('19_Расчет_аналитики'!$B$338:$BI$338,1,6-'01_Вводные'!$B$15))*'01_Вводные'!$B$298*MIN(1,'01_Вводные'!$B$22)+IF(OR(6&lt;=('01_Вводные'!$B$15+'01_Вводные'!$B$311),6-('01_Вводные'!$B$15+'01_Вводные'!$B$311)&gt;60),0,INDEX('19_Расчет_аналитики'!$B$338:$BI$338,1,6-('01_Вводные'!$B$15+'01_Вводные'!$B$311)))*'01_Вводные'!$B$298*MAX(0,'01_Вводные'!$B$22-1)</f>
        <v/>
      </c>
      <c r="H363">
        <f>IF(OR(7&lt;='01_Вводные'!$B$15,7-'01_Вводные'!$B$15&gt;60),0,INDEX('19_Расчет_аналитики'!$B$338:$BI$338,1,7-'01_Вводные'!$B$15))*'01_Вводные'!$B$298*MIN(1,'01_Вводные'!$B$22)+IF(OR(7&lt;=('01_Вводные'!$B$15+'01_Вводные'!$B$311),7-('01_Вводные'!$B$15+'01_Вводные'!$B$311)&gt;60),0,INDEX('19_Расчет_аналитики'!$B$338:$BI$338,1,7-('01_Вводные'!$B$15+'01_Вводные'!$B$311)))*'01_Вводные'!$B$298*MAX(0,'01_Вводные'!$B$22-1)</f>
        <v/>
      </c>
      <c r="I363">
        <f>IF(OR(8&lt;='01_Вводные'!$B$15,8-'01_Вводные'!$B$15&gt;60),0,INDEX('19_Расчет_аналитики'!$B$338:$BI$338,1,8-'01_Вводные'!$B$15))*'01_Вводные'!$B$298*MIN(1,'01_Вводные'!$B$22)+IF(OR(8&lt;=('01_Вводные'!$B$15+'01_Вводные'!$B$311),8-('01_Вводные'!$B$15+'01_Вводные'!$B$311)&gt;60),0,INDEX('19_Расчет_аналитики'!$B$338:$BI$338,1,8-('01_Вводные'!$B$15+'01_Вводные'!$B$311)))*'01_Вводные'!$B$298*MAX(0,'01_Вводные'!$B$22-1)</f>
        <v/>
      </c>
      <c r="J363">
        <f>IF(OR(9&lt;='01_Вводные'!$B$15,9-'01_Вводные'!$B$15&gt;60),0,INDEX('19_Расчет_аналитики'!$B$338:$BI$338,1,9-'01_Вводные'!$B$15))*'01_Вводные'!$B$298*MIN(1,'01_Вводные'!$B$22)+IF(OR(9&lt;=('01_Вводные'!$B$15+'01_Вводные'!$B$311),9-('01_Вводные'!$B$15+'01_Вводные'!$B$311)&gt;60),0,INDEX('19_Расчет_аналитики'!$B$338:$BI$338,1,9-('01_Вводные'!$B$15+'01_Вводные'!$B$311)))*'01_Вводные'!$B$298*MAX(0,'01_Вводные'!$B$22-1)</f>
        <v/>
      </c>
      <c r="K363">
        <f>IF(OR(10&lt;='01_Вводные'!$B$15,10-'01_Вводные'!$B$15&gt;60),0,INDEX('19_Расчет_аналитики'!$B$338:$BI$338,1,10-'01_Вводные'!$B$15))*'01_Вводные'!$B$298*MIN(1,'01_Вводные'!$B$22)+IF(OR(10&lt;=('01_Вводные'!$B$15+'01_Вводные'!$B$311),10-('01_Вводные'!$B$15+'01_Вводные'!$B$311)&gt;60),0,INDEX('19_Расчет_аналитики'!$B$338:$BI$338,1,10-('01_Вводные'!$B$15+'01_Вводные'!$B$311)))*'01_Вводные'!$B$298*MAX(0,'01_Вводные'!$B$22-1)</f>
        <v/>
      </c>
      <c r="L363">
        <f>IF(OR(11&lt;='01_Вводные'!$B$15,11-'01_Вводные'!$B$15&gt;60),0,INDEX('19_Расчет_аналитики'!$B$338:$BI$338,1,11-'01_Вводные'!$B$15))*'01_Вводные'!$B$298*MIN(1,'01_Вводные'!$B$22)+IF(OR(11&lt;=('01_Вводные'!$B$15+'01_Вводные'!$B$311),11-('01_Вводные'!$B$15+'01_Вводные'!$B$311)&gt;60),0,INDEX('19_Расчет_аналитики'!$B$338:$BI$338,1,11-('01_Вводные'!$B$15+'01_Вводные'!$B$311)))*'01_Вводные'!$B$298*MAX(0,'01_Вводные'!$B$22-1)</f>
        <v/>
      </c>
      <c r="M363">
        <f>IF(OR(12&lt;='01_Вводные'!$B$15,12-'01_Вводные'!$B$15&gt;60),0,INDEX('19_Расчет_аналитики'!$B$338:$BI$338,1,12-'01_Вводные'!$B$15))*'01_Вводные'!$B$298*MIN(1,'01_Вводные'!$B$22)+IF(OR(12&lt;=('01_Вводные'!$B$15+'01_Вводные'!$B$311),12-('01_Вводные'!$B$15+'01_Вводные'!$B$311)&gt;60),0,INDEX('19_Расчет_аналитики'!$B$338:$BI$338,1,12-('01_Вводные'!$B$15+'01_Вводные'!$B$311)))*'01_Вводные'!$B$298*MAX(0,'01_Вводные'!$B$22-1)</f>
        <v/>
      </c>
      <c r="N363">
        <f>IF(OR(13&lt;='01_Вводные'!$B$15,13-'01_Вводные'!$B$15&gt;60),0,INDEX('19_Расчет_аналитики'!$B$338:$BI$338,1,13-'01_Вводные'!$B$15))*'01_Вводные'!$B$298*MIN(1,'01_Вводные'!$B$22)+IF(OR(13&lt;=('01_Вводные'!$B$15+'01_Вводные'!$B$311),13-('01_Вводные'!$B$15+'01_Вводные'!$B$311)&gt;60),0,INDEX('19_Расчет_аналитики'!$B$338:$BI$338,1,13-('01_Вводные'!$B$15+'01_Вводные'!$B$311)))*'01_Вводные'!$B$298*MAX(0,'01_Вводные'!$B$22-1)</f>
        <v/>
      </c>
      <c r="O363">
        <f>IF(OR(14&lt;='01_Вводные'!$B$15,14-'01_Вводные'!$B$15&gt;60),0,INDEX('19_Расчет_аналитики'!$B$338:$BI$338,1,14-'01_Вводные'!$B$15))*'01_Вводные'!$B$298*MIN(1,'01_Вводные'!$B$22)+IF(OR(14&lt;=('01_Вводные'!$B$15+'01_Вводные'!$B$311),14-('01_Вводные'!$B$15+'01_Вводные'!$B$311)&gt;60),0,INDEX('19_Расчет_аналитики'!$B$338:$BI$338,1,14-('01_Вводные'!$B$15+'01_Вводные'!$B$311)))*'01_Вводные'!$B$298*MAX(0,'01_Вводные'!$B$22-1)</f>
        <v/>
      </c>
      <c r="P363">
        <f>IF(OR(15&lt;='01_Вводные'!$B$15,15-'01_Вводные'!$B$15&gt;60),0,INDEX('19_Расчет_аналитики'!$B$338:$BI$338,1,15-'01_Вводные'!$B$15))*'01_Вводные'!$B$298*MIN(1,'01_Вводные'!$B$22)+IF(OR(15&lt;=('01_Вводные'!$B$15+'01_Вводные'!$B$311),15-('01_Вводные'!$B$15+'01_Вводные'!$B$311)&gt;60),0,INDEX('19_Расчет_аналитики'!$B$338:$BI$338,1,15-('01_Вводные'!$B$15+'01_Вводные'!$B$311)))*'01_Вводные'!$B$298*MAX(0,'01_Вводные'!$B$22-1)</f>
        <v/>
      </c>
      <c r="Q363">
        <f>IF(OR(16&lt;='01_Вводные'!$B$15,16-'01_Вводные'!$B$15&gt;60),0,INDEX('19_Расчет_аналитики'!$B$338:$BI$338,1,16-'01_Вводные'!$B$15))*'01_Вводные'!$B$298*MIN(1,'01_Вводные'!$B$22)+IF(OR(16&lt;=('01_Вводные'!$B$15+'01_Вводные'!$B$311),16-('01_Вводные'!$B$15+'01_Вводные'!$B$311)&gt;60),0,INDEX('19_Расчет_аналитики'!$B$338:$BI$338,1,16-('01_Вводные'!$B$15+'01_Вводные'!$B$311)))*'01_Вводные'!$B$298*MAX(0,'01_Вводные'!$B$22-1)</f>
        <v/>
      </c>
      <c r="R363">
        <f>IF(OR(17&lt;='01_Вводные'!$B$15,17-'01_Вводные'!$B$15&gt;60),0,INDEX('19_Расчет_аналитики'!$B$338:$BI$338,1,17-'01_Вводные'!$B$15))*'01_Вводные'!$B$298*MIN(1,'01_Вводные'!$B$22)+IF(OR(17&lt;=('01_Вводные'!$B$15+'01_Вводные'!$B$311),17-('01_Вводные'!$B$15+'01_Вводные'!$B$311)&gt;60),0,INDEX('19_Расчет_аналитики'!$B$338:$BI$338,1,17-('01_Вводные'!$B$15+'01_Вводные'!$B$311)))*'01_Вводные'!$B$298*MAX(0,'01_Вводные'!$B$22-1)</f>
        <v/>
      </c>
      <c r="S363">
        <f>IF(OR(18&lt;='01_Вводные'!$B$15,18-'01_Вводные'!$B$15&gt;60),0,INDEX('19_Расчет_аналитики'!$B$338:$BI$338,1,18-'01_Вводные'!$B$15))*'01_Вводные'!$B$298*MIN(1,'01_Вводные'!$B$22)+IF(OR(18&lt;=('01_Вводные'!$B$15+'01_Вводные'!$B$311),18-('01_Вводные'!$B$15+'01_Вводные'!$B$311)&gt;60),0,INDEX('19_Расчет_аналитики'!$B$338:$BI$338,1,18-('01_Вводные'!$B$15+'01_Вводные'!$B$311)))*'01_Вводные'!$B$298*MAX(0,'01_Вводные'!$B$22-1)</f>
        <v/>
      </c>
      <c r="T363">
        <f>IF(OR(19&lt;='01_Вводные'!$B$15,19-'01_Вводные'!$B$15&gt;60),0,INDEX('19_Расчет_аналитики'!$B$338:$BI$338,1,19-'01_Вводные'!$B$15))*'01_Вводные'!$B$298*MIN(1,'01_Вводные'!$B$22)+IF(OR(19&lt;=('01_Вводные'!$B$15+'01_Вводные'!$B$311),19-('01_Вводные'!$B$15+'01_Вводные'!$B$311)&gt;60),0,INDEX('19_Расчет_аналитики'!$B$338:$BI$338,1,19-('01_Вводные'!$B$15+'01_Вводные'!$B$311)))*'01_Вводные'!$B$298*MAX(0,'01_Вводные'!$B$22-1)</f>
        <v/>
      </c>
      <c r="U363">
        <f>IF(OR(20&lt;='01_Вводные'!$B$15,20-'01_Вводные'!$B$15&gt;60),0,INDEX('19_Расчет_аналитики'!$B$338:$BI$338,1,20-'01_Вводные'!$B$15))*'01_Вводные'!$B$298*MIN(1,'01_Вводные'!$B$22)+IF(OR(20&lt;=('01_Вводные'!$B$15+'01_Вводные'!$B$311),20-('01_Вводные'!$B$15+'01_Вводные'!$B$311)&gt;60),0,INDEX('19_Расчет_аналитики'!$B$338:$BI$338,1,20-('01_Вводные'!$B$15+'01_Вводные'!$B$311)))*'01_Вводные'!$B$298*MAX(0,'01_Вводные'!$B$22-1)</f>
        <v/>
      </c>
      <c r="V363">
        <f>IF(OR(21&lt;='01_Вводные'!$B$15,21-'01_Вводные'!$B$15&gt;60),0,INDEX('19_Расчет_аналитики'!$B$338:$BI$338,1,21-'01_Вводные'!$B$15))*'01_Вводные'!$B$298*MIN(1,'01_Вводные'!$B$22)+IF(OR(21&lt;=('01_Вводные'!$B$15+'01_Вводные'!$B$311),21-('01_Вводные'!$B$15+'01_Вводные'!$B$311)&gt;60),0,INDEX('19_Расчет_аналитики'!$B$338:$BI$338,1,21-('01_Вводные'!$B$15+'01_Вводные'!$B$311)))*'01_Вводные'!$B$298*MAX(0,'01_Вводные'!$B$22-1)</f>
        <v/>
      </c>
      <c r="W363">
        <f>IF(OR(22&lt;='01_Вводные'!$B$15,22-'01_Вводные'!$B$15&gt;60),0,INDEX('19_Расчет_аналитики'!$B$338:$BI$338,1,22-'01_Вводные'!$B$15))*'01_Вводные'!$B$298*MIN(1,'01_Вводные'!$B$22)+IF(OR(22&lt;=('01_Вводные'!$B$15+'01_Вводные'!$B$311),22-('01_Вводные'!$B$15+'01_Вводные'!$B$311)&gt;60),0,INDEX('19_Расчет_аналитики'!$B$338:$BI$338,1,22-('01_Вводные'!$B$15+'01_Вводные'!$B$311)))*'01_Вводные'!$B$298*MAX(0,'01_Вводные'!$B$22-1)</f>
        <v/>
      </c>
      <c r="X363">
        <f>IF(OR(23&lt;='01_Вводные'!$B$15,23-'01_Вводные'!$B$15&gt;60),0,INDEX('19_Расчет_аналитики'!$B$338:$BI$338,1,23-'01_Вводные'!$B$15))*'01_Вводные'!$B$298*MIN(1,'01_Вводные'!$B$22)+IF(OR(23&lt;=('01_Вводные'!$B$15+'01_Вводные'!$B$311),23-('01_Вводные'!$B$15+'01_Вводные'!$B$311)&gt;60),0,INDEX('19_Расчет_аналитики'!$B$338:$BI$338,1,23-('01_Вводные'!$B$15+'01_Вводные'!$B$311)))*'01_Вводные'!$B$298*MAX(0,'01_Вводные'!$B$22-1)</f>
        <v/>
      </c>
      <c r="Y363">
        <f>IF(OR(24&lt;='01_Вводные'!$B$15,24-'01_Вводные'!$B$15&gt;60),0,INDEX('19_Расчет_аналитики'!$B$338:$BI$338,1,24-'01_Вводные'!$B$15))*'01_Вводные'!$B$298*MIN(1,'01_Вводные'!$B$22)+IF(OR(24&lt;=('01_Вводные'!$B$15+'01_Вводные'!$B$311),24-('01_Вводные'!$B$15+'01_Вводные'!$B$311)&gt;60),0,INDEX('19_Расчет_аналитики'!$B$338:$BI$338,1,24-('01_Вводные'!$B$15+'01_Вводные'!$B$311)))*'01_Вводные'!$B$298*MAX(0,'01_Вводные'!$B$22-1)</f>
        <v/>
      </c>
      <c r="Z363">
        <f>IF(OR(25&lt;='01_Вводные'!$B$15,25-'01_Вводные'!$B$15&gt;60),0,INDEX('19_Расчет_аналитики'!$B$338:$BI$338,1,25-'01_Вводные'!$B$15))*'01_Вводные'!$B$298*MIN(1,'01_Вводные'!$B$22)+IF(OR(25&lt;=('01_Вводные'!$B$15+'01_Вводные'!$B$311),25-('01_Вводные'!$B$15+'01_Вводные'!$B$311)&gt;60),0,INDEX('19_Расчет_аналитики'!$B$338:$BI$338,1,25-('01_Вводные'!$B$15+'01_Вводные'!$B$311)))*'01_Вводные'!$B$298*MAX(0,'01_Вводные'!$B$22-1)</f>
        <v/>
      </c>
      <c r="AA363">
        <f>IF(OR(26&lt;='01_Вводные'!$B$15,26-'01_Вводные'!$B$15&gt;60),0,INDEX('19_Расчет_аналитики'!$B$338:$BI$338,1,26-'01_Вводные'!$B$15))*'01_Вводные'!$B$298*MIN(1,'01_Вводные'!$B$22)+IF(OR(26&lt;=('01_Вводные'!$B$15+'01_Вводные'!$B$311),26-('01_Вводные'!$B$15+'01_Вводные'!$B$311)&gt;60),0,INDEX('19_Расчет_аналитики'!$B$338:$BI$338,1,26-('01_Вводные'!$B$15+'01_Вводные'!$B$311)))*'01_Вводные'!$B$298*MAX(0,'01_Вводные'!$B$22-1)</f>
        <v/>
      </c>
      <c r="AB363">
        <f>IF(OR(27&lt;='01_Вводные'!$B$15,27-'01_Вводные'!$B$15&gt;60),0,INDEX('19_Расчет_аналитики'!$B$338:$BI$338,1,27-'01_Вводные'!$B$15))*'01_Вводные'!$B$298*MIN(1,'01_Вводные'!$B$22)+IF(OR(27&lt;=('01_Вводные'!$B$15+'01_Вводные'!$B$311),27-('01_Вводные'!$B$15+'01_Вводные'!$B$311)&gt;60),0,INDEX('19_Расчет_аналитики'!$B$338:$BI$338,1,27-('01_Вводные'!$B$15+'01_Вводные'!$B$311)))*'01_Вводные'!$B$298*MAX(0,'01_Вводные'!$B$22-1)</f>
        <v/>
      </c>
      <c r="AC363">
        <f>IF(OR(28&lt;='01_Вводные'!$B$15,28-'01_Вводные'!$B$15&gt;60),0,INDEX('19_Расчет_аналитики'!$B$338:$BI$338,1,28-'01_Вводные'!$B$15))*'01_Вводные'!$B$298*MIN(1,'01_Вводные'!$B$22)+IF(OR(28&lt;=('01_Вводные'!$B$15+'01_Вводные'!$B$311),28-('01_Вводные'!$B$15+'01_Вводные'!$B$311)&gt;60),0,INDEX('19_Расчет_аналитики'!$B$338:$BI$338,1,28-('01_Вводные'!$B$15+'01_Вводные'!$B$311)))*'01_Вводные'!$B$298*MAX(0,'01_Вводные'!$B$22-1)</f>
        <v/>
      </c>
      <c r="AD363">
        <f>IF(OR(29&lt;='01_Вводные'!$B$15,29-'01_Вводные'!$B$15&gt;60),0,INDEX('19_Расчет_аналитики'!$B$338:$BI$338,1,29-'01_Вводные'!$B$15))*'01_Вводные'!$B$298*MIN(1,'01_Вводные'!$B$22)+IF(OR(29&lt;=('01_Вводные'!$B$15+'01_Вводные'!$B$311),29-('01_Вводные'!$B$15+'01_Вводные'!$B$311)&gt;60),0,INDEX('19_Расчет_аналитики'!$B$338:$BI$338,1,29-('01_Вводные'!$B$15+'01_Вводные'!$B$311)))*'01_Вводные'!$B$298*MAX(0,'01_Вводные'!$B$22-1)</f>
        <v/>
      </c>
      <c r="AE363">
        <f>IF(OR(30&lt;='01_Вводные'!$B$15,30-'01_Вводные'!$B$15&gt;60),0,INDEX('19_Расчет_аналитики'!$B$338:$BI$338,1,30-'01_Вводные'!$B$15))*'01_Вводные'!$B$298*MIN(1,'01_Вводные'!$B$22)+IF(OR(30&lt;=('01_Вводные'!$B$15+'01_Вводные'!$B$311),30-('01_Вводные'!$B$15+'01_Вводные'!$B$311)&gt;60),0,INDEX('19_Расчет_аналитики'!$B$338:$BI$338,1,30-('01_Вводные'!$B$15+'01_Вводные'!$B$311)))*'01_Вводные'!$B$298*MAX(0,'01_Вводные'!$B$22-1)</f>
        <v/>
      </c>
      <c r="AF363">
        <f>IF(OR(31&lt;='01_Вводные'!$B$15,31-'01_Вводные'!$B$15&gt;60),0,INDEX('19_Расчет_аналитики'!$B$338:$BI$338,1,31-'01_Вводные'!$B$15))*'01_Вводные'!$B$298*MIN(1,'01_Вводные'!$B$22)+IF(OR(31&lt;=('01_Вводные'!$B$15+'01_Вводные'!$B$311),31-('01_Вводные'!$B$15+'01_Вводные'!$B$311)&gt;60),0,INDEX('19_Расчет_аналитики'!$B$338:$BI$338,1,31-('01_Вводные'!$B$15+'01_Вводные'!$B$311)))*'01_Вводные'!$B$298*MAX(0,'01_Вводные'!$B$22-1)</f>
        <v/>
      </c>
      <c r="AG363">
        <f>IF(OR(32&lt;='01_Вводные'!$B$15,32-'01_Вводные'!$B$15&gt;60),0,INDEX('19_Расчет_аналитики'!$B$338:$BI$338,1,32-'01_Вводные'!$B$15))*'01_Вводные'!$B$298*MIN(1,'01_Вводные'!$B$22)+IF(OR(32&lt;=('01_Вводные'!$B$15+'01_Вводные'!$B$311),32-('01_Вводные'!$B$15+'01_Вводные'!$B$311)&gt;60),0,INDEX('19_Расчет_аналитики'!$B$338:$BI$338,1,32-('01_Вводные'!$B$15+'01_Вводные'!$B$311)))*'01_Вводные'!$B$298*MAX(0,'01_Вводные'!$B$22-1)</f>
        <v/>
      </c>
      <c r="AH363">
        <f>IF(OR(33&lt;='01_Вводные'!$B$15,33-'01_Вводные'!$B$15&gt;60),0,INDEX('19_Расчет_аналитики'!$B$338:$BI$338,1,33-'01_Вводные'!$B$15))*'01_Вводные'!$B$298*MIN(1,'01_Вводные'!$B$22)+IF(OR(33&lt;=('01_Вводные'!$B$15+'01_Вводные'!$B$311),33-('01_Вводные'!$B$15+'01_Вводные'!$B$311)&gt;60),0,INDEX('19_Расчет_аналитики'!$B$338:$BI$338,1,33-('01_Вводные'!$B$15+'01_Вводные'!$B$311)))*'01_Вводные'!$B$298*MAX(0,'01_Вводные'!$B$22-1)</f>
        <v/>
      </c>
      <c r="AI363">
        <f>IF(OR(34&lt;='01_Вводные'!$B$15,34-'01_Вводные'!$B$15&gt;60),0,INDEX('19_Расчет_аналитики'!$B$338:$BI$338,1,34-'01_Вводные'!$B$15))*'01_Вводные'!$B$298*MIN(1,'01_Вводные'!$B$22)+IF(OR(34&lt;=('01_Вводные'!$B$15+'01_Вводные'!$B$311),34-('01_Вводные'!$B$15+'01_Вводные'!$B$311)&gt;60),0,INDEX('19_Расчет_аналитики'!$B$338:$BI$338,1,34-('01_Вводные'!$B$15+'01_Вводные'!$B$311)))*'01_Вводные'!$B$298*MAX(0,'01_Вводные'!$B$22-1)</f>
        <v/>
      </c>
      <c r="AJ363">
        <f>IF(OR(35&lt;='01_Вводные'!$B$15,35-'01_Вводные'!$B$15&gt;60),0,INDEX('19_Расчет_аналитики'!$B$338:$BI$338,1,35-'01_Вводные'!$B$15))*'01_Вводные'!$B$298*MIN(1,'01_Вводные'!$B$22)+IF(OR(35&lt;=('01_Вводные'!$B$15+'01_Вводные'!$B$311),35-('01_Вводные'!$B$15+'01_Вводные'!$B$311)&gt;60),0,INDEX('19_Расчет_аналитики'!$B$338:$BI$338,1,35-('01_Вводные'!$B$15+'01_Вводные'!$B$311)))*'01_Вводные'!$B$298*MAX(0,'01_Вводные'!$B$22-1)</f>
        <v/>
      </c>
      <c r="AK363">
        <f>IF(OR(36&lt;='01_Вводные'!$B$15,36-'01_Вводные'!$B$15&gt;60),0,INDEX('19_Расчет_аналитики'!$B$338:$BI$338,1,36-'01_Вводные'!$B$15))*'01_Вводные'!$B$298*MIN(1,'01_Вводные'!$B$22)+IF(OR(36&lt;=('01_Вводные'!$B$15+'01_Вводные'!$B$311),36-('01_Вводные'!$B$15+'01_Вводные'!$B$311)&gt;60),0,INDEX('19_Расчет_аналитики'!$B$338:$BI$338,1,36-('01_Вводные'!$B$15+'01_Вводные'!$B$311)))*'01_Вводные'!$B$298*MAX(0,'01_Вводные'!$B$22-1)</f>
        <v/>
      </c>
      <c r="AL363">
        <f>IF(OR(37&lt;='01_Вводные'!$B$15,37-'01_Вводные'!$B$15&gt;60),0,INDEX('19_Расчет_аналитики'!$B$338:$BI$338,1,37-'01_Вводные'!$B$15))*'01_Вводные'!$B$298*MIN(1,'01_Вводные'!$B$22)+IF(OR(37&lt;=('01_Вводные'!$B$15+'01_Вводные'!$B$311),37-('01_Вводные'!$B$15+'01_Вводные'!$B$311)&gt;60),0,INDEX('19_Расчет_аналитики'!$B$338:$BI$338,1,37-('01_Вводные'!$B$15+'01_Вводные'!$B$311)))*'01_Вводные'!$B$298*MAX(0,'01_Вводные'!$B$22-1)</f>
        <v/>
      </c>
      <c r="AM363">
        <f>IF(OR(38&lt;='01_Вводные'!$B$15,38-'01_Вводные'!$B$15&gt;60),0,INDEX('19_Расчет_аналитики'!$B$338:$BI$338,1,38-'01_Вводные'!$B$15))*'01_Вводные'!$B$298*MIN(1,'01_Вводные'!$B$22)+IF(OR(38&lt;=('01_Вводные'!$B$15+'01_Вводные'!$B$311),38-('01_Вводные'!$B$15+'01_Вводные'!$B$311)&gt;60),0,INDEX('19_Расчет_аналитики'!$B$338:$BI$338,1,38-('01_Вводные'!$B$15+'01_Вводные'!$B$311)))*'01_Вводные'!$B$298*MAX(0,'01_Вводные'!$B$22-1)</f>
        <v/>
      </c>
      <c r="AN363">
        <f>IF(OR(39&lt;='01_Вводные'!$B$15,39-'01_Вводные'!$B$15&gt;60),0,INDEX('19_Расчет_аналитики'!$B$338:$BI$338,1,39-'01_Вводные'!$B$15))*'01_Вводные'!$B$298*MIN(1,'01_Вводные'!$B$22)+IF(OR(39&lt;=('01_Вводные'!$B$15+'01_Вводные'!$B$311),39-('01_Вводные'!$B$15+'01_Вводные'!$B$311)&gt;60),0,INDEX('19_Расчет_аналитики'!$B$338:$BI$338,1,39-('01_Вводные'!$B$15+'01_Вводные'!$B$311)))*'01_Вводные'!$B$298*MAX(0,'01_Вводные'!$B$22-1)</f>
        <v/>
      </c>
      <c r="AO363">
        <f>IF(OR(40&lt;='01_Вводные'!$B$15,40-'01_Вводные'!$B$15&gt;60),0,INDEX('19_Расчет_аналитики'!$B$338:$BI$338,1,40-'01_Вводные'!$B$15))*'01_Вводные'!$B$298*MIN(1,'01_Вводные'!$B$22)+IF(OR(40&lt;=('01_Вводные'!$B$15+'01_Вводные'!$B$311),40-('01_Вводные'!$B$15+'01_Вводные'!$B$311)&gt;60),0,INDEX('19_Расчет_аналитики'!$B$338:$BI$338,1,40-('01_Вводные'!$B$15+'01_Вводные'!$B$311)))*'01_Вводные'!$B$298*MAX(0,'01_Вводные'!$B$22-1)</f>
        <v/>
      </c>
      <c r="AP363">
        <f>IF(OR(41&lt;='01_Вводные'!$B$15,41-'01_Вводные'!$B$15&gt;60),0,INDEX('19_Расчет_аналитики'!$B$338:$BI$338,1,41-'01_Вводные'!$B$15))*'01_Вводные'!$B$298*MIN(1,'01_Вводные'!$B$22)+IF(OR(41&lt;=('01_Вводные'!$B$15+'01_Вводные'!$B$311),41-('01_Вводные'!$B$15+'01_Вводные'!$B$311)&gt;60),0,INDEX('19_Расчет_аналитики'!$B$338:$BI$338,1,41-('01_Вводные'!$B$15+'01_Вводные'!$B$311)))*'01_Вводные'!$B$298*MAX(0,'01_Вводные'!$B$22-1)</f>
        <v/>
      </c>
      <c r="AQ363">
        <f>IF(OR(42&lt;='01_Вводные'!$B$15,42-'01_Вводные'!$B$15&gt;60),0,INDEX('19_Расчет_аналитики'!$B$338:$BI$338,1,42-'01_Вводные'!$B$15))*'01_Вводные'!$B$298*MIN(1,'01_Вводные'!$B$22)+IF(OR(42&lt;=('01_Вводные'!$B$15+'01_Вводные'!$B$311),42-('01_Вводные'!$B$15+'01_Вводные'!$B$311)&gt;60),0,INDEX('19_Расчет_аналитики'!$B$338:$BI$338,1,42-('01_Вводные'!$B$15+'01_Вводные'!$B$311)))*'01_Вводные'!$B$298*MAX(0,'01_Вводные'!$B$22-1)</f>
        <v/>
      </c>
      <c r="AR363">
        <f>IF(OR(43&lt;='01_Вводные'!$B$15,43-'01_Вводные'!$B$15&gt;60),0,INDEX('19_Расчет_аналитики'!$B$338:$BI$338,1,43-'01_Вводные'!$B$15))*'01_Вводные'!$B$298*MIN(1,'01_Вводные'!$B$22)+IF(OR(43&lt;=('01_Вводные'!$B$15+'01_Вводные'!$B$311),43-('01_Вводные'!$B$15+'01_Вводные'!$B$311)&gt;60),0,INDEX('19_Расчет_аналитики'!$B$338:$BI$338,1,43-('01_Вводные'!$B$15+'01_Вводные'!$B$311)))*'01_Вводные'!$B$298*MAX(0,'01_Вводные'!$B$22-1)</f>
        <v/>
      </c>
      <c r="AS363">
        <f>IF(OR(44&lt;='01_Вводные'!$B$15,44-'01_Вводные'!$B$15&gt;60),0,INDEX('19_Расчет_аналитики'!$B$338:$BI$338,1,44-'01_Вводные'!$B$15))*'01_Вводные'!$B$298*MIN(1,'01_Вводные'!$B$22)+IF(OR(44&lt;=('01_Вводные'!$B$15+'01_Вводные'!$B$311),44-('01_Вводные'!$B$15+'01_Вводные'!$B$311)&gt;60),0,INDEX('19_Расчет_аналитики'!$B$338:$BI$338,1,44-('01_Вводные'!$B$15+'01_Вводные'!$B$311)))*'01_Вводные'!$B$298*MAX(0,'01_Вводные'!$B$22-1)</f>
        <v/>
      </c>
      <c r="AT363">
        <f>IF(OR(45&lt;='01_Вводные'!$B$15,45-'01_Вводные'!$B$15&gt;60),0,INDEX('19_Расчет_аналитики'!$B$338:$BI$338,1,45-'01_Вводные'!$B$15))*'01_Вводные'!$B$298*MIN(1,'01_Вводные'!$B$22)+IF(OR(45&lt;=('01_Вводные'!$B$15+'01_Вводные'!$B$311),45-('01_Вводные'!$B$15+'01_Вводные'!$B$311)&gt;60),0,INDEX('19_Расчет_аналитики'!$B$338:$BI$338,1,45-('01_Вводные'!$B$15+'01_Вводные'!$B$311)))*'01_Вводные'!$B$298*MAX(0,'01_Вводные'!$B$22-1)</f>
        <v/>
      </c>
      <c r="AU363">
        <f>IF(OR(46&lt;='01_Вводные'!$B$15,46-'01_Вводные'!$B$15&gt;60),0,INDEX('19_Расчет_аналитики'!$B$338:$BI$338,1,46-'01_Вводные'!$B$15))*'01_Вводные'!$B$298*MIN(1,'01_Вводные'!$B$22)+IF(OR(46&lt;=('01_Вводные'!$B$15+'01_Вводные'!$B$311),46-('01_Вводные'!$B$15+'01_Вводные'!$B$311)&gt;60),0,INDEX('19_Расчет_аналитики'!$B$338:$BI$338,1,46-('01_Вводные'!$B$15+'01_Вводные'!$B$311)))*'01_Вводные'!$B$298*MAX(0,'01_Вводные'!$B$22-1)</f>
        <v/>
      </c>
      <c r="AV363">
        <f>IF(OR(47&lt;='01_Вводные'!$B$15,47-'01_Вводные'!$B$15&gt;60),0,INDEX('19_Расчет_аналитики'!$B$338:$BI$338,1,47-'01_Вводные'!$B$15))*'01_Вводные'!$B$298*MIN(1,'01_Вводные'!$B$22)+IF(OR(47&lt;=('01_Вводные'!$B$15+'01_Вводные'!$B$311),47-('01_Вводные'!$B$15+'01_Вводные'!$B$311)&gt;60),0,INDEX('19_Расчет_аналитики'!$B$338:$BI$338,1,47-('01_Вводные'!$B$15+'01_Вводные'!$B$311)))*'01_Вводные'!$B$298*MAX(0,'01_Вводные'!$B$22-1)</f>
        <v/>
      </c>
      <c r="AW363">
        <f>IF(OR(48&lt;='01_Вводные'!$B$15,48-'01_Вводные'!$B$15&gt;60),0,INDEX('19_Расчет_аналитики'!$B$338:$BI$338,1,48-'01_Вводные'!$B$15))*'01_Вводные'!$B$298*MIN(1,'01_Вводные'!$B$22)+IF(OR(48&lt;=('01_Вводные'!$B$15+'01_Вводные'!$B$311),48-('01_Вводные'!$B$15+'01_Вводные'!$B$311)&gt;60),0,INDEX('19_Расчет_аналитики'!$B$338:$BI$338,1,48-('01_Вводные'!$B$15+'01_Вводные'!$B$311)))*'01_Вводные'!$B$298*MAX(0,'01_Вводные'!$B$22-1)</f>
        <v/>
      </c>
      <c r="AX363">
        <f>IF(OR(49&lt;='01_Вводные'!$B$15,49-'01_Вводные'!$B$15&gt;60),0,INDEX('19_Расчет_аналитики'!$B$338:$BI$338,1,49-'01_Вводные'!$B$15))*'01_Вводные'!$B$298*MIN(1,'01_Вводные'!$B$22)+IF(OR(49&lt;=('01_Вводные'!$B$15+'01_Вводные'!$B$311),49-('01_Вводные'!$B$15+'01_Вводные'!$B$311)&gt;60),0,INDEX('19_Расчет_аналитики'!$B$338:$BI$338,1,49-('01_Вводные'!$B$15+'01_Вводные'!$B$311)))*'01_Вводные'!$B$298*MAX(0,'01_Вводные'!$B$22-1)</f>
        <v/>
      </c>
      <c r="AY363">
        <f>IF(OR(50&lt;='01_Вводные'!$B$15,50-'01_Вводные'!$B$15&gt;60),0,INDEX('19_Расчет_аналитики'!$B$338:$BI$338,1,50-'01_Вводные'!$B$15))*'01_Вводные'!$B$298*MIN(1,'01_Вводные'!$B$22)+IF(OR(50&lt;=('01_Вводные'!$B$15+'01_Вводные'!$B$311),50-('01_Вводные'!$B$15+'01_Вводные'!$B$311)&gt;60),0,INDEX('19_Расчет_аналитики'!$B$338:$BI$338,1,50-('01_Вводные'!$B$15+'01_Вводные'!$B$311)))*'01_Вводные'!$B$298*MAX(0,'01_Вводные'!$B$22-1)</f>
        <v/>
      </c>
      <c r="AZ363">
        <f>IF(OR(51&lt;='01_Вводные'!$B$15,51-'01_Вводные'!$B$15&gt;60),0,INDEX('19_Расчет_аналитики'!$B$338:$BI$338,1,51-'01_Вводные'!$B$15))*'01_Вводные'!$B$298*MIN(1,'01_Вводные'!$B$22)+IF(OR(51&lt;=('01_Вводные'!$B$15+'01_Вводные'!$B$311),51-('01_Вводные'!$B$15+'01_Вводные'!$B$311)&gt;60),0,INDEX('19_Расчет_аналитики'!$B$338:$BI$338,1,51-('01_Вводные'!$B$15+'01_Вводные'!$B$311)))*'01_Вводные'!$B$298*MAX(0,'01_Вводные'!$B$22-1)</f>
        <v/>
      </c>
      <c r="BA363">
        <f>IF(OR(52&lt;='01_Вводные'!$B$15,52-'01_Вводные'!$B$15&gt;60),0,INDEX('19_Расчет_аналитики'!$B$338:$BI$338,1,52-'01_Вводные'!$B$15))*'01_Вводные'!$B$298*MIN(1,'01_Вводные'!$B$22)+IF(OR(52&lt;=('01_Вводные'!$B$15+'01_Вводные'!$B$311),52-('01_Вводные'!$B$15+'01_Вводные'!$B$311)&gt;60),0,INDEX('19_Расчет_аналитики'!$B$338:$BI$338,1,52-('01_Вводные'!$B$15+'01_Вводные'!$B$311)))*'01_Вводные'!$B$298*MAX(0,'01_Вводные'!$B$22-1)</f>
        <v/>
      </c>
      <c r="BB363">
        <f>IF(OR(53&lt;='01_Вводные'!$B$15,53-'01_Вводные'!$B$15&gt;60),0,INDEX('19_Расчет_аналитики'!$B$338:$BI$338,1,53-'01_Вводные'!$B$15))*'01_Вводные'!$B$298*MIN(1,'01_Вводные'!$B$22)+IF(OR(53&lt;=('01_Вводные'!$B$15+'01_Вводные'!$B$311),53-('01_Вводные'!$B$15+'01_Вводные'!$B$311)&gt;60),0,INDEX('19_Расчет_аналитики'!$B$338:$BI$338,1,53-('01_Вводные'!$B$15+'01_Вводные'!$B$311)))*'01_Вводные'!$B$298*MAX(0,'01_Вводные'!$B$22-1)</f>
        <v/>
      </c>
      <c r="BC363">
        <f>IF(OR(54&lt;='01_Вводные'!$B$15,54-'01_Вводные'!$B$15&gt;60),0,INDEX('19_Расчет_аналитики'!$B$338:$BI$338,1,54-'01_Вводные'!$B$15))*'01_Вводные'!$B$298*MIN(1,'01_Вводные'!$B$22)+IF(OR(54&lt;=('01_Вводные'!$B$15+'01_Вводные'!$B$311),54-('01_Вводные'!$B$15+'01_Вводные'!$B$311)&gt;60),0,INDEX('19_Расчет_аналитики'!$B$338:$BI$338,1,54-('01_Вводные'!$B$15+'01_Вводные'!$B$311)))*'01_Вводные'!$B$298*MAX(0,'01_Вводные'!$B$22-1)</f>
        <v/>
      </c>
      <c r="BD363">
        <f>IF(OR(55&lt;='01_Вводные'!$B$15,55-'01_Вводные'!$B$15&gt;60),0,INDEX('19_Расчет_аналитики'!$B$338:$BI$338,1,55-'01_Вводные'!$B$15))*'01_Вводные'!$B$298*MIN(1,'01_Вводные'!$B$22)+IF(OR(55&lt;=('01_Вводные'!$B$15+'01_Вводные'!$B$311),55-('01_Вводные'!$B$15+'01_Вводные'!$B$311)&gt;60),0,INDEX('19_Расчет_аналитики'!$B$338:$BI$338,1,55-('01_Вводные'!$B$15+'01_Вводные'!$B$311)))*'01_Вводные'!$B$298*MAX(0,'01_Вводные'!$B$22-1)</f>
        <v/>
      </c>
      <c r="BE363">
        <f>IF(OR(56&lt;='01_Вводные'!$B$15,56-'01_Вводные'!$B$15&gt;60),0,INDEX('19_Расчет_аналитики'!$B$338:$BI$338,1,56-'01_Вводные'!$B$15))*'01_Вводные'!$B$298*MIN(1,'01_Вводные'!$B$22)+IF(OR(56&lt;=('01_Вводные'!$B$15+'01_Вводные'!$B$311),56-('01_Вводные'!$B$15+'01_Вводные'!$B$311)&gt;60),0,INDEX('19_Расчет_аналитики'!$B$338:$BI$338,1,56-('01_Вводные'!$B$15+'01_Вводные'!$B$311)))*'01_Вводные'!$B$298*MAX(0,'01_Вводные'!$B$22-1)</f>
        <v/>
      </c>
      <c r="BF363">
        <f>IF(OR(57&lt;='01_Вводные'!$B$15,57-'01_Вводные'!$B$15&gt;60),0,INDEX('19_Расчет_аналитики'!$B$338:$BI$338,1,57-'01_Вводные'!$B$15))*'01_Вводные'!$B$298*MIN(1,'01_Вводные'!$B$22)+IF(OR(57&lt;=('01_Вводные'!$B$15+'01_Вводные'!$B$311),57-('01_Вводные'!$B$15+'01_Вводные'!$B$311)&gt;60),0,INDEX('19_Расчет_аналитики'!$B$338:$BI$338,1,57-('01_Вводные'!$B$15+'01_Вводные'!$B$311)))*'01_Вводные'!$B$298*MAX(0,'01_Вводные'!$B$22-1)</f>
        <v/>
      </c>
      <c r="BG363">
        <f>IF(OR(58&lt;='01_Вводные'!$B$15,58-'01_Вводные'!$B$15&gt;60),0,INDEX('19_Расчет_аналитики'!$B$338:$BI$338,1,58-'01_Вводные'!$B$15))*'01_Вводные'!$B$298*MIN(1,'01_Вводные'!$B$22)+IF(OR(58&lt;=('01_Вводные'!$B$15+'01_Вводные'!$B$311),58-('01_Вводные'!$B$15+'01_Вводные'!$B$311)&gt;60),0,INDEX('19_Расчет_аналитики'!$B$338:$BI$338,1,58-('01_Вводные'!$B$15+'01_Вводные'!$B$311)))*'01_Вводные'!$B$298*MAX(0,'01_Вводные'!$B$22-1)</f>
        <v/>
      </c>
      <c r="BH363">
        <f>IF(OR(59&lt;='01_Вводные'!$B$15,59-'01_Вводные'!$B$15&gt;60),0,INDEX('19_Расчет_аналитики'!$B$338:$BI$338,1,59-'01_Вводные'!$B$15))*'01_Вводные'!$B$298*MIN(1,'01_Вводные'!$B$22)+IF(OR(59&lt;=('01_Вводные'!$B$15+'01_Вводные'!$B$311),59-('01_Вводные'!$B$15+'01_Вводные'!$B$311)&gt;60),0,INDEX('19_Расчет_аналитики'!$B$338:$BI$338,1,59-('01_Вводные'!$B$15+'01_Вводные'!$B$311)))*'01_Вводные'!$B$298*MAX(0,'01_Вводные'!$B$22-1)</f>
        <v/>
      </c>
      <c r="BI363">
        <f>IF(OR(60&lt;='01_Вводные'!$B$15,60-'01_Вводные'!$B$15&gt;60),0,INDEX('19_Расчет_аналитики'!$B$338:$BI$338,1,60-'01_Вводные'!$B$15))*'01_Вводные'!$B$298*MIN(1,'01_Вводные'!$B$22)+IF(OR(60&lt;=('01_Вводные'!$B$15+'01_Вводные'!$B$311),60-('01_Вводные'!$B$15+'01_Вводные'!$B$311)&gt;60),0,INDEX('19_Расчет_аналитики'!$B$338:$BI$338,1,60-('01_Вводные'!$B$15+'01_Вводные'!$B$311)))*'01_Вводные'!$B$298*MAX(0,'01_Вводные'!$B$22-1)</f>
        <v/>
      </c>
      <c r="BJ363">
        <f>IF(OR(61&lt;='01_Вводные'!$B$15,61-'01_Вводные'!$B$15&gt;60),0,INDEX('19_Расчет_аналитики'!$B$338:$BI$338,1,61-'01_Вводные'!$B$15))*'01_Вводные'!$B$298*MIN(1,'01_Вводные'!$B$22)+IF(OR(61&lt;=('01_Вводные'!$B$15+'01_Вводные'!$B$311),61-('01_Вводные'!$B$15+'01_Вводные'!$B$311)&gt;60),0,INDEX('19_Расчет_аналитики'!$B$338:$BI$338,1,61-('01_Вводные'!$B$15+'01_Вводные'!$B$311)))*'01_Вводные'!$B$298*MAX(0,'01_Вводные'!$B$22-1)</f>
        <v/>
      </c>
      <c r="BK363">
        <f>IF(OR(62&lt;='01_Вводные'!$B$15,62-'01_Вводные'!$B$15&gt;60),0,INDEX('19_Расчет_аналитики'!$B$338:$BI$338,1,62-'01_Вводные'!$B$15))*'01_Вводные'!$B$298*MIN(1,'01_Вводные'!$B$22)+IF(OR(62&lt;=('01_Вводные'!$B$15+'01_Вводные'!$B$311),62-('01_Вводные'!$B$15+'01_Вводные'!$B$311)&gt;60),0,INDEX('19_Расчет_аналитики'!$B$338:$BI$338,1,62-('01_Вводные'!$B$15+'01_Вводные'!$B$311)))*'01_Вводные'!$B$298*MAX(0,'01_Вводные'!$B$22-1)</f>
        <v/>
      </c>
      <c r="BL363">
        <f>IF(OR(63&lt;='01_Вводные'!$B$15,63-'01_Вводные'!$B$15&gt;60),0,INDEX('19_Расчет_аналитики'!$B$338:$BI$338,1,63-'01_Вводные'!$B$15))*'01_Вводные'!$B$298*MIN(1,'01_Вводные'!$B$22)+IF(OR(63&lt;=('01_Вводные'!$B$15+'01_Вводные'!$B$311),63-('01_Вводные'!$B$15+'01_Вводные'!$B$311)&gt;60),0,INDEX('19_Расчет_аналитики'!$B$338:$BI$338,1,63-('01_Вводные'!$B$15+'01_Вводные'!$B$311)))*'01_Вводные'!$B$298*MAX(0,'01_Вводные'!$B$22-1)</f>
        <v/>
      </c>
      <c r="BM363">
        <f>IF(OR(64&lt;='01_Вводные'!$B$15,64-'01_Вводные'!$B$15&gt;60),0,INDEX('19_Расчет_аналитики'!$B$338:$BI$338,1,64-'01_Вводные'!$B$15))*'01_Вводные'!$B$298*MIN(1,'01_Вводные'!$B$22)+IF(OR(64&lt;=('01_Вводные'!$B$15+'01_Вводные'!$B$311),64-('01_Вводные'!$B$15+'01_Вводные'!$B$311)&gt;60),0,INDEX('19_Расчет_аналитики'!$B$338:$BI$338,1,64-('01_Вводные'!$B$15+'01_Вводные'!$B$311)))*'01_Вводные'!$B$298*MAX(0,'01_Вводные'!$B$22-1)</f>
        <v/>
      </c>
      <c r="BN363">
        <f>IF(OR(65&lt;='01_Вводные'!$B$15,65-'01_Вводные'!$B$15&gt;60),0,INDEX('19_Расчет_аналитики'!$B$338:$BI$338,1,65-'01_Вводные'!$B$15))*'01_Вводные'!$B$298*MIN(1,'01_Вводные'!$B$22)+IF(OR(65&lt;=('01_Вводные'!$B$15+'01_Вводные'!$B$311),65-('01_Вводные'!$B$15+'01_Вводные'!$B$311)&gt;60),0,INDEX('19_Расчет_аналитики'!$B$338:$BI$338,1,65-('01_Вводные'!$B$15+'01_Вводные'!$B$311)))*'01_Вводные'!$B$298*MAX(0,'01_Вводные'!$B$22-1)</f>
        <v/>
      </c>
      <c r="BO363">
        <f>IF(OR(66&lt;='01_Вводные'!$B$15,66-'01_Вводные'!$B$15&gt;60),0,INDEX('19_Расчет_аналитики'!$B$338:$BI$338,1,66-'01_Вводные'!$B$15))*'01_Вводные'!$B$298*MIN(1,'01_Вводные'!$B$22)+IF(OR(66&lt;=('01_Вводные'!$B$15+'01_Вводные'!$B$311),66-('01_Вводные'!$B$15+'01_Вводные'!$B$311)&gt;60),0,INDEX('19_Расчет_аналитики'!$B$338:$BI$338,1,66-('01_Вводные'!$B$15+'01_Вводные'!$B$311)))*'01_Вводные'!$B$298*MAX(0,'01_Вводные'!$B$22-1)</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SUMPRODUCT(('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2)</f>
        <v/>
      </c>
      <c r="C383">
        <f>SUMPRODUCT(('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2)</f>
        <v/>
      </c>
      <c r="D383">
        <f>SUMPRODUCT(('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2)</f>
        <v/>
      </c>
      <c r="E383">
        <f>SUMPRODUCT(('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2)</f>
        <v/>
      </c>
      <c r="F383">
        <f>SUMPRODUCT(('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2)</f>
        <v/>
      </c>
      <c r="G383">
        <f>SUMPRODUCT(('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2)</f>
        <v/>
      </c>
      <c r="H383">
        <f>SUMPRODUCT(('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2)</f>
        <v/>
      </c>
      <c r="I383">
        <f>SUMPRODUCT(('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2)</f>
        <v/>
      </c>
      <c r="J383">
        <f>SUMPRODUCT(('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2)</f>
        <v/>
      </c>
      <c r="K383">
        <f>SUMPRODUCT(('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2)</f>
        <v/>
      </c>
      <c r="L383">
        <f>SUMPRODUCT(('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2)</f>
        <v/>
      </c>
      <c r="M383">
        <f>SUMPRODUCT(('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2)</f>
        <v/>
      </c>
      <c r="N383">
        <f>SUMPRODUCT(('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2)</f>
        <v/>
      </c>
      <c r="O383">
        <f>SUMPRODUCT(('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2)</f>
        <v/>
      </c>
      <c r="P383">
        <f>SUMPRODUCT(('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2)</f>
        <v/>
      </c>
      <c r="Q383">
        <f>SUMPRODUCT(('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2)</f>
        <v/>
      </c>
      <c r="R383">
        <f>SUMPRODUCT(('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2)</f>
        <v/>
      </c>
      <c r="S383">
        <f>SUMPRODUCT(('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2)</f>
        <v/>
      </c>
      <c r="T383">
        <f>SUMPRODUCT(('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2)</f>
        <v/>
      </c>
      <c r="U383">
        <f>SUMPRODUCT(('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2)</f>
        <v/>
      </c>
      <c r="V383">
        <f>SUMPRODUCT(('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2)</f>
        <v/>
      </c>
      <c r="W383">
        <f>SUMPRODUCT(('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2)</f>
        <v/>
      </c>
      <c r="X383">
        <f>SUMPRODUCT(('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2)</f>
        <v/>
      </c>
      <c r="Y383">
        <f>SUMPRODUCT(('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2)</f>
        <v/>
      </c>
      <c r="Z383">
        <f>SUMPRODUCT(('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2)</f>
        <v/>
      </c>
      <c r="AA383">
        <f>SUMPRODUCT(('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2)</f>
        <v/>
      </c>
      <c r="AB383">
        <f>SUMPRODUCT(('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2)</f>
        <v/>
      </c>
      <c r="AC383">
        <f>SUMPRODUCT(('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2)</f>
        <v/>
      </c>
      <c r="AD383">
        <f>SUMPRODUCT(('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2)</f>
        <v/>
      </c>
      <c r="AE383">
        <f>SUMPRODUCT(('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2)</f>
        <v/>
      </c>
      <c r="AF383">
        <f>SUMPRODUCT(('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2)</f>
        <v/>
      </c>
      <c r="AG383">
        <f>SUMPRODUCT(('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2)</f>
        <v/>
      </c>
      <c r="AH383">
        <f>SUMPRODUCT(('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2)</f>
        <v/>
      </c>
      <c r="AI383">
        <f>SUMPRODUCT(('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2)</f>
        <v/>
      </c>
      <c r="AJ383">
        <f>SUMPRODUCT(('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2)</f>
        <v/>
      </c>
      <c r="AK383">
        <f>SUMPRODUCT(('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2)</f>
        <v/>
      </c>
      <c r="AL383">
        <f>SUMPRODUCT(('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2)</f>
        <v/>
      </c>
      <c r="AM383">
        <f>SUMPRODUCT(('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2)</f>
        <v/>
      </c>
      <c r="AN383">
        <f>SUMPRODUCT(('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2)</f>
        <v/>
      </c>
      <c r="AO383">
        <f>SUMPRODUCT(('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2)</f>
        <v/>
      </c>
      <c r="AP383">
        <f>SUMPRODUCT(('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2)</f>
        <v/>
      </c>
      <c r="AQ383">
        <f>SUMPRODUCT(('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2)</f>
        <v/>
      </c>
      <c r="AR383">
        <f>SUMPRODUCT(('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2)</f>
        <v/>
      </c>
      <c r="AS383">
        <f>SUMPRODUCT(('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2)</f>
        <v/>
      </c>
      <c r="AT383">
        <f>SUMPRODUCT(('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2)</f>
        <v/>
      </c>
      <c r="AU383">
        <f>SUMPRODUCT(('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2)</f>
        <v/>
      </c>
      <c r="AV383">
        <f>SUMPRODUCT(('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2)</f>
        <v/>
      </c>
      <c r="AW383">
        <f>SUMPRODUCT(('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2)</f>
        <v/>
      </c>
      <c r="AX383">
        <f>SUMPRODUCT(('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2)</f>
        <v/>
      </c>
      <c r="AY383">
        <f>SUMPRODUCT(('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2)</f>
        <v/>
      </c>
      <c r="AZ383">
        <f>SUMPRODUCT(('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2)</f>
        <v/>
      </c>
      <c r="BA383">
        <f>SUMPRODUCT(('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2)</f>
        <v/>
      </c>
      <c r="BB383">
        <f>SUMPRODUCT(('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2)</f>
        <v/>
      </c>
      <c r="BC383">
        <f>SUMPRODUCT(('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2)</f>
        <v/>
      </c>
      <c r="BD383">
        <f>SUMPRODUCT(('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2)</f>
        <v/>
      </c>
      <c r="BE383">
        <f>SUMPRODUCT(('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2)</f>
        <v/>
      </c>
      <c r="BF383">
        <f>SUMPRODUCT(('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2)</f>
        <v/>
      </c>
      <c r="BG383">
        <f>SUMPRODUCT(('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2)</f>
        <v/>
      </c>
      <c r="BH383">
        <f>SUMPRODUCT(('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2)</f>
        <v/>
      </c>
      <c r="BI383">
        <f>SUMPRODUCT(('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2)</f>
        <v/>
      </c>
      <c r="BJ383">
        <f>SUMPRODUCT(('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2)</f>
        <v/>
      </c>
      <c r="BK383">
        <f>SUMPRODUCT(('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2)</f>
        <v/>
      </c>
      <c r="BL383">
        <f>SUMPRODUCT(('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2)</f>
        <v/>
      </c>
      <c r="BM383">
        <f>SUMPRODUCT(('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2)</f>
        <v/>
      </c>
      <c r="BN383">
        <f>SUMPRODUCT(('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2)</f>
        <v/>
      </c>
      <c r="BO383">
        <f>SUMPRODUCT(('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f>
        <v/>
      </c>
      <c r="C1350">
        <f>'19_Расчет_аналитики'!$B$1060*INDEX('01_Вводные'!$C$36:$N$36,1,MOD(MONTH('06_Сеть_и_дети'!C$3)-9,12)+1)/(SUM('01_Вводные'!$C$36:$N$36)-INDEX('01_Вводные'!$C$36:$N$36,1,MOD(MONTH('01_Вводные'!$B$7)-9,12)+1))</f>
        <v/>
      </c>
      <c r="D1350">
        <f>'19_Расчет_аналитики'!$B$1060*INDEX('01_Вводные'!$C$36:$N$36,1,MOD(MONTH('06_Сеть_и_дети'!D$3)-9,12)+1)/(SUM('01_Вводные'!$C$36:$N$36)-INDEX('01_Вводные'!$C$36:$N$36,1,MOD(MONTH('01_Вводные'!$B$7)-9,12)+1))</f>
        <v/>
      </c>
      <c r="E1350">
        <f>'19_Расчет_аналитики'!$B$1060*INDEX('01_Вводные'!$C$36:$N$36,1,MOD(MONTH('06_Сеть_и_дети'!E$3)-9,12)+1)/(SUM('01_Вводные'!$C$36:$N$36)-INDEX('01_Вводные'!$C$36:$N$36,1,MOD(MONTH('01_Вводные'!$B$7)-9,12)+1))</f>
        <v/>
      </c>
      <c r="F1350">
        <f>'19_Расчет_аналитики'!$B$1060*INDEX('01_Вводные'!$C$36:$N$36,1,MOD(MONTH('06_Сеть_и_дети'!F$3)-9,12)+1)/(SUM('01_Вводные'!$C$36:$N$36)-INDEX('01_Вводные'!$C$36:$N$36,1,MOD(MONTH('01_Вводные'!$B$7)-9,12)+1))</f>
        <v/>
      </c>
      <c r="G1350">
        <f>'19_Расчет_аналитики'!$B$1060*INDEX('01_Вводные'!$C$36:$N$36,1,MOD(MONTH('06_Сеть_и_дети'!G$3)-9,12)+1)/(SUM('01_Вводные'!$C$36:$N$36)-INDEX('01_Вводные'!$C$36:$N$36,1,MOD(MONTH('01_Вводные'!$B$7)-9,12)+1))</f>
        <v/>
      </c>
      <c r="H1350">
        <f>'19_Расчет_аналитики'!$B$1060*INDEX('01_Вводные'!$C$36:$N$36,1,MOD(MONTH('06_Сеть_и_дети'!H$3)-9,12)+1)/(SUM('01_Вводные'!$C$36:$N$36)-INDEX('01_Вводные'!$C$36:$N$36,1,MOD(MONTH('01_Вводные'!$B$7)-9,12)+1))</f>
        <v/>
      </c>
      <c r="I1350">
        <f>'19_Расчет_аналитики'!$B$1060*INDEX('01_Вводные'!$C$36:$N$36,1,MOD(MONTH('06_Сеть_и_дети'!I$3)-9,12)+1)/(SUM('01_Вводные'!$C$36:$N$36)-INDEX('01_Вводные'!$C$36:$N$36,1,MOD(MONTH('01_Вводные'!$B$7)-9,12)+1))</f>
        <v/>
      </c>
      <c r="J1350">
        <f>'19_Расчет_аналитики'!$B$1060*INDEX('01_Вводные'!$C$36:$N$36,1,MOD(MONTH('06_Сеть_и_дети'!J$3)-9,12)+1)/(SUM('01_Вводные'!$C$36:$N$36)-INDEX('01_Вводные'!$C$36:$N$36,1,MOD(MONTH('01_Вводные'!$B$7)-9,12)+1))</f>
        <v/>
      </c>
      <c r="K1350">
        <f>'19_Расчет_аналитики'!$B$1060*INDEX('01_Вводные'!$C$36:$N$36,1,MOD(MONTH('06_Сеть_и_дети'!K$3)-9,12)+1)/(SUM('01_Вводные'!$C$36:$N$36)-INDEX('01_Вводные'!$C$36:$N$36,1,MOD(MONTH('01_Вводные'!$B$7)-9,12)+1))</f>
        <v/>
      </c>
      <c r="L1350">
        <f>'19_Расчет_аналитики'!$B$1060*INDEX('01_Вводные'!$C$36:$N$36,1,MOD(MONTH('06_Сеть_и_дети'!L$3)-9,12)+1)/(SUM('01_Вводные'!$C$36:$N$36)-INDEX('01_Вводные'!$C$36:$N$36,1,MOD(MONTH('01_Вводные'!$B$7)-9,12)+1))</f>
        <v/>
      </c>
      <c r="M1350">
        <f>'19_Расчет_аналитики'!$B$1060*INDEX('01_Вводные'!$C$36:$N$36,1,MOD(MONTH('06_Сеть_и_дети'!M$3)-9,12)+1)/(SUM('01_Вводные'!$C$36:$N$36)-INDEX('01_Вводные'!$C$36:$N$36,1,MOD(MONTH('01_Вводные'!$B$7)-9,12)+1))</f>
        <v/>
      </c>
      <c r="N1350">
        <f>'19_Расчет_аналитики'!$B$1061*INDEX('01_Вводные'!$C$37:$N$37,1,MOD(MONTH('06_Сеть_и_дети'!N$3)-9,12)+1)/SUM('01_Вводные'!$C$37:$N$37)</f>
        <v/>
      </c>
      <c r="O1350">
        <f>'19_Расчет_аналитики'!$B$1061*INDEX('01_Вводные'!$C$37:$N$37,1,MOD(MONTH('06_Сеть_и_дети'!O$3)-9,12)+1)/SUM('01_Вводные'!$C$37:$N$37)</f>
        <v/>
      </c>
      <c r="P1350">
        <f>'19_Расчет_аналитики'!$B$1061*INDEX('01_Вводные'!$C$37:$N$37,1,MOD(MONTH('06_Сеть_и_дети'!P$3)-9,12)+1)/SUM('01_Вводные'!$C$37:$N$37)</f>
        <v/>
      </c>
      <c r="Q1350">
        <f>'19_Расчет_аналитики'!$B$1061*INDEX('01_Вводные'!$C$37:$N$37,1,MOD(MONTH('06_Сеть_и_дети'!Q$3)-9,12)+1)/SUM('01_Вводные'!$C$37:$N$37)</f>
        <v/>
      </c>
      <c r="R1350">
        <f>'19_Расчет_аналитики'!$B$1061*INDEX('01_Вводные'!$C$37:$N$37,1,MOD(MONTH('06_Сеть_и_дети'!R$3)-9,12)+1)/SUM('01_Вводные'!$C$37:$N$37)</f>
        <v/>
      </c>
      <c r="S1350">
        <f>'19_Расчет_аналитики'!$B$1061*INDEX('01_Вводные'!$C$37:$N$37,1,MOD(MONTH('06_Сеть_и_дети'!S$3)-9,12)+1)/SUM('01_Вводные'!$C$37:$N$37)</f>
        <v/>
      </c>
      <c r="T1350">
        <f>'19_Расчет_аналитики'!$B$1061*INDEX('01_Вводные'!$C$37:$N$37,1,MOD(MONTH('06_Сеть_и_дети'!T$3)-9,12)+1)/SUM('01_Вводные'!$C$37:$N$37)</f>
        <v/>
      </c>
      <c r="U1350">
        <f>'19_Расчет_аналитики'!$B$1061*INDEX('01_Вводные'!$C$37:$N$37,1,MOD(MONTH('06_Сеть_и_дети'!U$3)-9,12)+1)/SUM('01_Вводные'!$C$37:$N$37)</f>
        <v/>
      </c>
      <c r="V1350">
        <f>'19_Расчет_аналитики'!$B$1061*INDEX('01_Вводные'!$C$37:$N$37,1,MOD(MONTH('06_Сеть_и_дети'!V$3)-9,12)+1)/SUM('01_Вводные'!$C$37:$N$37)</f>
        <v/>
      </c>
      <c r="W1350">
        <f>'19_Расчет_аналитики'!$B$1061*INDEX('01_Вводные'!$C$37:$N$37,1,MOD(MONTH('06_Сеть_и_дети'!W$3)-9,12)+1)/SUM('01_Вводные'!$C$37:$N$37)</f>
        <v/>
      </c>
      <c r="X1350">
        <f>'19_Расчет_аналитики'!$B$1061*INDEX('01_Вводные'!$C$37:$N$37,1,MOD(MONTH('06_Сеть_и_дети'!X$3)-9,12)+1)/SUM('01_Вводные'!$C$37:$N$37)</f>
        <v/>
      </c>
      <c r="Y1350">
        <f>'19_Расчет_аналитики'!$B$1061*INDEX('01_Вводные'!$C$37:$N$37,1,MOD(MONTH('06_Сеть_и_дети'!Y$3)-9,12)+1)/SUM('01_Вводные'!$C$37:$N$37)</f>
        <v/>
      </c>
      <c r="Z1350">
        <f>'19_Расчет_аналитики'!$B$1062*INDEX('01_Вводные'!$C$38:$N$38,1,MOD(MONTH('06_Сеть_и_дети'!Z$3)-9,12)+1)/SUM('01_Вводные'!$C$38:$N$38)</f>
        <v/>
      </c>
      <c r="AA1350">
        <f>'19_Расчет_аналитики'!$B$1062*INDEX('01_Вводные'!$C$38:$N$38,1,MOD(MONTH('06_Сеть_и_дети'!AA$3)-9,12)+1)/SUM('01_Вводные'!$C$38:$N$38)</f>
        <v/>
      </c>
      <c r="AB1350">
        <f>'19_Расчет_аналитики'!$B$1062*INDEX('01_Вводные'!$C$38:$N$38,1,MOD(MONTH('06_Сеть_и_дети'!AB$3)-9,12)+1)/SUM('01_Вводные'!$C$38:$N$38)</f>
        <v/>
      </c>
      <c r="AC1350">
        <f>'19_Расчет_аналитики'!$B$1062*INDEX('01_Вводные'!$C$38:$N$38,1,MOD(MONTH('06_Сеть_и_дети'!AC$3)-9,12)+1)/SUM('01_Вводные'!$C$38:$N$38)</f>
        <v/>
      </c>
      <c r="AD1350">
        <f>'19_Расчет_аналитики'!$B$1062*INDEX('01_Вводные'!$C$38:$N$38,1,MOD(MONTH('06_Сеть_и_дети'!AD$3)-9,12)+1)/SUM('01_Вводные'!$C$38:$N$38)</f>
        <v/>
      </c>
      <c r="AE1350">
        <f>'19_Расчет_аналитики'!$B$1062*INDEX('01_Вводные'!$C$38:$N$38,1,MOD(MONTH('06_Сеть_и_дети'!AE$3)-9,12)+1)/SUM('01_Вводные'!$C$38:$N$38)</f>
        <v/>
      </c>
      <c r="AF1350">
        <f>'19_Расчет_аналитики'!$B$1062*INDEX('01_Вводные'!$C$38:$N$38,1,MOD(MONTH('06_Сеть_и_дети'!AF$3)-9,12)+1)/SUM('01_Вводные'!$C$38:$N$38)</f>
        <v/>
      </c>
      <c r="AG1350">
        <f>'19_Расчет_аналитики'!$B$1062*INDEX('01_Вводные'!$C$38:$N$38,1,MOD(MONTH('06_Сеть_и_дети'!AG$3)-9,12)+1)/SUM('01_Вводные'!$C$38:$N$38)</f>
        <v/>
      </c>
      <c r="AH1350">
        <f>'19_Расчет_аналитики'!$B$1062*INDEX('01_Вводные'!$C$38:$N$38,1,MOD(MONTH('06_Сеть_и_дети'!AH$3)-9,12)+1)/SUM('01_Вводные'!$C$38:$N$38)</f>
        <v/>
      </c>
      <c r="AI1350">
        <f>'19_Расчет_аналитики'!$B$1062*INDEX('01_Вводные'!$C$38:$N$38,1,MOD(MONTH('06_Сеть_и_дети'!AI$3)-9,12)+1)/SUM('01_Вводные'!$C$38:$N$38)</f>
        <v/>
      </c>
      <c r="AJ1350">
        <f>'19_Расчет_аналитики'!$B$1062*INDEX('01_Вводные'!$C$38:$N$38,1,MOD(MONTH('06_Сеть_и_дети'!AJ$3)-9,12)+1)/SUM('01_Вводные'!$C$38:$N$38)</f>
        <v/>
      </c>
      <c r="AK1350">
        <f>'19_Расчет_аналитики'!$B$1062*INDEX('01_Вводные'!$C$38:$N$38,1,MOD(MONTH('06_Сеть_и_дети'!AK$3)-9,12)+1)/SUM('01_Вводные'!$C$38:$N$38)</f>
        <v/>
      </c>
      <c r="AL1350">
        <f>'19_Расчет_аналитики'!$B$1063*INDEX('01_Вводные'!$C$39:$N$39,1,MOD(MONTH('06_Сеть_и_дети'!AL$3)-9,12)+1)/SUM('01_Вводные'!$C$39:$N$39)</f>
        <v/>
      </c>
      <c r="AM1350">
        <f>'19_Расчет_аналитики'!$B$1063*INDEX('01_Вводные'!$C$39:$N$39,1,MOD(MONTH('06_Сеть_и_дети'!AM$3)-9,12)+1)/SUM('01_Вводные'!$C$39:$N$39)</f>
        <v/>
      </c>
      <c r="AN1350">
        <f>'19_Расчет_аналитики'!$B$1063*INDEX('01_Вводные'!$C$39:$N$39,1,MOD(MONTH('06_Сеть_и_дети'!AN$3)-9,12)+1)/SUM('01_Вводные'!$C$39:$N$39)</f>
        <v/>
      </c>
      <c r="AO1350">
        <f>'19_Расчет_аналитики'!$B$1063*INDEX('01_Вводные'!$C$39:$N$39,1,MOD(MONTH('06_Сеть_и_дети'!AO$3)-9,12)+1)/SUM('01_Вводные'!$C$39:$N$39)</f>
        <v/>
      </c>
      <c r="AP1350">
        <f>'19_Расчет_аналитики'!$B$1063*INDEX('01_Вводные'!$C$39:$N$39,1,MOD(MONTH('06_Сеть_и_дети'!AP$3)-9,12)+1)/SUM('01_Вводные'!$C$39:$N$39)</f>
        <v/>
      </c>
      <c r="AQ1350">
        <f>'19_Расчет_аналитики'!$B$1063*INDEX('01_Вводные'!$C$39:$N$39,1,MOD(MONTH('06_Сеть_и_дети'!AQ$3)-9,12)+1)/SUM('01_Вводные'!$C$39:$N$39)</f>
        <v/>
      </c>
      <c r="AR1350">
        <f>'19_Расчет_аналитики'!$B$1063*INDEX('01_Вводные'!$C$39:$N$39,1,MOD(MONTH('06_Сеть_и_дети'!AR$3)-9,12)+1)/SUM('01_Вводные'!$C$39:$N$39)</f>
        <v/>
      </c>
      <c r="AS1350">
        <f>'19_Расчет_аналитики'!$B$1063*INDEX('01_Вводные'!$C$39:$N$39,1,MOD(MONTH('06_Сеть_и_дети'!AS$3)-9,12)+1)/SUM('01_Вводные'!$C$39:$N$39)</f>
        <v/>
      </c>
      <c r="AT1350">
        <f>'19_Расчет_аналитики'!$B$1063*INDEX('01_Вводные'!$C$39:$N$39,1,MOD(MONTH('06_Сеть_и_дети'!AT$3)-9,12)+1)/SUM('01_Вводные'!$C$39:$N$39)</f>
        <v/>
      </c>
      <c r="AU1350">
        <f>'19_Расчет_аналитики'!$B$1063*INDEX('01_Вводные'!$C$39:$N$39,1,MOD(MONTH('06_Сеть_и_дети'!AU$3)-9,12)+1)/SUM('01_Вводные'!$C$39:$N$39)</f>
        <v/>
      </c>
      <c r="AV1350">
        <f>'19_Расчет_аналитики'!$B$1063*INDEX('01_Вводные'!$C$39:$N$39,1,MOD(MONTH('06_Сеть_и_дети'!AV$3)-9,12)+1)/SUM('01_Вводные'!$C$39:$N$39)</f>
        <v/>
      </c>
      <c r="AW1350">
        <f>'19_Расчет_аналитики'!$B$1063*INDEX('01_Вводные'!$C$39:$N$39,1,MOD(MONTH('06_Сеть_и_дети'!AW$3)-9,12)+1)/SUM('01_Вводные'!$C$39:$N$39)</f>
        <v/>
      </c>
      <c r="AX1350">
        <f>'19_Расчет_аналитики'!$B$1064*INDEX('01_Вводные'!$C$40:$N$40,1,MOD(MONTH('06_Сеть_и_дети'!AX$3)-9,12)+1)/SUM('01_Вводные'!$C$40:$N$40)</f>
        <v/>
      </c>
      <c r="AY1350">
        <f>'19_Расчет_аналитики'!$B$1064*INDEX('01_Вводные'!$C$40:$N$40,1,MOD(MONTH('06_Сеть_и_дети'!AY$3)-9,12)+1)/SUM('01_Вводные'!$C$40:$N$40)</f>
        <v/>
      </c>
      <c r="AZ1350">
        <f>'19_Расчет_аналитики'!$B$1064*INDEX('01_Вводные'!$C$40:$N$40,1,MOD(MONTH('06_Сеть_и_дети'!AZ$3)-9,12)+1)/SUM('01_Вводные'!$C$40:$N$40)</f>
        <v/>
      </c>
      <c r="BA1350">
        <f>'19_Расчет_аналитики'!$B$1064*INDEX('01_Вводные'!$C$40:$N$40,1,MOD(MONTH('06_Сеть_и_дети'!BA$3)-9,12)+1)/SUM('01_Вводные'!$C$40:$N$40)</f>
        <v/>
      </c>
      <c r="BB1350">
        <f>'19_Расчет_аналитики'!$B$1064*INDEX('01_Вводные'!$C$40:$N$40,1,MOD(MONTH('06_Сеть_и_дети'!BB$3)-9,12)+1)/SUM('01_Вводные'!$C$40:$N$40)</f>
        <v/>
      </c>
      <c r="BC1350">
        <f>'19_Расчет_аналитики'!$B$1064*INDEX('01_Вводные'!$C$40:$N$40,1,MOD(MONTH('06_Сеть_и_дети'!BC$3)-9,12)+1)/SUM('01_Вводные'!$C$40:$N$40)</f>
        <v/>
      </c>
      <c r="BD1350">
        <f>'19_Расчет_аналитики'!$B$1064*INDEX('01_Вводные'!$C$40:$N$40,1,MOD(MONTH('06_Сеть_и_дети'!BD$3)-9,12)+1)/SUM('01_Вводные'!$C$40:$N$40)</f>
        <v/>
      </c>
      <c r="BE1350">
        <f>'19_Расчет_аналитики'!$B$1064*INDEX('01_Вводные'!$C$40:$N$40,1,MOD(MONTH('06_Сеть_и_дети'!BE$3)-9,12)+1)/SUM('01_Вводные'!$C$40:$N$40)</f>
        <v/>
      </c>
      <c r="BF1350">
        <f>'19_Расчет_аналитики'!$B$1064*INDEX('01_Вводные'!$C$40:$N$40,1,MOD(MONTH('06_Сеть_и_дети'!BF$3)-9,12)+1)/SUM('01_Вводные'!$C$40:$N$40)</f>
        <v/>
      </c>
      <c r="BG1350">
        <f>'19_Расчет_аналитики'!$B$1064*INDEX('01_Вводные'!$C$40:$N$40,1,MOD(MONTH('06_Сеть_и_дети'!BG$3)-9,12)+1)/SUM('01_Вводные'!$C$40:$N$40)</f>
        <v/>
      </c>
      <c r="BH1350">
        <f>'19_Расчет_аналитики'!$B$1064*INDEX('01_Вводные'!$C$40:$N$40,1,MOD(MONTH('06_Сеть_и_дети'!BH$3)-9,12)+1)/SUM('01_Вводные'!$C$40:$N$40)</f>
        <v/>
      </c>
      <c r="BI1350">
        <f>'19_Расчет_аналитики'!$B$1064*INDEX('01_Вводные'!$C$40:$N$40,1,MOD(MONTH('06_Сеть_и_дети'!BI$3)-9,12)+1)/SUM('01_Вводные'!$C$40:$N$40)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MIN(1,'01_Вводные'!$B$22)+IF(OR(1&lt;=('01_Вводные'!$B$15+'01_Вводные'!$B$311),1-('01_Вводные'!$B$15+'01_Вводные'!$B$311)&gt;60),0,INDEX('19_Расчет_аналитики'!$B$1350:$BI$1350,1,1-('01_Вводные'!$B$15+'01_Вводные'!$B$311)))*'01_Вводные'!$B$298*MAX(0,'01_Вводные'!$B$22-1)</f>
        <v/>
      </c>
      <c r="C1375">
        <f>IF(OR(2&lt;='01_Вводные'!$B$15,2-'01_Вводные'!$B$15&gt;60),0,INDEX('19_Расчет_аналитики'!$B$1350:$BI$1350,1,2-'01_Вводные'!$B$15))*'01_Вводные'!$B$298*MIN(1,'01_Вводные'!$B$22)+IF(OR(2&lt;=('01_Вводные'!$B$15+'01_Вводные'!$B$311),2-('01_Вводные'!$B$15+'01_Вводные'!$B$311)&gt;60),0,INDEX('19_Расчет_аналитики'!$B$1350:$BI$1350,1,2-('01_Вводные'!$B$15+'01_Вводные'!$B$311)))*'01_Вводные'!$B$298*MAX(0,'01_Вводные'!$B$22-1)</f>
        <v/>
      </c>
      <c r="D1375">
        <f>IF(OR(3&lt;='01_Вводные'!$B$15,3-'01_Вводные'!$B$15&gt;60),0,INDEX('19_Расчет_аналитики'!$B$1350:$BI$1350,1,3-'01_Вводные'!$B$15))*'01_Вводные'!$B$298*MIN(1,'01_Вводные'!$B$22)+IF(OR(3&lt;=('01_Вводные'!$B$15+'01_Вводные'!$B$311),3-('01_Вводные'!$B$15+'01_Вводные'!$B$311)&gt;60),0,INDEX('19_Расчет_аналитики'!$B$1350:$BI$1350,1,3-('01_Вводные'!$B$15+'01_Вводные'!$B$311)))*'01_Вводные'!$B$298*MAX(0,'01_Вводные'!$B$22-1)</f>
        <v/>
      </c>
      <c r="E1375">
        <f>IF(OR(4&lt;='01_Вводные'!$B$15,4-'01_Вводные'!$B$15&gt;60),0,INDEX('19_Расчет_аналитики'!$B$1350:$BI$1350,1,4-'01_Вводные'!$B$15))*'01_Вводные'!$B$298*MIN(1,'01_Вводные'!$B$22)+IF(OR(4&lt;=('01_Вводные'!$B$15+'01_Вводные'!$B$311),4-('01_Вводные'!$B$15+'01_Вводные'!$B$311)&gt;60),0,INDEX('19_Расчет_аналитики'!$B$1350:$BI$1350,1,4-('01_Вводные'!$B$15+'01_Вводные'!$B$311)))*'01_Вводные'!$B$298*MAX(0,'01_Вводные'!$B$22-1)</f>
        <v/>
      </c>
      <c r="F1375">
        <f>IF(OR(5&lt;='01_Вводные'!$B$15,5-'01_Вводные'!$B$15&gt;60),0,INDEX('19_Расчет_аналитики'!$B$1350:$BI$1350,1,5-'01_Вводные'!$B$15))*'01_Вводные'!$B$298*MIN(1,'01_Вводные'!$B$22)+IF(OR(5&lt;=('01_Вводные'!$B$15+'01_Вводные'!$B$311),5-('01_Вводные'!$B$15+'01_Вводные'!$B$311)&gt;60),0,INDEX('19_Расчет_аналитики'!$B$1350:$BI$1350,1,5-('01_Вводные'!$B$15+'01_Вводные'!$B$311)))*'01_Вводные'!$B$298*MAX(0,'01_Вводные'!$B$22-1)</f>
        <v/>
      </c>
      <c r="G1375">
        <f>IF(OR(6&lt;='01_Вводные'!$B$15,6-'01_Вводные'!$B$15&gt;60),0,INDEX('19_Расчет_аналитики'!$B$1350:$BI$1350,1,6-'01_Вводные'!$B$15))*'01_Вводные'!$B$298*MIN(1,'01_Вводные'!$B$22)+IF(OR(6&lt;=('01_Вводные'!$B$15+'01_Вводные'!$B$311),6-('01_Вводные'!$B$15+'01_Вводные'!$B$311)&gt;60),0,INDEX('19_Расчет_аналитики'!$B$1350:$BI$1350,1,6-('01_Вводные'!$B$15+'01_Вводные'!$B$311)))*'01_Вводные'!$B$298*MAX(0,'01_Вводные'!$B$22-1)</f>
        <v/>
      </c>
      <c r="H1375">
        <f>IF(OR(7&lt;='01_Вводные'!$B$15,7-'01_Вводные'!$B$15&gt;60),0,INDEX('19_Расчет_аналитики'!$B$1350:$BI$1350,1,7-'01_Вводные'!$B$15))*'01_Вводные'!$B$298*MIN(1,'01_Вводные'!$B$22)+IF(OR(7&lt;=('01_Вводные'!$B$15+'01_Вводные'!$B$311),7-('01_Вводные'!$B$15+'01_Вводные'!$B$311)&gt;60),0,INDEX('19_Расчет_аналитики'!$B$1350:$BI$1350,1,7-('01_Вводные'!$B$15+'01_Вводные'!$B$311)))*'01_Вводные'!$B$298*MAX(0,'01_Вводные'!$B$22-1)</f>
        <v/>
      </c>
      <c r="I1375">
        <f>IF(OR(8&lt;='01_Вводные'!$B$15,8-'01_Вводные'!$B$15&gt;60),0,INDEX('19_Расчет_аналитики'!$B$1350:$BI$1350,1,8-'01_Вводные'!$B$15))*'01_Вводные'!$B$298*MIN(1,'01_Вводные'!$B$22)+IF(OR(8&lt;=('01_Вводные'!$B$15+'01_Вводные'!$B$311),8-('01_Вводные'!$B$15+'01_Вводные'!$B$311)&gt;60),0,INDEX('19_Расчет_аналитики'!$B$1350:$BI$1350,1,8-('01_Вводные'!$B$15+'01_Вводные'!$B$311)))*'01_Вводные'!$B$298*MAX(0,'01_Вводные'!$B$22-1)</f>
        <v/>
      </c>
      <c r="J1375">
        <f>IF(OR(9&lt;='01_Вводные'!$B$15,9-'01_Вводные'!$B$15&gt;60),0,INDEX('19_Расчет_аналитики'!$B$1350:$BI$1350,1,9-'01_Вводные'!$B$15))*'01_Вводные'!$B$298*MIN(1,'01_Вводные'!$B$22)+IF(OR(9&lt;=('01_Вводные'!$B$15+'01_Вводные'!$B$311),9-('01_Вводные'!$B$15+'01_Вводные'!$B$311)&gt;60),0,INDEX('19_Расчет_аналитики'!$B$1350:$BI$1350,1,9-('01_Вводные'!$B$15+'01_Вводные'!$B$311)))*'01_Вводные'!$B$298*MAX(0,'01_Вводные'!$B$22-1)</f>
        <v/>
      </c>
      <c r="K1375">
        <f>IF(OR(10&lt;='01_Вводные'!$B$15,10-'01_Вводные'!$B$15&gt;60),0,INDEX('19_Расчет_аналитики'!$B$1350:$BI$1350,1,10-'01_Вводные'!$B$15))*'01_Вводные'!$B$298*MIN(1,'01_Вводные'!$B$22)+IF(OR(10&lt;=('01_Вводные'!$B$15+'01_Вводные'!$B$311),10-('01_Вводные'!$B$15+'01_Вводные'!$B$311)&gt;60),0,INDEX('19_Расчет_аналитики'!$B$1350:$BI$1350,1,10-('01_Вводные'!$B$15+'01_Вводные'!$B$311)))*'01_Вводные'!$B$298*MAX(0,'01_Вводные'!$B$22-1)</f>
        <v/>
      </c>
      <c r="L1375">
        <f>IF(OR(11&lt;='01_Вводные'!$B$15,11-'01_Вводные'!$B$15&gt;60),0,INDEX('19_Расчет_аналитики'!$B$1350:$BI$1350,1,11-'01_Вводные'!$B$15))*'01_Вводные'!$B$298*MIN(1,'01_Вводные'!$B$22)+IF(OR(11&lt;=('01_Вводные'!$B$15+'01_Вводные'!$B$311),11-('01_Вводные'!$B$15+'01_Вводные'!$B$311)&gt;60),0,INDEX('19_Расчет_аналитики'!$B$1350:$BI$1350,1,11-('01_Вводные'!$B$15+'01_Вводные'!$B$311)))*'01_Вводные'!$B$298*MAX(0,'01_Вводные'!$B$22-1)</f>
        <v/>
      </c>
      <c r="M1375">
        <f>IF(OR(12&lt;='01_Вводные'!$B$15,12-'01_Вводные'!$B$15&gt;60),0,INDEX('19_Расчет_аналитики'!$B$1350:$BI$1350,1,12-'01_Вводные'!$B$15))*'01_Вводные'!$B$298*MIN(1,'01_Вводные'!$B$22)+IF(OR(12&lt;=('01_Вводные'!$B$15+'01_Вводные'!$B$311),12-('01_Вводные'!$B$15+'01_Вводные'!$B$311)&gt;60),0,INDEX('19_Расчет_аналитики'!$B$1350:$BI$1350,1,12-('01_Вводные'!$B$15+'01_Вводные'!$B$311)))*'01_Вводные'!$B$298*MAX(0,'01_Вводные'!$B$22-1)</f>
        <v/>
      </c>
      <c r="N1375">
        <f>IF(OR(13&lt;='01_Вводные'!$B$15,13-'01_Вводные'!$B$15&gt;60),0,INDEX('19_Расчет_аналитики'!$B$1350:$BI$1350,1,13-'01_Вводные'!$B$15))*'01_Вводные'!$B$298*MIN(1,'01_Вводные'!$B$22)+IF(OR(13&lt;=('01_Вводные'!$B$15+'01_Вводные'!$B$311),13-('01_Вводные'!$B$15+'01_Вводные'!$B$311)&gt;60),0,INDEX('19_Расчет_аналитики'!$B$1350:$BI$1350,1,13-('01_Вводные'!$B$15+'01_Вводные'!$B$311)))*'01_Вводные'!$B$298*MAX(0,'01_Вводные'!$B$22-1)</f>
        <v/>
      </c>
      <c r="O1375">
        <f>IF(OR(14&lt;='01_Вводные'!$B$15,14-'01_Вводные'!$B$15&gt;60),0,INDEX('19_Расчет_аналитики'!$B$1350:$BI$1350,1,14-'01_Вводные'!$B$15))*'01_Вводные'!$B$298*MIN(1,'01_Вводные'!$B$22)+IF(OR(14&lt;=('01_Вводные'!$B$15+'01_Вводные'!$B$311),14-('01_Вводные'!$B$15+'01_Вводные'!$B$311)&gt;60),0,INDEX('19_Расчет_аналитики'!$B$1350:$BI$1350,1,14-('01_Вводные'!$B$15+'01_Вводные'!$B$311)))*'01_Вводные'!$B$298*MAX(0,'01_Вводные'!$B$22-1)</f>
        <v/>
      </c>
      <c r="P1375">
        <f>IF(OR(15&lt;='01_Вводные'!$B$15,15-'01_Вводные'!$B$15&gt;60),0,INDEX('19_Расчет_аналитики'!$B$1350:$BI$1350,1,15-'01_Вводные'!$B$15))*'01_Вводные'!$B$298*MIN(1,'01_Вводные'!$B$22)+IF(OR(15&lt;=('01_Вводные'!$B$15+'01_Вводные'!$B$311),15-('01_Вводные'!$B$15+'01_Вводные'!$B$311)&gt;60),0,INDEX('19_Расчет_аналитики'!$B$1350:$BI$1350,1,15-('01_Вводные'!$B$15+'01_Вводные'!$B$311)))*'01_Вводные'!$B$298*MAX(0,'01_Вводные'!$B$22-1)</f>
        <v/>
      </c>
      <c r="Q1375">
        <f>IF(OR(16&lt;='01_Вводные'!$B$15,16-'01_Вводные'!$B$15&gt;60),0,INDEX('19_Расчет_аналитики'!$B$1350:$BI$1350,1,16-'01_Вводные'!$B$15))*'01_Вводные'!$B$298*MIN(1,'01_Вводные'!$B$22)+IF(OR(16&lt;=('01_Вводные'!$B$15+'01_Вводные'!$B$311),16-('01_Вводные'!$B$15+'01_Вводные'!$B$311)&gt;60),0,INDEX('19_Расчет_аналитики'!$B$1350:$BI$1350,1,16-('01_Вводные'!$B$15+'01_Вводные'!$B$311)))*'01_Вводные'!$B$298*MAX(0,'01_Вводные'!$B$22-1)</f>
        <v/>
      </c>
      <c r="R1375">
        <f>IF(OR(17&lt;='01_Вводные'!$B$15,17-'01_Вводные'!$B$15&gt;60),0,INDEX('19_Расчет_аналитики'!$B$1350:$BI$1350,1,17-'01_Вводные'!$B$15))*'01_Вводные'!$B$298*MIN(1,'01_Вводные'!$B$22)+IF(OR(17&lt;=('01_Вводные'!$B$15+'01_Вводные'!$B$311),17-('01_Вводные'!$B$15+'01_Вводные'!$B$311)&gt;60),0,INDEX('19_Расчет_аналитики'!$B$1350:$BI$1350,1,17-('01_Вводные'!$B$15+'01_Вводные'!$B$311)))*'01_Вводные'!$B$298*MAX(0,'01_Вводные'!$B$22-1)</f>
        <v/>
      </c>
      <c r="S1375">
        <f>IF(OR(18&lt;='01_Вводные'!$B$15,18-'01_Вводные'!$B$15&gt;60),0,INDEX('19_Расчет_аналитики'!$B$1350:$BI$1350,1,18-'01_Вводные'!$B$15))*'01_Вводные'!$B$298*MIN(1,'01_Вводные'!$B$22)+IF(OR(18&lt;=('01_Вводные'!$B$15+'01_Вводные'!$B$311),18-('01_Вводные'!$B$15+'01_Вводные'!$B$311)&gt;60),0,INDEX('19_Расчет_аналитики'!$B$1350:$BI$1350,1,18-('01_Вводные'!$B$15+'01_Вводные'!$B$311)))*'01_Вводные'!$B$298*MAX(0,'01_Вводные'!$B$22-1)</f>
        <v/>
      </c>
      <c r="T1375">
        <f>IF(OR(19&lt;='01_Вводные'!$B$15,19-'01_Вводные'!$B$15&gt;60),0,INDEX('19_Расчет_аналитики'!$B$1350:$BI$1350,1,19-'01_Вводные'!$B$15))*'01_Вводные'!$B$298*MIN(1,'01_Вводные'!$B$22)+IF(OR(19&lt;=('01_Вводные'!$B$15+'01_Вводные'!$B$311),19-('01_Вводные'!$B$15+'01_Вводные'!$B$311)&gt;60),0,INDEX('19_Расчет_аналитики'!$B$1350:$BI$1350,1,19-('01_Вводные'!$B$15+'01_Вводные'!$B$311)))*'01_Вводные'!$B$298*MAX(0,'01_Вводные'!$B$22-1)</f>
        <v/>
      </c>
      <c r="U1375">
        <f>IF(OR(20&lt;='01_Вводные'!$B$15,20-'01_Вводные'!$B$15&gt;60),0,INDEX('19_Расчет_аналитики'!$B$1350:$BI$1350,1,20-'01_Вводные'!$B$15))*'01_Вводные'!$B$298*MIN(1,'01_Вводные'!$B$22)+IF(OR(20&lt;=('01_Вводные'!$B$15+'01_Вводные'!$B$311),20-('01_Вводные'!$B$15+'01_Вводные'!$B$311)&gt;60),0,INDEX('19_Расчет_аналитики'!$B$1350:$BI$1350,1,20-('01_Вводные'!$B$15+'01_Вводные'!$B$311)))*'01_Вводные'!$B$298*MAX(0,'01_Вводные'!$B$22-1)</f>
        <v/>
      </c>
      <c r="V1375">
        <f>IF(OR(21&lt;='01_Вводные'!$B$15,21-'01_Вводные'!$B$15&gt;60),0,INDEX('19_Расчет_аналитики'!$B$1350:$BI$1350,1,21-'01_Вводные'!$B$15))*'01_Вводные'!$B$298*MIN(1,'01_Вводные'!$B$22)+IF(OR(21&lt;=('01_Вводные'!$B$15+'01_Вводные'!$B$311),21-('01_Вводные'!$B$15+'01_Вводные'!$B$311)&gt;60),0,INDEX('19_Расчет_аналитики'!$B$1350:$BI$1350,1,21-('01_Вводные'!$B$15+'01_Вводные'!$B$311)))*'01_Вводные'!$B$298*MAX(0,'01_Вводные'!$B$22-1)</f>
        <v/>
      </c>
      <c r="W1375">
        <f>IF(OR(22&lt;='01_Вводные'!$B$15,22-'01_Вводные'!$B$15&gt;60),0,INDEX('19_Расчет_аналитики'!$B$1350:$BI$1350,1,22-'01_Вводные'!$B$15))*'01_Вводные'!$B$298*MIN(1,'01_Вводные'!$B$22)+IF(OR(22&lt;=('01_Вводные'!$B$15+'01_Вводные'!$B$311),22-('01_Вводные'!$B$15+'01_Вводные'!$B$311)&gt;60),0,INDEX('19_Расчет_аналитики'!$B$1350:$BI$1350,1,22-('01_Вводные'!$B$15+'01_Вводные'!$B$311)))*'01_Вводные'!$B$298*MAX(0,'01_Вводные'!$B$22-1)</f>
        <v/>
      </c>
      <c r="X1375">
        <f>IF(OR(23&lt;='01_Вводные'!$B$15,23-'01_Вводные'!$B$15&gt;60),0,INDEX('19_Расчет_аналитики'!$B$1350:$BI$1350,1,23-'01_Вводные'!$B$15))*'01_Вводные'!$B$298*MIN(1,'01_Вводные'!$B$22)+IF(OR(23&lt;=('01_Вводные'!$B$15+'01_Вводные'!$B$311),23-('01_Вводные'!$B$15+'01_Вводные'!$B$311)&gt;60),0,INDEX('19_Расчет_аналитики'!$B$1350:$BI$1350,1,23-('01_Вводные'!$B$15+'01_Вводные'!$B$311)))*'01_Вводные'!$B$298*MAX(0,'01_Вводные'!$B$22-1)</f>
        <v/>
      </c>
      <c r="Y1375">
        <f>IF(OR(24&lt;='01_Вводные'!$B$15,24-'01_Вводные'!$B$15&gt;60),0,INDEX('19_Расчет_аналитики'!$B$1350:$BI$1350,1,24-'01_Вводные'!$B$15))*'01_Вводные'!$B$298*MIN(1,'01_Вводные'!$B$22)+IF(OR(24&lt;=('01_Вводные'!$B$15+'01_Вводные'!$B$311),24-('01_Вводные'!$B$15+'01_Вводные'!$B$311)&gt;60),0,INDEX('19_Расчет_аналитики'!$B$1350:$BI$1350,1,24-('01_Вводные'!$B$15+'01_Вводные'!$B$311)))*'01_Вводные'!$B$298*MAX(0,'01_Вводные'!$B$22-1)</f>
        <v/>
      </c>
      <c r="Z1375">
        <f>IF(OR(25&lt;='01_Вводные'!$B$15,25-'01_Вводные'!$B$15&gt;60),0,INDEX('19_Расчет_аналитики'!$B$1350:$BI$1350,1,25-'01_Вводные'!$B$15))*'01_Вводные'!$B$298*MIN(1,'01_Вводные'!$B$22)+IF(OR(25&lt;=('01_Вводные'!$B$15+'01_Вводные'!$B$311),25-('01_Вводные'!$B$15+'01_Вводные'!$B$311)&gt;60),0,INDEX('19_Расчет_аналитики'!$B$1350:$BI$1350,1,25-('01_Вводные'!$B$15+'01_Вводные'!$B$311)))*'01_Вводные'!$B$298*MAX(0,'01_Вводные'!$B$22-1)</f>
        <v/>
      </c>
      <c r="AA1375">
        <f>IF(OR(26&lt;='01_Вводные'!$B$15,26-'01_Вводные'!$B$15&gt;60),0,INDEX('19_Расчет_аналитики'!$B$1350:$BI$1350,1,26-'01_Вводные'!$B$15))*'01_Вводные'!$B$298*MIN(1,'01_Вводные'!$B$22)+IF(OR(26&lt;=('01_Вводные'!$B$15+'01_Вводные'!$B$311),26-('01_Вводные'!$B$15+'01_Вводные'!$B$311)&gt;60),0,INDEX('19_Расчет_аналитики'!$B$1350:$BI$1350,1,26-('01_Вводные'!$B$15+'01_Вводные'!$B$311)))*'01_Вводные'!$B$298*MAX(0,'01_Вводные'!$B$22-1)</f>
        <v/>
      </c>
      <c r="AB1375">
        <f>IF(OR(27&lt;='01_Вводные'!$B$15,27-'01_Вводные'!$B$15&gt;60),0,INDEX('19_Расчет_аналитики'!$B$1350:$BI$1350,1,27-'01_Вводные'!$B$15))*'01_Вводные'!$B$298*MIN(1,'01_Вводные'!$B$22)+IF(OR(27&lt;=('01_Вводные'!$B$15+'01_Вводные'!$B$311),27-('01_Вводные'!$B$15+'01_Вводные'!$B$311)&gt;60),0,INDEX('19_Расчет_аналитики'!$B$1350:$BI$1350,1,27-('01_Вводные'!$B$15+'01_Вводные'!$B$311)))*'01_Вводные'!$B$298*MAX(0,'01_Вводные'!$B$22-1)</f>
        <v/>
      </c>
      <c r="AC1375">
        <f>IF(OR(28&lt;='01_Вводные'!$B$15,28-'01_Вводные'!$B$15&gt;60),0,INDEX('19_Расчет_аналитики'!$B$1350:$BI$1350,1,28-'01_Вводные'!$B$15))*'01_Вводные'!$B$298*MIN(1,'01_Вводные'!$B$22)+IF(OR(28&lt;=('01_Вводные'!$B$15+'01_Вводные'!$B$311),28-('01_Вводные'!$B$15+'01_Вводные'!$B$311)&gt;60),0,INDEX('19_Расчет_аналитики'!$B$1350:$BI$1350,1,28-('01_Вводные'!$B$15+'01_Вводные'!$B$311)))*'01_Вводные'!$B$298*MAX(0,'01_Вводные'!$B$22-1)</f>
        <v/>
      </c>
      <c r="AD1375">
        <f>IF(OR(29&lt;='01_Вводные'!$B$15,29-'01_Вводные'!$B$15&gt;60),0,INDEX('19_Расчет_аналитики'!$B$1350:$BI$1350,1,29-'01_Вводные'!$B$15))*'01_Вводные'!$B$298*MIN(1,'01_Вводные'!$B$22)+IF(OR(29&lt;=('01_Вводные'!$B$15+'01_Вводные'!$B$311),29-('01_Вводные'!$B$15+'01_Вводные'!$B$311)&gt;60),0,INDEX('19_Расчет_аналитики'!$B$1350:$BI$1350,1,29-('01_Вводные'!$B$15+'01_Вводные'!$B$311)))*'01_Вводные'!$B$298*MAX(0,'01_Вводные'!$B$22-1)</f>
        <v/>
      </c>
      <c r="AE1375">
        <f>IF(OR(30&lt;='01_Вводные'!$B$15,30-'01_Вводные'!$B$15&gt;60),0,INDEX('19_Расчет_аналитики'!$B$1350:$BI$1350,1,30-'01_Вводные'!$B$15))*'01_Вводные'!$B$298*MIN(1,'01_Вводные'!$B$22)+IF(OR(30&lt;=('01_Вводные'!$B$15+'01_Вводные'!$B$311),30-('01_Вводные'!$B$15+'01_Вводные'!$B$311)&gt;60),0,INDEX('19_Расчет_аналитики'!$B$1350:$BI$1350,1,30-('01_Вводные'!$B$15+'01_Вводные'!$B$311)))*'01_Вводные'!$B$298*MAX(0,'01_Вводные'!$B$22-1)</f>
        <v/>
      </c>
      <c r="AF1375">
        <f>IF(OR(31&lt;='01_Вводные'!$B$15,31-'01_Вводные'!$B$15&gt;60),0,INDEX('19_Расчет_аналитики'!$B$1350:$BI$1350,1,31-'01_Вводные'!$B$15))*'01_Вводные'!$B$298*MIN(1,'01_Вводные'!$B$22)+IF(OR(31&lt;=('01_Вводные'!$B$15+'01_Вводные'!$B$311),31-('01_Вводные'!$B$15+'01_Вводные'!$B$311)&gt;60),0,INDEX('19_Расчет_аналитики'!$B$1350:$BI$1350,1,31-('01_Вводные'!$B$15+'01_Вводные'!$B$311)))*'01_Вводные'!$B$298*MAX(0,'01_Вводные'!$B$22-1)</f>
        <v/>
      </c>
      <c r="AG1375">
        <f>IF(OR(32&lt;='01_Вводные'!$B$15,32-'01_Вводные'!$B$15&gt;60),0,INDEX('19_Расчет_аналитики'!$B$1350:$BI$1350,1,32-'01_Вводные'!$B$15))*'01_Вводные'!$B$298*MIN(1,'01_Вводные'!$B$22)+IF(OR(32&lt;=('01_Вводные'!$B$15+'01_Вводные'!$B$311),32-('01_Вводные'!$B$15+'01_Вводные'!$B$311)&gt;60),0,INDEX('19_Расчет_аналитики'!$B$1350:$BI$1350,1,32-('01_Вводные'!$B$15+'01_Вводные'!$B$311)))*'01_Вводные'!$B$298*MAX(0,'01_Вводные'!$B$22-1)</f>
        <v/>
      </c>
      <c r="AH1375">
        <f>IF(OR(33&lt;='01_Вводные'!$B$15,33-'01_Вводные'!$B$15&gt;60),0,INDEX('19_Расчет_аналитики'!$B$1350:$BI$1350,1,33-'01_Вводные'!$B$15))*'01_Вводные'!$B$298*MIN(1,'01_Вводные'!$B$22)+IF(OR(33&lt;=('01_Вводные'!$B$15+'01_Вводные'!$B$311),33-('01_Вводные'!$B$15+'01_Вводные'!$B$311)&gt;60),0,INDEX('19_Расчет_аналитики'!$B$1350:$BI$1350,1,33-('01_Вводные'!$B$15+'01_Вводные'!$B$311)))*'01_Вводные'!$B$298*MAX(0,'01_Вводные'!$B$22-1)</f>
        <v/>
      </c>
      <c r="AI1375">
        <f>IF(OR(34&lt;='01_Вводные'!$B$15,34-'01_Вводные'!$B$15&gt;60),0,INDEX('19_Расчет_аналитики'!$B$1350:$BI$1350,1,34-'01_Вводные'!$B$15))*'01_Вводные'!$B$298*MIN(1,'01_Вводные'!$B$22)+IF(OR(34&lt;=('01_Вводные'!$B$15+'01_Вводные'!$B$311),34-('01_Вводные'!$B$15+'01_Вводные'!$B$311)&gt;60),0,INDEX('19_Расчет_аналитики'!$B$1350:$BI$1350,1,34-('01_Вводные'!$B$15+'01_Вводные'!$B$311)))*'01_Вводные'!$B$298*MAX(0,'01_Вводные'!$B$22-1)</f>
        <v/>
      </c>
      <c r="AJ1375">
        <f>IF(OR(35&lt;='01_Вводные'!$B$15,35-'01_Вводные'!$B$15&gt;60),0,INDEX('19_Расчет_аналитики'!$B$1350:$BI$1350,1,35-'01_Вводные'!$B$15))*'01_Вводные'!$B$298*MIN(1,'01_Вводные'!$B$22)+IF(OR(35&lt;=('01_Вводные'!$B$15+'01_Вводные'!$B$311),35-('01_Вводные'!$B$15+'01_Вводные'!$B$311)&gt;60),0,INDEX('19_Расчет_аналитики'!$B$1350:$BI$1350,1,35-('01_Вводные'!$B$15+'01_Вводные'!$B$311)))*'01_Вводные'!$B$298*MAX(0,'01_Вводные'!$B$22-1)</f>
        <v/>
      </c>
      <c r="AK1375">
        <f>IF(OR(36&lt;='01_Вводные'!$B$15,36-'01_Вводные'!$B$15&gt;60),0,INDEX('19_Расчет_аналитики'!$B$1350:$BI$1350,1,36-'01_Вводные'!$B$15))*'01_Вводные'!$B$298*MIN(1,'01_Вводные'!$B$22)+IF(OR(36&lt;=('01_Вводные'!$B$15+'01_Вводные'!$B$311),36-('01_Вводные'!$B$15+'01_Вводные'!$B$311)&gt;60),0,INDEX('19_Расчет_аналитики'!$B$1350:$BI$1350,1,36-('01_Вводные'!$B$15+'01_Вводные'!$B$311)))*'01_Вводные'!$B$298*MAX(0,'01_Вводные'!$B$22-1)</f>
        <v/>
      </c>
      <c r="AL1375">
        <f>IF(OR(37&lt;='01_Вводные'!$B$15,37-'01_Вводные'!$B$15&gt;60),0,INDEX('19_Расчет_аналитики'!$B$1350:$BI$1350,1,37-'01_Вводные'!$B$15))*'01_Вводные'!$B$298*MIN(1,'01_Вводные'!$B$22)+IF(OR(37&lt;=('01_Вводные'!$B$15+'01_Вводные'!$B$311),37-('01_Вводные'!$B$15+'01_Вводные'!$B$311)&gt;60),0,INDEX('19_Расчет_аналитики'!$B$1350:$BI$1350,1,37-('01_Вводные'!$B$15+'01_Вводные'!$B$311)))*'01_Вводные'!$B$298*MAX(0,'01_Вводные'!$B$22-1)</f>
        <v/>
      </c>
      <c r="AM1375">
        <f>IF(OR(38&lt;='01_Вводные'!$B$15,38-'01_Вводные'!$B$15&gt;60),0,INDEX('19_Расчет_аналитики'!$B$1350:$BI$1350,1,38-'01_Вводные'!$B$15))*'01_Вводные'!$B$298*MIN(1,'01_Вводные'!$B$22)+IF(OR(38&lt;=('01_Вводные'!$B$15+'01_Вводные'!$B$311),38-('01_Вводные'!$B$15+'01_Вводные'!$B$311)&gt;60),0,INDEX('19_Расчет_аналитики'!$B$1350:$BI$1350,1,38-('01_Вводные'!$B$15+'01_Вводные'!$B$311)))*'01_Вводные'!$B$298*MAX(0,'01_Вводные'!$B$22-1)</f>
        <v/>
      </c>
      <c r="AN1375">
        <f>IF(OR(39&lt;='01_Вводные'!$B$15,39-'01_Вводные'!$B$15&gt;60),0,INDEX('19_Расчет_аналитики'!$B$1350:$BI$1350,1,39-'01_Вводные'!$B$15))*'01_Вводные'!$B$298*MIN(1,'01_Вводные'!$B$22)+IF(OR(39&lt;=('01_Вводные'!$B$15+'01_Вводные'!$B$311),39-('01_Вводные'!$B$15+'01_Вводные'!$B$311)&gt;60),0,INDEX('19_Расчет_аналитики'!$B$1350:$BI$1350,1,39-('01_Вводные'!$B$15+'01_Вводные'!$B$311)))*'01_Вводные'!$B$298*MAX(0,'01_Вводные'!$B$22-1)</f>
        <v/>
      </c>
      <c r="AO1375">
        <f>IF(OR(40&lt;='01_Вводные'!$B$15,40-'01_Вводные'!$B$15&gt;60),0,INDEX('19_Расчет_аналитики'!$B$1350:$BI$1350,1,40-'01_Вводные'!$B$15))*'01_Вводные'!$B$298*MIN(1,'01_Вводные'!$B$22)+IF(OR(40&lt;=('01_Вводные'!$B$15+'01_Вводные'!$B$311),40-('01_Вводные'!$B$15+'01_Вводные'!$B$311)&gt;60),0,INDEX('19_Расчет_аналитики'!$B$1350:$BI$1350,1,40-('01_Вводные'!$B$15+'01_Вводные'!$B$311)))*'01_Вводные'!$B$298*MAX(0,'01_Вводные'!$B$22-1)</f>
        <v/>
      </c>
      <c r="AP1375">
        <f>IF(OR(41&lt;='01_Вводные'!$B$15,41-'01_Вводные'!$B$15&gt;60),0,INDEX('19_Расчет_аналитики'!$B$1350:$BI$1350,1,41-'01_Вводные'!$B$15))*'01_Вводные'!$B$298*MIN(1,'01_Вводные'!$B$22)+IF(OR(41&lt;=('01_Вводные'!$B$15+'01_Вводные'!$B$311),41-('01_Вводные'!$B$15+'01_Вводные'!$B$311)&gt;60),0,INDEX('19_Расчет_аналитики'!$B$1350:$BI$1350,1,41-('01_Вводные'!$B$15+'01_Вводные'!$B$311)))*'01_Вводные'!$B$298*MAX(0,'01_Вводные'!$B$22-1)</f>
        <v/>
      </c>
      <c r="AQ1375">
        <f>IF(OR(42&lt;='01_Вводные'!$B$15,42-'01_Вводные'!$B$15&gt;60),0,INDEX('19_Расчет_аналитики'!$B$1350:$BI$1350,1,42-'01_Вводные'!$B$15))*'01_Вводные'!$B$298*MIN(1,'01_Вводные'!$B$22)+IF(OR(42&lt;=('01_Вводные'!$B$15+'01_Вводные'!$B$311),42-('01_Вводные'!$B$15+'01_Вводные'!$B$311)&gt;60),0,INDEX('19_Расчет_аналитики'!$B$1350:$BI$1350,1,42-('01_Вводные'!$B$15+'01_Вводные'!$B$311)))*'01_Вводные'!$B$298*MAX(0,'01_Вводные'!$B$22-1)</f>
        <v/>
      </c>
      <c r="AR1375">
        <f>IF(OR(43&lt;='01_Вводные'!$B$15,43-'01_Вводные'!$B$15&gt;60),0,INDEX('19_Расчет_аналитики'!$B$1350:$BI$1350,1,43-'01_Вводные'!$B$15))*'01_Вводные'!$B$298*MIN(1,'01_Вводные'!$B$22)+IF(OR(43&lt;=('01_Вводные'!$B$15+'01_Вводные'!$B$311),43-('01_Вводные'!$B$15+'01_Вводные'!$B$311)&gt;60),0,INDEX('19_Расчет_аналитики'!$B$1350:$BI$1350,1,43-('01_Вводные'!$B$15+'01_Вводные'!$B$311)))*'01_Вводные'!$B$298*MAX(0,'01_Вводные'!$B$22-1)</f>
        <v/>
      </c>
      <c r="AS1375">
        <f>IF(OR(44&lt;='01_Вводные'!$B$15,44-'01_Вводные'!$B$15&gt;60),0,INDEX('19_Расчет_аналитики'!$B$1350:$BI$1350,1,44-'01_Вводные'!$B$15))*'01_Вводные'!$B$298*MIN(1,'01_Вводные'!$B$22)+IF(OR(44&lt;=('01_Вводные'!$B$15+'01_Вводные'!$B$311),44-('01_Вводные'!$B$15+'01_Вводные'!$B$311)&gt;60),0,INDEX('19_Расчет_аналитики'!$B$1350:$BI$1350,1,44-('01_Вводные'!$B$15+'01_Вводные'!$B$311)))*'01_Вводные'!$B$298*MAX(0,'01_Вводные'!$B$22-1)</f>
        <v/>
      </c>
      <c r="AT1375">
        <f>IF(OR(45&lt;='01_Вводные'!$B$15,45-'01_Вводные'!$B$15&gt;60),0,INDEX('19_Расчет_аналитики'!$B$1350:$BI$1350,1,45-'01_Вводные'!$B$15))*'01_Вводные'!$B$298*MIN(1,'01_Вводные'!$B$22)+IF(OR(45&lt;=('01_Вводные'!$B$15+'01_Вводные'!$B$311),45-('01_Вводные'!$B$15+'01_Вводные'!$B$311)&gt;60),0,INDEX('19_Расчет_аналитики'!$B$1350:$BI$1350,1,45-('01_Вводные'!$B$15+'01_Вводные'!$B$311)))*'01_Вводные'!$B$298*MAX(0,'01_Вводные'!$B$22-1)</f>
        <v/>
      </c>
      <c r="AU1375">
        <f>IF(OR(46&lt;='01_Вводные'!$B$15,46-'01_Вводные'!$B$15&gt;60),0,INDEX('19_Расчет_аналитики'!$B$1350:$BI$1350,1,46-'01_Вводные'!$B$15))*'01_Вводные'!$B$298*MIN(1,'01_Вводные'!$B$22)+IF(OR(46&lt;=('01_Вводные'!$B$15+'01_Вводные'!$B$311),46-('01_Вводные'!$B$15+'01_Вводные'!$B$311)&gt;60),0,INDEX('19_Расчет_аналитики'!$B$1350:$BI$1350,1,46-('01_Вводные'!$B$15+'01_Вводные'!$B$311)))*'01_Вводные'!$B$298*MAX(0,'01_Вводные'!$B$22-1)</f>
        <v/>
      </c>
      <c r="AV1375">
        <f>IF(OR(47&lt;='01_Вводные'!$B$15,47-'01_Вводные'!$B$15&gt;60),0,INDEX('19_Расчет_аналитики'!$B$1350:$BI$1350,1,47-'01_Вводные'!$B$15))*'01_Вводные'!$B$298*MIN(1,'01_Вводные'!$B$22)+IF(OR(47&lt;=('01_Вводные'!$B$15+'01_Вводные'!$B$311),47-('01_Вводные'!$B$15+'01_Вводные'!$B$311)&gt;60),0,INDEX('19_Расчет_аналитики'!$B$1350:$BI$1350,1,47-('01_Вводные'!$B$15+'01_Вводные'!$B$311)))*'01_Вводные'!$B$298*MAX(0,'01_Вводные'!$B$22-1)</f>
        <v/>
      </c>
      <c r="AW1375">
        <f>IF(OR(48&lt;='01_Вводные'!$B$15,48-'01_Вводные'!$B$15&gt;60),0,INDEX('19_Расчет_аналитики'!$B$1350:$BI$1350,1,48-'01_Вводные'!$B$15))*'01_Вводные'!$B$298*MIN(1,'01_Вводные'!$B$22)+IF(OR(48&lt;=('01_Вводные'!$B$15+'01_Вводные'!$B$311),48-('01_Вводные'!$B$15+'01_Вводные'!$B$311)&gt;60),0,INDEX('19_Расчет_аналитики'!$B$1350:$BI$1350,1,48-('01_Вводные'!$B$15+'01_Вводные'!$B$311)))*'01_Вводные'!$B$298*MAX(0,'01_Вводные'!$B$22-1)</f>
        <v/>
      </c>
      <c r="AX1375">
        <f>IF(OR(49&lt;='01_Вводные'!$B$15,49-'01_Вводные'!$B$15&gt;60),0,INDEX('19_Расчет_аналитики'!$B$1350:$BI$1350,1,49-'01_Вводные'!$B$15))*'01_Вводные'!$B$298*MIN(1,'01_Вводные'!$B$22)+IF(OR(49&lt;=('01_Вводные'!$B$15+'01_Вводные'!$B$311),49-('01_Вводные'!$B$15+'01_Вводные'!$B$311)&gt;60),0,INDEX('19_Расчет_аналитики'!$B$1350:$BI$1350,1,49-('01_Вводные'!$B$15+'01_Вводные'!$B$311)))*'01_Вводные'!$B$298*MAX(0,'01_Вводные'!$B$22-1)</f>
        <v/>
      </c>
      <c r="AY1375">
        <f>IF(OR(50&lt;='01_Вводные'!$B$15,50-'01_Вводные'!$B$15&gt;60),0,INDEX('19_Расчет_аналитики'!$B$1350:$BI$1350,1,50-'01_Вводные'!$B$15))*'01_Вводные'!$B$298*MIN(1,'01_Вводные'!$B$22)+IF(OR(50&lt;=('01_Вводные'!$B$15+'01_Вводные'!$B$311),50-('01_Вводные'!$B$15+'01_Вводные'!$B$311)&gt;60),0,INDEX('19_Расчет_аналитики'!$B$1350:$BI$1350,1,50-('01_Вводные'!$B$15+'01_Вводные'!$B$311)))*'01_Вводные'!$B$298*MAX(0,'01_Вводные'!$B$22-1)</f>
        <v/>
      </c>
      <c r="AZ1375">
        <f>IF(OR(51&lt;='01_Вводные'!$B$15,51-'01_Вводные'!$B$15&gt;60),0,INDEX('19_Расчет_аналитики'!$B$1350:$BI$1350,1,51-'01_Вводные'!$B$15))*'01_Вводные'!$B$298*MIN(1,'01_Вводные'!$B$22)+IF(OR(51&lt;=('01_Вводные'!$B$15+'01_Вводные'!$B$311),51-('01_Вводные'!$B$15+'01_Вводные'!$B$311)&gt;60),0,INDEX('19_Расчет_аналитики'!$B$1350:$BI$1350,1,51-('01_Вводные'!$B$15+'01_Вводные'!$B$311)))*'01_Вводные'!$B$298*MAX(0,'01_Вводные'!$B$22-1)</f>
        <v/>
      </c>
      <c r="BA1375">
        <f>IF(OR(52&lt;='01_Вводные'!$B$15,52-'01_Вводные'!$B$15&gt;60),0,INDEX('19_Расчет_аналитики'!$B$1350:$BI$1350,1,52-'01_Вводные'!$B$15))*'01_Вводные'!$B$298*MIN(1,'01_Вводные'!$B$22)+IF(OR(52&lt;=('01_Вводные'!$B$15+'01_Вводные'!$B$311),52-('01_Вводные'!$B$15+'01_Вводные'!$B$311)&gt;60),0,INDEX('19_Расчет_аналитики'!$B$1350:$BI$1350,1,52-('01_Вводные'!$B$15+'01_Вводные'!$B$311)))*'01_Вводные'!$B$298*MAX(0,'01_Вводные'!$B$22-1)</f>
        <v/>
      </c>
      <c r="BB1375">
        <f>IF(OR(53&lt;='01_Вводные'!$B$15,53-'01_Вводные'!$B$15&gt;60),0,INDEX('19_Расчет_аналитики'!$B$1350:$BI$1350,1,53-'01_Вводные'!$B$15))*'01_Вводные'!$B$298*MIN(1,'01_Вводные'!$B$22)+IF(OR(53&lt;=('01_Вводные'!$B$15+'01_Вводные'!$B$311),53-('01_Вводные'!$B$15+'01_Вводные'!$B$311)&gt;60),0,INDEX('19_Расчет_аналитики'!$B$1350:$BI$1350,1,53-('01_Вводные'!$B$15+'01_Вводные'!$B$311)))*'01_Вводные'!$B$298*MAX(0,'01_Вводные'!$B$22-1)</f>
        <v/>
      </c>
      <c r="BC1375">
        <f>IF(OR(54&lt;='01_Вводные'!$B$15,54-'01_Вводные'!$B$15&gt;60),0,INDEX('19_Расчет_аналитики'!$B$1350:$BI$1350,1,54-'01_Вводные'!$B$15))*'01_Вводные'!$B$298*MIN(1,'01_Вводные'!$B$22)+IF(OR(54&lt;=('01_Вводные'!$B$15+'01_Вводные'!$B$311),54-('01_Вводные'!$B$15+'01_Вводные'!$B$311)&gt;60),0,INDEX('19_Расчет_аналитики'!$B$1350:$BI$1350,1,54-('01_Вводные'!$B$15+'01_Вводные'!$B$311)))*'01_Вводные'!$B$298*MAX(0,'01_Вводные'!$B$22-1)</f>
        <v/>
      </c>
      <c r="BD1375">
        <f>IF(OR(55&lt;='01_Вводные'!$B$15,55-'01_Вводные'!$B$15&gt;60),0,INDEX('19_Расчет_аналитики'!$B$1350:$BI$1350,1,55-'01_Вводные'!$B$15))*'01_Вводные'!$B$298*MIN(1,'01_Вводные'!$B$22)+IF(OR(55&lt;=('01_Вводные'!$B$15+'01_Вводные'!$B$311),55-('01_Вводные'!$B$15+'01_Вводные'!$B$311)&gt;60),0,INDEX('19_Расчет_аналитики'!$B$1350:$BI$1350,1,55-('01_Вводные'!$B$15+'01_Вводные'!$B$311)))*'01_Вводные'!$B$298*MAX(0,'01_Вводные'!$B$22-1)</f>
        <v/>
      </c>
      <c r="BE1375">
        <f>IF(OR(56&lt;='01_Вводные'!$B$15,56-'01_Вводные'!$B$15&gt;60),0,INDEX('19_Расчет_аналитики'!$B$1350:$BI$1350,1,56-'01_Вводные'!$B$15))*'01_Вводные'!$B$298*MIN(1,'01_Вводные'!$B$22)+IF(OR(56&lt;=('01_Вводные'!$B$15+'01_Вводные'!$B$311),56-('01_Вводные'!$B$15+'01_Вводные'!$B$311)&gt;60),0,INDEX('19_Расчет_аналитики'!$B$1350:$BI$1350,1,56-('01_Вводные'!$B$15+'01_Вводные'!$B$311)))*'01_Вводные'!$B$298*MAX(0,'01_Вводные'!$B$22-1)</f>
        <v/>
      </c>
      <c r="BF1375">
        <f>IF(OR(57&lt;='01_Вводные'!$B$15,57-'01_Вводные'!$B$15&gt;60),0,INDEX('19_Расчет_аналитики'!$B$1350:$BI$1350,1,57-'01_Вводные'!$B$15))*'01_Вводные'!$B$298*MIN(1,'01_Вводные'!$B$22)+IF(OR(57&lt;=('01_Вводные'!$B$15+'01_Вводные'!$B$311),57-('01_Вводные'!$B$15+'01_Вводные'!$B$311)&gt;60),0,INDEX('19_Расчет_аналитики'!$B$1350:$BI$1350,1,57-('01_Вводные'!$B$15+'01_Вводные'!$B$311)))*'01_Вводные'!$B$298*MAX(0,'01_Вводные'!$B$22-1)</f>
        <v/>
      </c>
      <c r="BG1375">
        <f>IF(OR(58&lt;='01_Вводные'!$B$15,58-'01_Вводные'!$B$15&gt;60),0,INDEX('19_Расчет_аналитики'!$B$1350:$BI$1350,1,58-'01_Вводные'!$B$15))*'01_Вводные'!$B$298*MIN(1,'01_Вводные'!$B$22)+IF(OR(58&lt;=('01_Вводные'!$B$15+'01_Вводные'!$B$311),58-('01_Вводные'!$B$15+'01_Вводные'!$B$311)&gt;60),0,INDEX('19_Расчет_аналитики'!$B$1350:$BI$1350,1,58-('01_Вводные'!$B$15+'01_Вводные'!$B$311)))*'01_Вводные'!$B$298*MAX(0,'01_Вводные'!$B$22-1)</f>
        <v/>
      </c>
      <c r="BH1375">
        <f>IF(OR(59&lt;='01_Вводные'!$B$15,59-'01_Вводные'!$B$15&gt;60),0,INDEX('19_Расчет_аналитики'!$B$1350:$BI$1350,1,59-'01_Вводные'!$B$15))*'01_Вводные'!$B$298*MIN(1,'01_Вводные'!$B$22)+IF(OR(59&lt;=('01_Вводные'!$B$15+'01_Вводные'!$B$311),59-('01_Вводные'!$B$15+'01_Вводные'!$B$311)&gt;60),0,INDEX('19_Расчет_аналитики'!$B$1350:$BI$1350,1,59-('01_Вводные'!$B$15+'01_Вводные'!$B$311)))*'01_Вводные'!$B$298*MAX(0,'01_Вводные'!$B$22-1)</f>
        <v/>
      </c>
      <c r="BI1375">
        <f>IF(OR(60&lt;='01_Вводные'!$B$15,60-'01_Вводные'!$B$15&gt;60),0,INDEX('19_Расчет_аналитики'!$B$1350:$BI$1350,1,60-'01_Вводные'!$B$15))*'01_Вводные'!$B$298*MIN(1,'01_Вводные'!$B$22)+IF(OR(60&lt;=('01_Вводные'!$B$15+'01_Вводные'!$B$311),60-('01_Вводные'!$B$15+'01_Вводные'!$B$311)&gt;60),0,INDEX('19_Расчет_аналитики'!$B$1350:$BI$1350,1,60-('01_Вводные'!$B$15+'01_Вводные'!$B$311)))*'01_Вводные'!$B$298*MAX(0,'01_Вводные'!$B$22-1)</f>
        <v/>
      </c>
      <c r="BJ1375">
        <f>IF(OR(61&lt;='01_Вводные'!$B$15,61-'01_Вводные'!$B$15&gt;60),0,INDEX('19_Расчет_аналитики'!$B$1350:$BI$1350,1,61-'01_Вводные'!$B$15))*'01_Вводные'!$B$298*MIN(1,'01_Вводные'!$B$22)+IF(OR(61&lt;=('01_Вводные'!$B$15+'01_Вводные'!$B$311),61-('01_Вводные'!$B$15+'01_Вводные'!$B$311)&gt;60),0,INDEX('19_Расчет_аналитики'!$B$1350:$BI$1350,1,61-('01_Вводные'!$B$15+'01_Вводные'!$B$311)))*'01_Вводные'!$B$298*MAX(0,'01_Вводные'!$B$22-1)</f>
        <v/>
      </c>
      <c r="BK1375">
        <f>IF(OR(62&lt;='01_Вводные'!$B$15,62-'01_Вводные'!$B$15&gt;60),0,INDEX('19_Расчет_аналитики'!$B$1350:$BI$1350,1,62-'01_Вводные'!$B$15))*'01_Вводные'!$B$298*MIN(1,'01_Вводные'!$B$22)+IF(OR(62&lt;=('01_Вводные'!$B$15+'01_Вводные'!$B$311),62-('01_Вводные'!$B$15+'01_Вводные'!$B$311)&gt;60),0,INDEX('19_Расчет_аналитики'!$B$1350:$BI$1350,1,62-('01_Вводные'!$B$15+'01_Вводные'!$B$311)))*'01_Вводные'!$B$298*MAX(0,'01_Вводные'!$B$22-1)</f>
        <v/>
      </c>
      <c r="BL1375">
        <f>IF(OR(63&lt;='01_Вводные'!$B$15,63-'01_Вводные'!$B$15&gt;60),0,INDEX('19_Расчет_аналитики'!$B$1350:$BI$1350,1,63-'01_Вводные'!$B$15))*'01_Вводные'!$B$298*MIN(1,'01_Вводные'!$B$22)+IF(OR(63&lt;=('01_Вводные'!$B$15+'01_Вводные'!$B$311),63-('01_Вводные'!$B$15+'01_Вводные'!$B$311)&gt;60),0,INDEX('19_Расчет_аналитики'!$B$1350:$BI$1350,1,63-('01_Вводные'!$B$15+'01_Вводные'!$B$311)))*'01_Вводные'!$B$298*MAX(0,'01_Вводные'!$B$22-1)</f>
        <v/>
      </c>
      <c r="BM1375">
        <f>IF(OR(64&lt;='01_Вводные'!$B$15,64-'01_Вводные'!$B$15&gt;60),0,INDEX('19_Расчет_аналитики'!$B$1350:$BI$1350,1,64-'01_Вводные'!$B$15))*'01_Вводные'!$B$298*MIN(1,'01_Вводные'!$B$22)+IF(OR(64&lt;=('01_Вводные'!$B$15+'01_Вводные'!$B$311),64-('01_Вводные'!$B$15+'01_Вводные'!$B$311)&gt;60),0,INDEX('19_Расчет_аналитики'!$B$1350:$BI$1350,1,64-('01_Вводные'!$B$15+'01_Вводные'!$B$311)))*'01_Вводные'!$B$298*MAX(0,'01_Вводные'!$B$22-1)</f>
        <v/>
      </c>
      <c r="BN1375">
        <f>IF(OR(65&lt;='01_Вводные'!$B$15,65-'01_Вводные'!$B$15&gt;60),0,INDEX('19_Расчет_аналитики'!$B$1350:$BI$1350,1,65-'01_Вводные'!$B$15))*'01_Вводные'!$B$298*MIN(1,'01_Вводные'!$B$22)+IF(OR(65&lt;=('01_Вводные'!$B$15+'01_Вводные'!$B$311),65-('01_Вводные'!$B$15+'01_Вводные'!$B$311)&gt;60),0,INDEX('19_Расчет_аналитики'!$B$1350:$BI$1350,1,65-('01_Вводные'!$B$15+'01_Вводные'!$B$311)))*'01_Вводные'!$B$298*MAX(0,'01_Вводные'!$B$22-1)</f>
        <v/>
      </c>
      <c r="BO1375">
        <f>IF(OR(66&lt;='01_Вводные'!$B$15,66-'01_Вводные'!$B$15&gt;60),0,INDEX('19_Расчет_аналитики'!$B$1350:$BI$1350,1,66-'01_Вводные'!$B$15))*'01_Вводные'!$B$298*MIN(1,'01_Вводные'!$B$22)+IF(OR(66&lt;=('01_Вводные'!$B$15+'01_Вводные'!$B$311),66-('01_Вводные'!$B$15+'01_Вводные'!$B$311)&gt;60),0,INDEX('19_Расчет_аналитики'!$B$1350:$BI$1350,1,66-('01_Вводные'!$B$15+'01_Вводные'!$B$311)))*'01_Вводные'!$B$298*MAX(0,'01_Вводные'!$B$22-1)</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SUMPRODUCT(('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2)</f>
        <v/>
      </c>
      <c r="C1395">
        <f>SUMPRODUCT(('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2)</f>
        <v/>
      </c>
      <c r="D1395">
        <f>SUMPRODUCT(('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2)</f>
        <v/>
      </c>
      <c r="E1395">
        <f>SUMPRODUCT(('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2)</f>
        <v/>
      </c>
      <c r="F1395">
        <f>SUMPRODUCT(('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2)</f>
        <v/>
      </c>
      <c r="G1395">
        <f>SUMPRODUCT(('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2)</f>
        <v/>
      </c>
      <c r="H1395">
        <f>SUMPRODUCT(('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2)</f>
        <v/>
      </c>
      <c r="I1395">
        <f>SUMPRODUCT(('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2)</f>
        <v/>
      </c>
      <c r="J1395">
        <f>SUMPRODUCT(('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2)</f>
        <v/>
      </c>
      <c r="K1395">
        <f>SUMPRODUCT(('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2)</f>
        <v/>
      </c>
      <c r="L1395">
        <f>SUMPRODUCT(('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2)</f>
        <v/>
      </c>
      <c r="M1395">
        <f>SUMPRODUCT(('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2)</f>
        <v/>
      </c>
      <c r="N1395">
        <f>SUMPRODUCT(('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2)</f>
        <v/>
      </c>
      <c r="O1395">
        <f>SUMPRODUCT(('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2)</f>
        <v/>
      </c>
      <c r="P1395">
        <f>SUMPRODUCT(('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2)</f>
        <v/>
      </c>
      <c r="Q1395">
        <f>SUMPRODUCT(('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2)</f>
        <v/>
      </c>
      <c r="R1395">
        <f>SUMPRODUCT(('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2)</f>
        <v/>
      </c>
      <c r="S1395">
        <f>SUMPRODUCT(('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2)</f>
        <v/>
      </c>
      <c r="T1395">
        <f>SUMPRODUCT(('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2)</f>
        <v/>
      </c>
      <c r="U1395">
        <f>SUMPRODUCT(('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2)</f>
        <v/>
      </c>
      <c r="V1395">
        <f>SUMPRODUCT(('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2)</f>
        <v/>
      </c>
      <c r="W1395">
        <f>SUMPRODUCT(('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2)</f>
        <v/>
      </c>
      <c r="X1395">
        <f>SUMPRODUCT(('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2)</f>
        <v/>
      </c>
      <c r="Y1395">
        <f>SUMPRODUCT(('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2)</f>
        <v/>
      </c>
      <c r="Z1395">
        <f>SUMPRODUCT(('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2)</f>
        <v/>
      </c>
      <c r="AA1395">
        <f>SUMPRODUCT(('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2)</f>
        <v/>
      </c>
      <c r="AB1395">
        <f>SUMPRODUCT(('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2)</f>
        <v/>
      </c>
      <c r="AC1395">
        <f>SUMPRODUCT(('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2)</f>
        <v/>
      </c>
      <c r="AD1395">
        <f>SUMPRODUCT(('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2)</f>
        <v/>
      </c>
      <c r="AE1395">
        <f>SUMPRODUCT(('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2)</f>
        <v/>
      </c>
      <c r="AF1395">
        <f>SUMPRODUCT(('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2)</f>
        <v/>
      </c>
      <c r="AG1395">
        <f>SUMPRODUCT(('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2)</f>
        <v/>
      </c>
      <c r="AH1395">
        <f>SUMPRODUCT(('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2)</f>
        <v/>
      </c>
      <c r="AI1395">
        <f>SUMPRODUCT(('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2)</f>
        <v/>
      </c>
      <c r="AJ1395">
        <f>SUMPRODUCT(('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2)</f>
        <v/>
      </c>
      <c r="AK1395">
        <f>SUMPRODUCT(('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2)</f>
        <v/>
      </c>
      <c r="AL1395">
        <f>SUMPRODUCT(('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2)</f>
        <v/>
      </c>
      <c r="AM1395">
        <f>SUMPRODUCT(('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2)</f>
        <v/>
      </c>
      <c r="AN1395">
        <f>SUMPRODUCT(('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2)</f>
        <v/>
      </c>
      <c r="AO1395">
        <f>SUMPRODUCT(('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2)</f>
        <v/>
      </c>
      <c r="AP1395">
        <f>SUMPRODUCT(('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2)</f>
        <v/>
      </c>
      <c r="AQ1395">
        <f>SUMPRODUCT(('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2)</f>
        <v/>
      </c>
      <c r="AR1395">
        <f>SUMPRODUCT(('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2)</f>
        <v/>
      </c>
      <c r="AS1395">
        <f>SUMPRODUCT(('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2)</f>
        <v/>
      </c>
      <c r="AT1395">
        <f>SUMPRODUCT(('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2)</f>
        <v/>
      </c>
      <c r="AU1395">
        <f>SUMPRODUCT(('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2)</f>
        <v/>
      </c>
      <c r="AV1395">
        <f>SUMPRODUCT(('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2)</f>
        <v/>
      </c>
      <c r="AW1395">
        <f>SUMPRODUCT(('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2)</f>
        <v/>
      </c>
      <c r="AX1395">
        <f>SUMPRODUCT(('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2)</f>
        <v/>
      </c>
      <c r="AY1395">
        <f>SUMPRODUCT(('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2)</f>
        <v/>
      </c>
      <c r="AZ1395">
        <f>SUMPRODUCT(('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2)</f>
        <v/>
      </c>
      <c r="BA1395">
        <f>SUMPRODUCT(('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2)</f>
        <v/>
      </c>
      <c r="BB1395">
        <f>SUMPRODUCT(('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2)</f>
        <v/>
      </c>
      <c r="BC1395">
        <f>SUMPRODUCT(('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2)</f>
        <v/>
      </c>
      <c r="BD1395">
        <f>SUMPRODUCT(('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2)</f>
        <v/>
      </c>
      <c r="BE1395">
        <f>SUMPRODUCT(('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2)</f>
        <v/>
      </c>
      <c r="BF1395">
        <f>SUMPRODUCT(('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2)</f>
        <v/>
      </c>
      <c r="BG1395">
        <f>SUMPRODUCT(('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2)</f>
        <v/>
      </c>
      <c r="BH1395">
        <f>SUMPRODUCT(('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2)</f>
        <v/>
      </c>
      <c r="BI1395">
        <f>SUMPRODUCT(('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2)</f>
        <v/>
      </c>
      <c r="BJ1395">
        <f>SUMPRODUCT(('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2)</f>
        <v/>
      </c>
      <c r="BK1395">
        <f>SUMPRODUCT(('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2)</f>
        <v/>
      </c>
      <c r="BL1395">
        <f>SUMPRODUCT(('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2)</f>
        <v/>
      </c>
      <c r="BM1395">
        <f>SUMPRODUCT(('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2)</f>
        <v/>
      </c>
      <c r="BN1395">
        <f>SUMPRODUCT(('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2)</f>
        <v/>
      </c>
      <c r="BO1395">
        <f>SUMPRODUCT(('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f>
        <v/>
      </c>
      <c r="C2362">
        <f>'19_Расчет_аналитики'!$B$2072*INDEX('01_Вводные'!$C$36:$N$36,1,MOD(MONTH('06_Сеть_и_дети'!C$3)-9,12)+1)/(SUM('01_Вводные'!$C$36:$N$36)-INDEX('01_Вводные'!$C$36:$N$36,1,MOD(MONTH('01_Вводные'!$B$7)-9,12)+1))</f>
        <v/>
      </c>
      <c r="D2362">
        <f>'19_Расчет_аналитики'!$B$2072*INDEX('01_Вводные'!$C$36:$N$36,1,MOD(MONTH('06_Сеть_и_дети'!D$3)-9,12)+1)/(SUM('01_Вводные'!$C$36:$N$36)-INDEX('01_Вводные'!$C$36:$N$36,1,MOD(MONTH('01_Вводные'!$B$7)-9,12)+1))</f>
        <v/>
      </c>
      <c r="E2362">
        <f>'19_Расчет_аналитики'!$B$2072*INDEX('01_Вводные'!$C$36:$N$36,1,MOD(MONTH('06_Сеть_и_дети'!E$3)-9,12)+1)/(SUM('01_Вводные'!$C$36:$N$36)-INDEX('01_Вводные'!$C$36:$N$36,1,MOD(MONTH('01_Вводные'!$B$7)-9,12)+1))</f>
        <v/>
      </c>
      <c r="F2362">
        <f>'19_Расчет_аналитики'!$B$2072*INDEX('01_Вводные'!$C$36:$N$36,1,MOD(MONTH('06_Сеть_и_дети'!F$3)-9,12)+1)/(SUM('01_Вводные'!$C$36:$N$36)-INDEX('01_Вводные'!$C$36:$N$36,1,MOD(MONTH('01_Вводные'!$B$7)-9,12)+1))</f>
        <v/>
      </c>
      <c r="G2362">
        <f>'19_Расчет_аналитики'!$B$2072*INDEX('01_Вводные'!$C$36:$N$36,1,MOD(MONTH('06_Сеть_и_дети'!G$3)-9,12)+1)/(SUM('01_Вводные'!$C$36:$N$36)-INDEX('01_Вводные'!$C$36:$N$36,1,MOD(MONTH('01_Вводные'!$B$7)-9,12)+1))</f>
        <v/>
      </c>
      <c r="H2362">
        <f>'19_Расчет_аналитики'!$B$2072*INDEX('01_Вводные'!$C$36:$N$36,1,MOD(MONTH('06_Сеть_и_дети'!H$3)-9,12)+1)/(SUM('01_Вводные'!$C$36:$N$36)-INDEX('01_Вводные'!$C$36:$N$36,1,MOD(MONTH('01_Вводные'!$B$7)-9,12)+1))</f>
        <v/>
      </c>
      <c r="I2362">
        <f>'19_Расчет_аналитики'!$B$2072*INDEX('01_Вводные'!$C$36:$N$36,1,MOD(MONTH('06_Сеть_и_дети'!I$3)-9,12)+1)/(SUM('01_Вводные'!$C$36:$N$36)-INDEX('01_Вводные'!$C$36:$N$36,1,MOD(MONTH('01_Вводные'!$B$7)-9,12)+1))</f>
        <v/>
      </c>
      <c r="J2362">
        <f>'19_Расчет_аналитики'!$B$2072*INDEX('01_Вводные'!$C$36:$N$36,1,MOD(MONTH('06_Сеть_и_дети'!J$3)-9,12)+1)/(SUM('01_Вводные'!$C$36:$N$36)-INDEX('01_Вводные'!$C$36:$N$36,1,MOD(MONTH('01_Вводные'!$B$7)-9,12)+1))</f>
        <v/>
      </c>
      <c r="K2362">
        <f>'19_Расчет_аналитики'!$B$2072*INDEX('01_Вводные'!$C$36:$N$36,1,MOD(MONTH('06_Сеть_и_дети'!K$3)-9,12)+1)/(SUM('01_Вводные'!$C$36:$N$36)-INDEX('01_Вводные'!$C$36:$N$36,1,MOD(MONTH('01_Вводные'!$B$7)-9,12)+1))</f>
        <v/>
      </c>
      <c r="L2362">
        <f>'19_Расчет_аналитики'!$B$2072*INDEX('01_Вводные'!$C$36:$N$36,1,MOD(MONTH('06_Сеть_и_дети'!L$3)-9,12)+1)/(SUM('01_Вводные'!$C$36:$N$36)-INDEX('01_Вводные'!$C$36:$N$36,1,MOD(MONTH('01_Вводные'!$B$7)-9,12)+1))</f>
        <v/>
      </c>
      <c r="M2362">
        <f>'19_Расчет_аналитики'!$B$2072*INDEX('01_Вводные'!$C$36:$N$36,1,MOD(MONTH('06_Сеть_и_дети'!M$3)-9,12)+1)/(SUM('01_Вводные'!$C$36:$N$36)-INDEX('01_Вводные'!$C$36:$N$36,1,MOD(MONTH('01_Вводные'!$B$7)-9,12)+1))</f>
        <v/>
      </c>
      <c r="N2362">
        <f>'19_Расчет_аналитики'!$B$2073*INDEX('01_Вводные'!$C$37:$N$37,1,MOD(MONTH('06_Сеть_и_дети'!N$3)-9,12)+1)/SUM('01_Вводные'!$C$37:$N$37)</f>
        <v/>
      </c>
      <c r="O2362">
        <f>'19_Расчет_аналитики'!$B$2073*INDEX('01_Вводные'!$C$37:$N$37,1,MOD(MONTH('06_Сеть_и_дети'!O$3)-9,12)+1)/SUM('01_Вводные'!$C$37:$N$37)</f>
        <v/>
      </c>
      <c r="P2362">
        <f>'19_Расчет_аналитики'!$B$2073*INDEX('01_Вводные'!$C$37:$N$37,1,MOD(MONTH('06_Сеть_и_дети'!P$3)-9,12)+1)/SUM('01_Вводные'!$C$37:$N$37)</f>
        <v/>
      </c>
      <c r="Q2362">
        <f>'19_Расчет_аналитики'!$B$2073*INDEX('01_Вводные'!$C$37:$N$37,1,MOD(MONTH('06_Сеть_и_дети'!Q$3)-9,12)+1)/SUM('01_Вводные'!$C$37:$N$37)</f>
        <v/>
      </c>
      <c r="R2362">
        <f>'19_Расчет_аналитики'!$B$2073*INDEX('01_Вводные'!$C$37:$N$37,1,MOD(MONTH('06_Сеть_и_дети'!R$3)-9,12)+1)/SUM('01_Вводные'!$C$37:$N$37)</f>
        <v/>
      </c>
      <c r="S2362">
        <f>'19_Расчет_аналитики'!$B$2073*INDEX('01_Вводные'!$C$37:$N$37,1,MOD(MONTH('06_Сеть_и_дети'!S$3)-9,12)+1)/SUM('01_Вводные'!$C$37:$N$37)</f>
        <v/>
      </c>
      <c r="T2362">
        <f>'19_Расчет_аналитики'!$B$2073*INDEX('01_Вводные'!$C$37:$N$37,1,MOD(MONTH('06_Сеть_и_дети'!T$3)-9,12)+1)/SUM('01_Вводные'!$C$37:$N$37)</f>
        <v/>
      </c>
      <c r="U2362">
        <f>'19_Расчет_аналитики'!$B$2073*INDEX('01_Вводные'!$C$37:$N$37,1,MOD(MONTH('06_Сеть_и_дети'!U$3)-9,12)+1)/SUM('01_Вводные'!$C$37:$N$37)</f>
        <v/>
      </c>
      <c r="V2362">
        <f>'19_Расчет_аналитики'!$B$2073*INDEX('01_Вводные'!$C$37:$N$37,1,MOD(MONTH('06_Сеть_и_дети'!V$3)-9,12)+1)/SUM('01_Вводные'!$C$37:$N$37)</f>
        <v/>
      </c>
      <c r="W2362">
        <f>'19_Расчет_аналитики'!$B$2073*INDEX('01_Вводные'!$C$37:$N$37,1,MOD(MONTH('06_Сеть_и_дети'!W$3)-9,12)+1)/SUM('01_Вводные'!$C$37:$N$37)</f>
        <v/>
      </c>
      <c r="X2362">
        <f>'19_Расчет_аналитики'!$B$2073*INDEX('01_Вводные'!$C$37:$N$37,1,MOD(MONTH('06_Сеть_и_дети'!X$3)-9,12)+1)/SUM('01_Вводные'!$C$37:$N$37)</f>
        <v/>
      </c>
      <c r="Y2362">
        <f>'19_Расчет_аналитики'!$B$2073*INDEX('01_Вводные'!$C$37:$N$37,1,MOD(MONTH('06_Сеть_и_дети'!Y$3)-9,12)+1)/SUM('01_Вводные'!$C$37:$N$37)</f>
        <v/>
      </c>
      <c r="Z2362">
        <f>'19_Расчет_аналитики'!$B$2074*INDEX('01_Вводные'!$C$38:$N$38,1,MOD(MONTH('06_Сеть_и_дети'!Z$3)-9,12)+1)/SUM('01_Вводные'!$C$38:$N$38)</f>
        <v/>
      </c>
      <c r="AA2362">
        <f>'19_Расчет_аналитики'!$B$2074*INDEX('01_Вводные'!$C$38:$N$38,1,MOD(MONTH('06_Сеть_и_дети'!AA$3)-9,12)+1)/SUM('01_Вводные'!$C$38:$N$38)</f>
        <v/>
      </c>
      <c r="AB2362">
        <f>'19_Расчет_аналитики'!$B$2074*INDEX('01_Вводные'!$C$38:$N$38,1,MOD(MONTH('06_Сеть_и_дети'!AB$3)-9,12)+1)/SUM('01_Вводные'!$C$38:$N$38)</f>
        <v/>
      </c>
      <c r="AC2362">
        <f>'19_Расчет_аналитики'!$B$2074*INDEX('01_Вводные'!$C$38:$N$38,1,MOD(MONTH('06_Сеть_и_дети'!AC$3)-9,12)+1)/SUM('01_Вводные'!$C$38:$N$38)</f>
        <v/>
      </c>
      <c r="AD2362">
        <f>'19_Расчет_аналитики'!$B$2074*INDEX('01_Вводные'!$C$38:$N$38,1,MOD(MONTH('06_Сеть_и_дети'!AD$3)-9,12)+1)/SUM('01_Вводные'!$C$38:$N$38)</f>
        <v/>
      </c>
      <c r="AE2362">
        <f>'19_Расчет_аналитики'!$B$2074*INDEX('01_Вводные'!$C$38:$N$38,1,MOD(MONTH('06_Сеть_и_дети'!AE$3)-9,12)+1)/SUM('01_Вводные'!$C$38:$N$38)</f>
        <v/>
      </c>
      <c r="AF2362">
        <f>'19_Расчет_аналитики'!$B$2074*INDEX('01_Вводные'!$C$38:$N$38,1,MOD(MONTH('06_Сеть_и_дети'!AF$3)-9,12)+1)/SUM('01_Вводные'!$C$38:$N$38)</f>
        <v/>
      </c>
      <c r="AG2362">
        <f>'19_Расчет_аналитики'!$B$2074*INDEX('01_Вводные'!$C$38:$N$38,1,MOD(MONTH('06_Сеть_и_дети'!AG$3)-9,12)+1)/SUM('01_Вводные'!$C$38:$N$38)</f>
        <v/>
      </c>
      <c r="AH2362">
        <f>'19_Расчет_аналитики'!$B$2074*INDEX('01_Вводные'!$C$38:$N$38,1,MOD(MONTH('06_Сеть_и_дети'!AH$3)-9,12)+1)/SUM('01_Вводные'!$C$38:$N$38)</f>
        <v/>
      </c>
      <c r="AI2362">
        <f>'19_Расчет_аналитики'!$B$2074*INDEX('01_Вводные'!$C$38:$N$38,1,MOD(MONTH('06_Сеть_и_дети'!AI$3)-9,12)+1)/SUM('01_Вводные'!$C$38:$N$38)</f>
        <v/>
      </c>
      <c r="AJ2362">
        <f>'19_Расчет_аналитики'!$B$2074*INDEX('01_Вводные'!$C$38:$N$38,1,MOD(MONTH('06_Сеть_и_дети'!AJ$3)-9,12)+1)/SUM('01_Вводные'!$C$38:$N$38)</f>
        <v/>
      </c>
      <c r="AK2362">
        <f>'19_Расчет_аналитики'!$B$2074*INDEX('01_Вводные'!$C$38:$N$38,1,MOD(MONTH('06_Сеть_и_дети'!AK$3)-9,12)+1)/SUM('01_Вводные'!$C$38:$N$38)</f>
        <v/>
      </c>
      <c r="AL2362">
        <f>'19_Расчет_аналитики'!$B$2075*INDEX('01_Вводные'!$C$39:$N$39,1,MOD(MONTH('06_Сеть_и_дети'!AL$3)-9,12)+1)/SUM('01_Вводные'!$C$39:$N$39)</f>
        <v/>
      </c>
      <c r="AM2362">
        <f>'19_Расчет_аналитики'!$B$2075*INDEX('01_Вводные'!$C$39:$N$39,1,MOD(MONTH('06_Сеть_и_дети'!AM$3)-9,12)+1)/SUM('01_Вводные'!$C$39:$N$39)</f>
        <v/>
      </c>
      <c r="AN2362">
        <f>'19_Расчет_аналитики'!$B$2075*INDEX('01_Вводные'!$C$39:$N$39,1,MOD(MONTH('06_Сеть_и_дети'!AN$3)-9,12)+1)/SUM('01_Вводные'!$C$39:$N$39)</f>
        <v/>
      </c>
      <c r="AO2362">
        <f>'19_Расчет_аналитики'!$B$2075*INDEX('01_Вводные'!$C$39:$N$39,1,MOD(MONTH('06_Сеть_и_дети'!AO$3)-9,12)+1)/SUM('01_Вводные'!$C$39:$N$39)</f>
        <v/>
      </c>
      <c r="AP2362">
        <f>'19_Расчет_аналитики'!$B$2075*INDEX('01_Вводные'!$C$39:$N$39,1,MOD(MONTH('06_Сеть_и_дети'!AP$3)-9,12)+1)/SUM('01_Вводные'!$C$39:$N$39)</f>
        <v/>
      </c>
      <c r="AQ2362">
        <f>'19_Расчет_аналитики'!$B$2075*INDEX('01_Вводные'!$C$39:$N$39,1,MOD(MONTH('06_Сеть_и_дети'!AQ$3)-9,12)+1)/SUM('01_Вводные'!$C$39:$N$39)</f>
        <v/>
      </c>
      <c r="AR2362">
        <f>'19_Расчет_аналитики'!$B$2075*INDEX('01_Вводные'!$C$39:$N$39,1,MOD(MONTH('06_Сеть_и_дети'!AR$3)-9,12)+1)/SUM('01_Вводные'!$C$39:$N$39)</f>
        <v/>
      </c>
      <c r="AS2362">
        <f>'19_Расчет_аналитики'!$B$2075*INDEX('01_Вводные'!$C$39:$N$39,1,MOD(MONTH('06_Сеть_и_дети'!AS$3)-9,12)+1)/SUM('01_Вводные'!$C$39:$N$39)</f>
        <v/>
      </c>
      <c r="AT2362">
        <f>'19_Расчет_аналитики'!$B$2075*INDEX('01_Вводные'!$C$39:$N$39,1,MOD(MONTH('06_Сеть_и_дети'!AT$3)-9,12)+1)/SUM('01_Вводные'!$C$39:$N$39)</f>
        <v/>
      </c>
      <c r="AU2362">
        <f>'19_Расчет_аналитики'!$B$2075*INDEX('01_Вводные'!$C$39:$N$39,1,MOD(MONTH('06_Сеть_и_дети'!AU$3)-9,12)+1)/SUM('01_Вводные'!$C$39:$N$39)</f>
        <v/>
      </c>
      <c r="AV2362">
        <f>'19_Расчет_аналитики'!$B$2075*INDEX('01_Вводные'!$C$39:$N$39,1,MOD(MONTH('06_Сеть_и_дети'!AV$3)-9,12)+1)/SUM('01_Вводные'!$C$39:$N$39)</f>
        <v/>
      </c>
      <c r="AW2362">
        <f>'19_Расчет_аналитики'!$B$2075*INDEX('01_Вводные'!$C$39:$N$39,1,MOD(MONTH('06_Сеть_и_дети'!AW$3)-9,12)+1)/SUM('01_Вводные'!$C$39:$N$39)</f>
        <v/>
      </c>
      <c r="AX2362">
        <f>'19_Расчет_аналитики'!$B$2076*INDEX('01_Вводные'!$C$40:$N$40,1,MOD(MONTH('06_Сеть_и_дети'!AX$3)-9,12)+1)/SUM('01_Вводные'!$C$40:$N$40)</f>
        <v/>
      </c>
      <c r="AY2362">
        <f>'19_Расчет_аналитики'!$B$2076*INDEX('01_Вводные'!$C$40:$N$40,1,MOD(MONTH('06_Сеть_и_дети'!AY$3)-9,12)+1)/SUM('01_Вводные'!$C$40:$N$40)</f>
        <v/>
      </c>
      <c r="AZ2362">
        <f>'19_Расчет_аналитики'!$B$2076*INDEX('01_Вводные'!$C$40:$N$40,1,MOD(MONTH('06_Сеть_и_дети'!AZ$3)-9,12)+1)/SUM('01_Вводные'!$C$40:$N$40)</f>
        <v/>
      </c>
      <c r="BA2362">
        <f>'19_Расчет_аналитики'!$B$2076*INDEX('01_Вводные'!$C$40:$N$40,1,MOD(MONTH('06_Сеть_и_дети'!BA$3)-9,12)+1)/SUM('01_Вводные'!$C$40:$N$40)</f>
        <v/>
      </c>
      <c r="BB2362">
        <f>'19_Расчет_аналитики'!$B$2076*INDEX('01_Вводные'!$C$40:$N$40,1,MOD(MONTH('06_Сеть_и_дети'!BB$3)-9,12)+1)/SUM('01_Вводные'!$C$40:$N$40)</f>
        <v/>
      </c>
      <c r="BC2362">
        <f>'19_Расчет_аналитики'!$B$2076*INDEX('01_Вводные'!$C$40:$N$40,1,MOD(MONTH('06_Сеть_и_дети'!BC$3)-9,12)+1)/SUM('01_Вводные'!$C$40:$N$40)</f>
        <v/>
      </c>
      <c r="BD2362">
        <f>'19_Расчет_аналитики'!$B$2076*INDEX('01_Вводные'!$C$40:$N$40,1,MOD(MONTH('06_Сеть_и_дети'!BD$3)-9,12)+1)/SUM('01_Вводные'!$C$40:$N$40)</f>
        <v/>
      </c>
      <c r="BE2362">
        <f>'19_Расчет_аналитики'!$B$2076*INDEX('01_Вводные'!$C$40:$N$40,1,MOD(MONTH('06_Сеть_и_дети'!BE$3)-9,12)+1)/SUM('01_Вводные'!$C$40:$N$40)</f>
        <v/>
      </c>
      <c r="BF2362">
        <f>'19_Расчет_аналитики'!$B$2076*INDEX('01_Вводные'!$C$40:$N$40,1,MOD(MONTH('06_Сеть_и_дети'!BF$3)-9,12)+1)/SUM('01_Вводные'!$C$40:$N$40)</f>
        <v/>
      </c>
      <c r="BG2362">
        <f>'19_Расчет_аналитики'!$B$2076*INDEX('01_Вводные'!$C$40:$N$40,1,MOD(MONTH('06_Сеть_и_дети'!BG$3)-9,12)+1)/SUM('01_Вводные'!$C$40:$N$40)</f>
        <v/>
      </c>
      <c r="BH2362">
        <f>'19_Расчет_аналитики'!$B$2076*INDEX('01_Вводные'!$C$40:$N$40,1,MOD(MONTH('06_Сеть_и_дети'!BH$3)-9,12)+1)/SUM('01_Вводные'!$C$40:$N$40)</f>
        <v/>
      </c>
      <c r="BI2362">
        <f>'19_Расчет_аналитики'!$B$2076*INDEX('01_Вводные'!$C$40:$N$40,1,MOD(MONTH('06_Сеть_и_дети'!BI$3)-9,12)+1)/SUM('01_Вводные'!$C$40:$N$40)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MIN(1,'01_Вводные'!$B$22)+IF(OR(1&lt;=('01_Вводные'!$B$15+'01_Вводные'!$B$311),1-('01_Вводные'!$B$15+'01_Вводные'!$B$311)&gt;60),0,INDEX('19_Расчет_аналитики'!$B$2362:$BI$2362,1,1-('01_Вводные'!$B$15+'01_Вводные'!$B$311)))*'01_Вводные'!$B$298*MAX(0,'01_Вводные'!$B$22-1)</f>
        <v/>
      </c>
      <c r="C2387">
        <f>IF(OR(2&lt;='01_Вводные'!$B$15,2-'01_Вводные'!$B$15&gt;60),0,INDEX('19_Расчет_аналитики'!$B$2362:$BI$2362,1,2-'01_Вводные'!$B$15))*'01_Вводные'!$B$298*MIN(1,'01_Вводные'!$B$22)+IF(OR(2&lt;=('01_Вводные'!$B$15+'01_Вводные'!$B$311),2-('01_Вводные'!$B$15+'01_Вводные'!$B$311)&gt;60),0,INDEX('19_Расчет_аналитики'!$B$2362:$BI$2362,1,2-('01_Вводные'!$B$15+'01_Вводные'!$B$311)))*'01_Вводные'!$B$298*MAX(0,'01_Вводные'!$B$22-1)</f>
        <v/>
      </c>
      <c r="D2387">
        <f>IF(OR(3&lt;='01_Вводные'!$B$15,3-'01_Вводные'!$B$15&gt;60),0,INDEX('19_Расчет_аналитики'!$B$2362:$BI$2362,1,3-'01_Вводные'!$B$15))*'01_Вводные'!$B$298*MIN(1,'01_Вводные'!$B$22)+IF(OR(3&lt;=('01_Вводные'!$B$15+'01_Вводные'!$B$311),3-('01_Вводные'!$B$15+'01_Вводные'!$B$311)&gt;60),0,INDEX('19_Расчет_аналитики'!$B$2362:$BI$2362,1,3-('01_Вводные'!$B$15+'01_Вводные'!$B$311)))*'01_Вводные'!$B$298*MAX(0,'01_Вводные'!$B$22-1)</f>
        <v/>
      </c>
      <c r="E2387">
        <f>IF(OR(4&lt;='01_Вводные'!$B$15,4-'01_Вводные'!$B$15&gt;60),0,INDEX('19_Расчет_аналитики'!$B$2362:$BI$2362,1,4-'01_Вводные'!$B$15))*'01_Вводные'!$B$298*MIN(1,'01_Вводные'!$B$22)+IF(OR(4&lt;=('01_Вводные'!$B$15+'01_Вводные'!$B$311),4-('01_Вводные'!$B$15+'01_Вводные'!$B$311)&gt;60),0,INDEX('19_Расчет_аналитики'!$B$2362:$BI$2362,1,4-('01_Вводные'!$B$15+'01_Вводные'!$B$311)))*'01_Вводные'!$B$298*MAX(0,'01_Вводные'!$B$22-1)</f>
        <v/>
      </c>
      <c r="F2387">
        <f>IF(OR(5&lt;='01_Вводные'!$B$15,5-'01_Вводные'!$B$15&gt;60),0,INDEX('19_Расчет_аналитики'!$B$2362:$BI$2362,1,5-'01_Вводные'!$B$15))*'01_Вводные'!$B$298*MIN(1,'01_Вводные'!$B$22)+IF(OR(5&lt;=('01_Вводные'!$B$15+'01_Вводные'!$B$311),5-('01_Вводные'!$B$15+'01_Вводные'!$B$311)&gt;60),0,INDEX('19_Расчет_аналитики'!$B$2362:$BI$2362,1,5-('01_Вводные'!$B$15+'01_Вводные'!$B$311)))*'01_Вводные'!$B$298*MAX(0,'01_Вводные'!$B$22-1)</f>
        <v/>
      </c>
      <c r="G2387">
        <f>IF(OR(6&lt;='01_Вводные'!$B$15,6-'01_Вводные'!$B$15&gt;60),0,INDEX('19_Расчет_аналитики'!$B$2362:$BI$2362,1,6-'01_Вводные'!$B$15))*'01_Вводные'!$B$298*MIN(1,'01_Вводные'!$B$22)+IF(OR(6&lt;=('01_Вводные'!$B$15+'01_Вводные'!$B$311),6-('01_Вводные'!$B$15+'01_Вводные'!$B$311)&gt;60),0,INDEX('19_Расчет_аналитики'!$B$2362:$BI$2362,1,6-('01_Вводные'!$B$15+'01_Вводные'!$B$311)))*'01_Вводные'!$B$298*MAX(0,'01_Вводные'!$B$22-1)</f>
        <v/>
      </c>
      <c r="H2387">
        <f>IF(OR(7&lt;='01_Вводные'!$B$15,7-'01_Вводные'!$B$15&gt;60),0,INDEX('19_Расчет_аналитики'!$B$2362:$BI$2362,1,7-'01_Вводные'!$B$15))*'01_Вводные'!$B$298*MIN(1,'01_Вводные'!$B$22)+IF(OR(7&lt;=('01_Вводные'!$B$15+'01_Вводные'!$B$311),7-('01_Вводные'!$B$15+'01_Вводные'!$B$311)&gt;60),0,INDEX('19_Расчет_аналитики'!$B$2362:$BI$2362,1,7-('01_Вводные'!$B$15+'01_Вводные'!$B$311)))*'01_Вводные'!$B$298*MAX(0,'01_Вводные'!$B$22-1)</f>
        <v/>
      </c>
      <c r="I2387">
        <f>IF(OR(8&lt;='01_Вводные'!$B$15,8-'01_Вводные'!$B$15&gt;60),0,INDEX('19_Расчет_аналитики'!$B$2362:$BI$2362,1,8-'01_Вводные'!$B$15))*'01_Вводные'!$B$298*MIN(1,'01_Вводные'!$B$22)+IF(OR(8&lt;=('01_Вводные'!$B$15+'01_Вводные'!$B$311),8-('01_Вводные'!$B$15+'01_Вводные'!$B$311)&gt;60),0,INDEX('19_Расчет_аналитики'!$B$2362:$BI$2362,1,8-('01_Вводные'!$B$15+'01_Вводные'!$B$311)))*'01_Вводные'!$B$298*MAX(0,'01_Вводные'!$B$22-1)</f>
        <v/>
      </c>
      <c r="J2387">
        <f>IF(OR(9&lt;='01_Вводные'!$B$15,9-'01_Вводные'!$B$15&gt;60),0,INDEX('19_Расчет_аналитики'!$B$2362:$BI$2362,1,9-'01_Вводные'!$B$15))*'01_Вводные'!$B$298*MIN(1,'01_Вводные'!$B$22)+IF(OR(9&lt;=('01_Вводные'!$B$15+'01_Вводные'!$B$311),9-('01_Вводные'!$B$15+'01_Вводные'!$B$311)&gt;60),0,INDEX('19_Расчет_аналитики'!$B$2362:$BI$2362,1,9-('01_Вводные'!$B$15+'01_Вводные'!$B$311)))*'01_Вводные'!$B$298*MAX(0,'01_Вводные'!$B$22-1)</f>
        <v/>
      </c>
      <c r="K2387">
        <f>IF(OR(10&lt;='01_Вводные'!$B$15,10-'01_Вводные'!$B$15&gt;60),0,INDEX('19_Расчет_аналитики'!$B$2362:$BI$2362,1,10-'01_Вводные'!$B$15))*'01_Вводные'!$B$298*MIN(1,'01_Вводные'!$B$22)+IF(OR(10&lt;=('01_Вводные'!$B$15+'01_Вводные'!$B$311),10-('01_Вводные'!$B$15+'01_Вводные'!$B$311)&gt;60),0,INDEX('19_Расчет_аналитики'!$B$2362:$BI$2362,1,10-('01_Вводные'!$B$15+'01_Вводные'!$B$311)))*'01_Вводные'!$B$298*MAX(0,'01_Вводные'!$B$22-1)</f>
        <v/>
      </c>
      <c r="L2387">
        <f>IF(OR(11&lt;='01_Вводные'!$B$15,11-'01_Вводные'!$B$15&gt;60),0,INDEX('19_Расчет_аналитики'!$B$2362:$BI$2362,1,11-'01_Вводные'!$B$15))*'01_Вводные'!$B$298*MIN(1,'01_Вводные'!$B$22)+IF(OR(11&lt;=('01_Вводные'!$B$15+'01_Вводные'!$B$311),11-('01_Вводные'!$B$15+'01_Вводные'!$B$311)&gt;60),0,INDEX('19_Расчет_аналитики'!$B$2362:$BI$2362,1,11-('01_Вводные'!$B$15+'01_Вводные'!$B$311)))*'01_Вводные'!$B$298*MAX(0,'01_Вводные'!$B$22-1)</f>
        <v/>
      </c>
      <c r="M2387">
        <f>IF(OR(12&lt;='01_Вводные'!$B$15,12-'01_Вводные'!$B$15&gt;60),0,INDEX('19_Расчет_аналитики'!$B$2362:$BI$2362,1,12-'01_Вводные'!$B$15))*'01_Вводные'!$B$298*MIN(1,'01_Вводные'!$B$22)+IF(OR(12&lt;=('01_Вводные'!$B$15+'01_Вводные'!$B$311),12-('01_Вводные'!$B$15+'01_Вводные'!$B$311)&gt;60),0,INDEX('19_Расчет_аналитики'!$B$2362:$BI$2362,1,12-('01_Вводные'!$B$15+'01_Вводные'!$B$311)))*'01_Вводные'!$B$298*MAX(0,'01_Вводные'!$B$22-1)</f>
        <v/>
      </c>
      <c r="N2387">
        <f>IF(OR(13&lt;='01_Вводные'!$B$15,13-'01_Вводные'!$B$15&gt;60),0,INDEX('19_Расчет_аналитики'!$B$2362:$BI$2362,1,13-'01_Вводные'!$B$15))*'01_Вводные'!$B$298*MIN(1,'01_Вводные'!$B$22)+IF(OR(13&lt;=('01_Вводные'!$B$15+'01_Вводные'!$B$311),13-('01_Вводные'!$B$15+'01_Вводные'!$B$311)&gt;60),0,INDEX('19_Расчет_аналитики'!$B$2362:$BI$2362,1,13-('01_Вводные'!$B$15+'01_Вводные'!$B$311)))*'01_Вводные'!$B$298*MAX(0,'01_Вводные'!$B$22-1)</f>
        <v/>
      </c>
      <c r="O2387">
        <f>IF(OR(14&lt;='01_Вводные'!$B$15,14-'01_Вводные'!$B$15&gt;60),0,INDEX('19_Расчет_аналитики'!$B$2362:$BI$2362,1,14-'01_Вводные'!$B$15))*'01_Вводные'!$B$298*MIN(1,'01_Вводные'!$B$22)+IF(OR(14&lt;=('01_Вводные'!$B$15+'01_Вводные'!$B$311),14-('01_Вводные'!$B$15+'01_Вводные'!$B$311)&gt;60),0,INDEX('19_Расчет_аналитики'!$B$2362:$BI$2362,1,14-('01_Вводные'!$B$15+'01_Вводные'!$B$311)))*'01_Вводные'!$B$298*MAX(0,'01_Вводные'!$B$22-1)</f>
        <v/>
      </c>
      <c r="P2387">
        <f>IF(OR(15&lt;='01_Вводные'!$B$15,15-'01_Вводные'!$B$15&gt;60),0,INDEX('19_Расчет_аналитики'!$B$2362:$BI$2362,1,15-'01_Вводные'!$B$15))*'01_Вводные'!$B$298*MIN(1,'01_Вводные'!$B$22)+IF(OR(15&lt;=('01_Вводные'!$B$15+'01_Вводные'!$B$311),15-('01_Вводные'!$B$15+'01_Вводные'!$B$311)&gt;60),0,INDEX('19_Расчет_аналитики'!$B$2362:$BI$2362,1,15-('01_Вводные'!$B$15+'01_Вводные'!$B$311)))*'01_Вводные'!$B$298*MAX(0,'01_Вводные'!$B$22-1)</f>
        <v/>
      </c>
      <c r="Q2387">
        <f>IF(OR(16&lt;='01_Вводные'!$B$15,16-'01_Вводные'!$B$15&gt;60),0,INDEX('19_Расчет_аналитики'!$B$2362:$BI$2362,1,16-'01_Вводные'!$B$15))*'01_Вводные'!$B$298*MIN(1,'01_Вводные'!$B$22)+IF(OR(16&lt;=('01_Вводные'!$B$15+'01_Вводные'!$B$311),16-('01_Вводные'!$B$15+'01_Вводные'!$B$311)&gt;60),0,INDEX('19_Расчет_аналитики'!$B$2362:$BI$2362,1,16-('01_Вводные'!$B$15+'01_Вводные'!$B$311)))*'01_Вводные'!$B$298*MAX(0,'01_Вводные'!$B$22-1)</f>
        <v/>
      </c>
      <c r="R2387">
        <f>IF(OR(17&lt;='01_Вводные'!$B$15,17-'01_Вводные'!$B$15&gt;60),0,INDEX('19_Расчет_аналитики'!$B$2362:$BI$2362,1,17-'01_Вводные'!$B$15))*'01_Вводные'!$B$298*MIN(1,'01_Вводные'!$B$22)+IF(OR(17&lt;=('01_Вводные'!$B$15+'01_Вводные'!$B$311),17-('01_Вводные'!$B$15+'01_Вводные'!$B$311)&gt;60),0,INDEX('19_Расчет_аналитики'!$B$2362:$BI$2362,1,17-('01_Вводные'!$B$15+'01_Вводные'!$B$311)))*'01_Вводные'!$B$298*MAX(0,'01_Вводные'!$B$22-1)</f>
        <v/>
      </c>
      <c r="S2387">
        <f>IF(OR(18&lt;='01_Вводные'!$B$15,18-'01_Вводные'!$B$15&gt;60),0,INDEX('19_Расчет_аналитики'!$B$2362:$BI$2362,1,18-'01_Вводные'!$B$15))*'01_Вводные'!$B$298*MIN(1,'01_Вводные'!$B$22)+IF(OR(18&lt;=('01_Вводные'!$B$15+'01_Вводные'!$B$311),18-('01_Вводные'!$B$15+'01_Вводные'!$B$311)&gt;60),0,INDEX('19_Расчет_аналитики'!$B$2362:$BI$2362,1,18-('01_Вводные'!$B$15+'01_Вводные'!$B$311)))*'01_Вводные'!$B$298*MAX(0,'01_Вводные'!$B$22-1)</f>
        <v/>
      </c>
      <c r="T2387">
        <f>IF(OR(19&lt;='01_Вводные'!$B$15,19-'01_Вводные'!$B$15&gt;60),0,INDEX('19_Расчет_аналитики'!$B$2362:$BI$2362,1,19-'01_Вводные'!$B$15))*'01_Вводные'!$B$298*MIN(1,'01_Вводные'!$B$22)+IF(OR(19&lt;=('01_Вводные'!$B$15+'01_Вводные'!$B$311),19-('01_Вводные'!$B$15+'01_Вводные'!$B$311)&gt;60),0,INDEX('19_Расчет_аналитики'!$B$2362:$BI$2362,1,19-('01_Вводные'!$B$15+'01_Вводные'!$B$311)))*'01_Вводные'!$B$298*MAX(0,'01_Вводные'!$B$22-1)</f>
        <v/>
      </c>
      <c r="U2387">
        <f>IF(OR(20&lt;='01_Вводные'!$B$15,20-'01_Вводные'!$B$15&gt;60),0,INDEX('19_Расчет_аналитики'!$B$2362:$BI$2362,1,20-'01_Вводные'!$B$15))*'01_Вводные'!$B$298*MIN(1,'01_Вводные'!$B$22)+IF(OR(20&lt;=('01_Вводные'!$B$15+'01_Вводные'!$B$311),20-('01_Вводные'!$B$15+'01_Вводные'!$B$311)&gt;60),0,INDEX('19_Расчет_аналитики'!$B$2362:$BI$2362,1,20-('01_Вводные'!$B$15+'01_Вводные'!$B$311)))*'01_Вводные'!$B$298*MAX(0,'01_Вводные'!$B$22-1)</f>
        <v/>
      </c>
      <c r="V2387">
        <f>IF(OR(21&lt;='01_Вводные'!$B$15,21-'01_Вводные'!$B$15&gt;60),0,INDEX('19_Расчет_аналитики'!$B$2362:$BI$2362,1,21-'01_Вводные'!$B$15))*'01_Вводные'!$B$298*MIN(1,'01_Вводные'!$B$22)+IF(OR(21&lt;=('01_Вводные'!$B$15+'01_Вводные'!$B$311),21-('01_Вводные'!$B$15+'01_Вводные'!$B$311)&gt;60),0,INDEX('19_Расчет_аналитики'!$B$2362:$BI$2362,1,21-('01_Вводные'!$B$15+'01_Вводные'!$B$311)))*'01_Вводные'!$B$298*MAX(0,'01_Вводные'!$B$22-1)</f>
        <v/>
      </c>
      <c r="W2387">
        <f>IF(OR(22&lt;='01_Вводные'!$B$15,22-'01_Вводные'!$B$15&gt;60),0,INDEX('19_Расчет_аналитики'!$B$2362:$BI$2362,1,22-'01_Вводные'!$B$15))*'01_Вводные'!$B$298*MIN(1,'01_Вводные'!$B$22)+IF(OR(22&lt;=('01_Вводные'!$B$15+'01_Вводные'!$B$311),22-('01_Вводные'!$B$15+'01_Вводные'!$B$311)&gt;60),0,INDEX('19_Расчет_аналитики'!$B$2362:$BI$2362,1,22-('01_Вводные'!$B$15+'01_Вводные'!$B$311)))*'01_Вводные'!$B$298*MAX(0,'01_Вводные'!$B$22-1)</f>
        <v/>
      </c>
      <c r="X2387">
        <f>IF(OR(23&lt;='01_Вводные'!$B$15,23-'01_Вводные'!$B$15&gt;60),0,INDEX('19_Расчет_аналитики'!$B$2362:$BI$2362,1,23-'01_Вводные'!$B$15))*'01_Вводные'!$B$298*MIN(1,'01_Вводные'!$B$22)+IF(OR(23&lt;=('01_Вводные'!$B$15+'01_Вводные'!$B$311),23-('01_Вводные'!$B$15+'01_Вводные'!$B$311)&gt;60),0,INDEX('19_Расчет_аналитики'!$B$2362:$BI$2362,1,23-('01_Вводные'!$B$15+'01_Вводные'!$B$311)))*'01_Вводные'!$B$298*MAX(0,'01_Вводные'!$B$22-1)</f>
        <v/>
      </c>
      <c r="Y2387">
        <f>IF(OR(24&lt;='01_Вводные'!$B$15,24-'01_Вводные'!$B$15&gt;60),0,INDEX('19_Расчет_аналитики'!$B$2362:$BI$2362,1,24-'01_Вводные'!$B$15))*'01_Вводные'!$B$298*MIN(1,'01_Вводные'!$B$22)+IF(OR(24&lt;=('01_Вводные'!$B$15+'01_Вводные'!$B$311),24-('01_Вводные'!$B$15+'01_Вводные'!$B$311)&gt;60),0,INDEX('19_Расчет_аналитики'!$B$2362:$BI$2362,1,24-('01_Вводные'!$B$15+'01_Вводные'!$B$311)))*'01_Вводные'!$B$298*MAX(0,'01_Вводные'!$B$22-1)</f>
        <v/>
      </c>
      <c r="Z2387">
        <f>IF(OR(25&lt;='01_Вводные'!$B$15,25-'01_Вводные'!$B$15&gt;60),0,INDEX('19_Расчет_аналитики'!$B$2362:$BI$2362,1,25-'01_Вводные'!$B$15))*'01_Вводные'!$B$298*MIN(1,'01_Вводные'!$B$22)+IF(OR(25&lt;=('01_Вводные'!$B$15+'01_Вводные'!$B$311),25-('01_Вводные'!$B$15+'01_Вводные'!$B$311)&gt;60),0,INDEX('19_Расчет_аналитики'!$B$2362:$BI$2362,1,25-('01_Вводные'!$B$15+'01_Вводные'!$B$311)))*'01_Вводные'!$B$298*MAX(0,'01_Вводные'!$B$22-1)</f>
        <v/>
      </c>
      <c r="AA2387">
        <f>IF(OR(26&lt;='01_Вводные'!$B$15,26-'01_Вводные'!$B$15&gt;60),0,INDEX('19_Расчет_аналитики'!$B$2362:$BI$2362,1,26-'01_Вводные'!$B$15))*'01_Вводные'!$B$298*MIN(1,'01_Вводные'!$B$22)+IF(OR(26&lt;=('01_Вводные'!$B$15+'01_Вводные'!$B$311),26-('01_Вводные'!$B$15+'01_Вводные'!$B$311)&gt;60),0,INDEX('19_Расчет_аналитики'!$B$2362:$BI$2362,1,26-('01_Вводные'!$B$15+'01_Вводные'!$B$311)))*'01_Вводные'!$B$298*MAX(0,'01_Вводные'!$B$22-1)</f>
        <v/>
      </c>
      <c r="AB2387">
        <f>IF(OR(27&lt;='01_Вводные'!$B$15,27-'01_Вводные'!$B$15&gt;60),0,INDEX('19_Расчет_аналитики'!$B$2362:$BI$2362,1,27-'01_Вводные'!$B$15))*'01_Вводные'!$B$298*MIN(1,'01_Вводные'!$B$22)+IF(OR(27&lt;=('01_Вводные'!$B$15+'01_Вводные'!$B$311),27-('01_Вводные'!$B$15+'01_Вводные'!$B$311)&gt;60),0,INDEX('19_Расчет_аналитики'!$B$2362:$BI$2362,1,27-('01_Вводные'!$B$15+'01_Вводные'!$B$311)))*'01_Вводные'!$B$298*MAX(0,'01_Вводные'!$B$22-1)</f>
        <v/>
      </c>
      <c r="AC2387">
        <f>IF(OR(28&lt;='01_Вводные'!$B$15,28-'01_Вводные'!$B$15&gt;60),0,INDEX('19_Расчет_аналитики'!$B$2362:$BI$2362,1,28-'01_Вводные'!$B$15))*'01_Вводные'!$B$298*MIN(1,'01_Вводные'!$B$22)+IF(OR(28&lt;=('01_Вводные'!$B$15+'01_Вводные'!$B$311),28-('01_Вводные'!$B$15+'01_Вводные'!$B$311)&gt;60),0,INDEX('19_Расчет_аналитики'!$B$2362:$BI$2362,1,28-('01_Вводные'!$B$15+'01_Вводные'!$B$311)))*'01_Вводные'!$B$298*MAX(0,'01_Вводные'!$B$22-1)</f>
        <v/>
      </c>
      <c r="AD2387">
        <f>IF(OR(29&lt;='01_Вводные'!$B$15,29-'01_Вводные'!$B$15&gt;60),0,INDEX('19_Расчет_аналитики'!$B$2362:$BI$2362,1,29-'01_Вводные'!$B$15))*'01_Вводные'!$B$298*MIN(1,'01_Вводные'!$B$22)+IF(OR(29&lt;=('01_Вводные'!$B$15+'01_Вводные'!$B$311),29-('01_Вводные'!$B$15+'01_Вводные'!$B$311)&gt;60),0,INDEX('19_Расчет_аналитики'!$B$2362:$BI$2362,1,29-('01_Вводные'!$B$15+'01_Вводные'!$B$311)))*'01_Вводные'!$B$298*MAX(0,'01_Вводные'!$B$22-1)</f>
        <v/>
      </c>
      <c r="AE2387">
        <f>IF(OR(30&lt;='01_Вводные'!$B$15,30-'01_Вводные'!$B$15&gt;60),0,INDEX('19_Расчет_аналитики'!$B$2362:$BI$2362,1,30-'01_Вводные'!$B$15))*'01_Вводные'!$B$298*MIN(1,'01_Вводные'!$B$22)+IF(OR(30&lt;=('01_Вводные'!$B$15+'01_Вводные'!$B$311),30-('01_Вводные'!$B$15+'01_Вводные'!$B$311)&gt;60),0,INDEX('19_Расчет_аналитики'!$B$2362:$BI$2362,1,30-('01_Вводные'!$B$15+'01_Вводные'!$B$311)))*'01_Вводные'!$B$298*MAX(0,'01_Вводные'!$B$22-1)</f>
        <v/>
      </c>
      <c r="AF2387">
        <f>IF(OR(31&lt;='01_Вводные'!$B$15,31-'01_Вводные'!$B$15&gt;60),0,INDEX('19_Расчет_аналитики'!$B$2362:$BI$2362,1,31-'01_Вводные'!$B$15))*'01_Вводные'!$B$298*MIN(1,'01_Вводные'!$B$22)+IF(OR(31&lt;=('01_Вводные'!$B$15+'01_Вводные'!$B$311),31-('01_Вводные'!$B$15+'01_Вводные'!$B$311)&gt;60),0,INDEX('19_Расчет_аналитики'!$B$2362:$BI$2362,1,31-('01_Вводные'!$B$15+'01_Вводные'!$B$311)))*'01_Вводные'!$B$298*MAX(0,'01_Вводные'!$B$22-1)</f>
        <v/>
      </c>
      <c r="AG2387">
        <f>IF(OR(32&lt;='01_Вводные'!$B$15,32-'01_Вводные'!$B$15&gt;60),0,INDEX('19_Расчет_аналитики'!$B$2362:$BI$2362,1,32-'01_Вводные'!$B$15))*'01_Вводные'!$B$298*MIN(1,'01_Вводные'!$B$22)+IF(OR(32&lt;=('01_Вводные'!$B$15+'01_Вводные'!$B$311),32-('01_Вводные'!$B$15+'01_Вводные'!$B$311)&gt;60),0,INDEX('19_Расчет_аналитики'!$B$2362:$BI$2362,1,32-('01_Вводные'!$B$15+'01_Вводные'!$B$311)))*'01_Вводные'!$B$298*MAX(0,'01_Вводные'!$B$22-1)</f>
        <v/>
      </c>
      <c r="AH2387">
        <f>IF(OR(33&lt;='01_Вводные'!$B$15,33-'01_Вводные'!$B$15&gt;60),0,INDEX('19_Расчет_аналитики'!$B$2362:$BI$2362,1,33-'01_Вводные'!$B$15))*'01_Вводные'!$B$298*MIN(1,'01_Вводные'!$B$22)+IF(OR(33&lt;=('01_Вводные'!$B$15+'01_Вводные'!$B$311),33-('01_Вводные'!$B$15+'01_Вводные'!$B$311)&gt;60),0,INDEX('19_Расчет_аналитики'!$B$2362:$BI$2362,1,33-('01_Вводные'!$B$15+'01_Вводные'!$B$311)))*'01_Вводные'!$B$298*MAX(0,'01_Вводные'!$B$22-1)</f>
        <v/>
      </c>
      <c r="AI2387">
        <f>IF(OR(34&lt;='01_Вводные'!$B$15,34-'01_Вводные'!$B$15&gt;60),0,INDEX('19_Расчет_аналитики'!$B$2362:$BI$2362,1,34-'01_Вводные'!$B$15))*'01_Вводные'!$B$298*MIN(1,'01_Вводные'!$B$22)+IF(OR(34&lt;=('01_Вводные'!$B$15+'01_Вводные'!$B$311),34-('01_Вводные'!$B$15+'01_Вводные'!$B$311)&gt;60),0,INDEX('19_Расчет_аналитики'!$B$2362:$BI$2362,1,34-('01_Вводные'!$B$15+'01_Вводные'!$B$311)))*'01_Вводные'!$B$298*MAX(0,'01_Вводные'!$B$22-1)</f>
        <v/>
      </c>
      <c r="AJ2387">
        <f>IF(OR(35&lt;='01_Вводные'!$B$15,35-'01_Вводные'!$B$15&gt;60),0,INDEX('19_Расчет_аналитики'!$B$2362:$BI$2362,1,35-'01_Вводные'!$B$15))*'01_Вводные'!$B$298*MIN(1,'01_Вводные'!$B$22)+IF(OR(35&lt;=('01_Вводные'!$B$15+'01_Вводные'!$B$311),35-('01_Вводные'!$B$15+'01_Вводные'!$B$311)&gt;60),0,INDEX('19_Расчет_аналитики'!$B$2362:$BI$2362,1,35-('01_Вводные'!$B$15+'01_Вводные'!$B$311)))*'01_Вводные'!$B$298*MAX(0,'01_Вводные'!$B$22-1)</f>
        <v/>
      </c>
      <c r="AK2387">
        <f>IF(OR(36&lt;='01_Вводные'!$B$15,36-'01_Вводные'!$B$15&gt;60),0,INDEX('19_Расчет_аналитики'!$B$2362:$BI$2362,1,36-'01_Вводные'!$B$15))*'01_Вводные'!$B$298*MIN(1,'01_Вводные'!$B$22)+IF(OR(36&lt;=('01_Вводные'!$B$15+'01_Вводные'!$B$311),36-('01_Вводные'!$B$15+'01_Вводные'!$B$311)&gt;60),0,INDEX('19_Расчет_аналитики'!$B$2362:$BI$2362,1,36-('01_Вводные'!$B$15+'01_Вводные'!$B$311)))*'01_Вводные'!$B$298*MAX(0,'01_Вводные'!$B$22-1)</f>
        <v/>
      </c>
      <c r="AL2387">
        <f>IF(OR(37&lt;='01_Вводные'!$B$15,37-'01_Вводные'!$B$15&gt;60),0,INDEX('19_Расчет_аналитики'!$B$2362:$BI$2362,1,37-'01_Вводные'!$B$15))*'01_Вводные'!$B$298*MIN(1,'01_Вводные'!$B$22)+IF(OR(37&lt;=('01_Вводные'!$B$15+'01_Вводные'!$B$311),37-('01_Вводные'!$B$15+'01_Вводные'!$B$311)&gt;60),0,INDEX('19_Расчет_аналитики'!$B$2362:$BI$2362,1,37-('01_Вводные'!$B$15+'01_Вводные'!$B$311)))*'01_Вводные'!$B$298*MAX(0,'01_Вводные'!$B$22-1)</f>
        <v/>
      </c>
      <c r="AM2387">
        <f>IF(OR(38&lt;='01_Вводные'!$B$15,38-'01_Вводные'!$B$15&gt;60),0,INDEX('19_Расчет_аналитики'!$B$2362:$BI$2362,1,38-'01_Вводные'!$B$15))*'01_Вводные'!$B$298*MIN(1,'01_Вводные'!$B$22)+IF(OR(38&lt;=('01_Вводные'!$B$15+'01_Вводные'!$B$311),38-('01_Вводные'!$B$15+'01_Вводные'!$B$311)&gt;60),0,INDEX('19_Расчет_аналитики'!$B$2362:$BI$2362,1,38-('01_Вводные'!$B$15+'01_Вводные'!$B$311)))*'01_Вводные'!$B$298*MAX(0,'01_Вводные'!$B$22-1)</f>
        <v/>
      </c>
      <c r="AN2387">
        <f>IF(OR(39&lt;='01_Вводные'!$B$15,39-'01_Вводные'!$B$15&gt;60),0,INDEX('19_Расчет_аналитики'!$B$2362:$BI$2362,1,39-'01_Вводные'!$B$15))*'01_Вводные'!$B$298*MIN(1,'01_Вводные'!$B$22)+IF(OR(39&lt;=('01_Вводные'!$B$15+'01_Вводные'!$B$311),39-('01_Вводные'!$B$15+'01_Вводные'!$B$311)&gt;60),0,INDEX('19_Расчет_аналитики'!$B$2362:$BI$2362,1,39-('01_Вводные'!$B$15+'01_Вводные'!$B$311)))*'01_Вводные'!$B$298*MAX(0,'01_Вводные'!$B$22-1)</f>
        <v/>
      </c>
      <c r="AO2387">
        <f>IF(OR(40&lt;='01_Вводные'!$B$15,40-'01_Вводные'!$B$15&gt;60),0,INDEX('19_Расчет_аналитики'!$B$2362:$BI$2362,1,40-'01_Вводные'!$B$15))*'01_Вводные'!$B$298*MIN(1,'01_Вводные'!$B$22)+IF(OR(40&lt;=('01_Вводные'!$B$15+'01_Вводные'!$B$311),40-('01_Вводные'!$B$15+'01_Вводные'!$B$311)&gt;60),0,INDEX('19_Расчет_аналитики'!$B$2362:$BI$2362,1,40-('01_Вводные'!$B$15+'01_Вводные'!$B$311)))*'01_Вводные'!$B$298*MAX(0,'01_Вводные'!$B$22-1)</f>
        <v/>
      </c>
      <c r="AP2387">
        <f>IF(OR(41&lt;='01_Вводные'!$B$15,41-'01_Вводные'!$B$15&gt;60),0,INDEX('19_Расчет_аналитики'!$B$2362:$BI$2362,1,41-'01_Вводные'!$B$15))*'01_Вводные'!$B$298*MIN(1,'01_Вводные'!$B$22)+IF(OR(41&lt;=('01_Вводные'!$B$15+'01_Вводные'!$B$311),41-('01_Вводные'!$B$15+'01_Вводные'!$B$311)&gt;60),0,INDEX('19_Расчет_аналитики'!$B$2362:$BI$2362,1,41-('01_Вводные'!$B$15+'01_Вводные'!$B$311)))*'01_Вводные'!$B$298*MAX(0,'01_Вводные'!$B$22-1)</f>
        <v/>
      </c>
      <c r="AQ2387">
        <f>IF(OR(42&lt;='01_Вводные'!$B$15,42-'01_Вводные'!$B$15&gt;60),0,INDEX('19_Расчет_аналитики'!$B$2362:$BI$2362,1,42-'01_Вводные'!$B$15))*'01_Вводные'!$B$298*MIN(1,'01_Вводные'!$B$22)+IF(OR(42&lt;=('01_Вводные'!$B$15+'01_Вводные'!$B$311),42-('01_Вводные'!$B$15+'01_Вводные'!$B$311)&gt;60),0,INDEX('19_Расчет_аналитики'!$B$2362:$BI$2362,1,42-('01_Вводные'!$B$15+'01_Вводные'!$B$311)))*'01_Вводные'!$B$298*MAX(0,'01_Вводные'!$B$22-1)</f>
        <v/>
      </c>
      <c r="AR2387">
        <f>IF(OR(43&lt;='01_Вводные'!$B$15,43-'01_Вводные'!$B$15&gt;60),0,INDEX('19_Расчет_аналитики'!$B$2362:$BI$2362,1,43-'01_Вводные'!$B$15))*'01_Вводные'!$B$298*MIN(1,'01_Вводные'!$B$22)+IF(OR(43&lt;=('01_Вводные'!$B$15+'01_Вводные'!$B$311),43-('01_Вводные'!$B$15+'01_Вводные'!$B$311)&gt;60),0,INDEX('19_Расчет_аналитики'!$B$2362:$BI$2362,1,43-('01_Вводные'!$B$15+'01_Вводные'!$B$311)))*'01_Вводные'!$B$298*MAX(0,'01_Вводные'!$B$22-1)</f>
        <v/>
      </c>
      <c r="AS2387">
        <f>IF(OR(44&lt;='01_Вводные'!$B$15,44-'01_Вводные'!$B$15&gt;60),0,INDEX('19_Расчет_аналитики'!$B$2362:$BI$2362,1,44-'01_Вводные'!$B$15))*'01_Вводные'!$B$298*MIN(1,'01_Вводные'!$B$22)+IF(OR(44&lt;=('01_Вводные'!$B$15+'01_Вводные'!$B$311),44-('01_Вводные'!$B$15+'01_Вводные'!$B$311)&gt;60),0,INDEX('19_Расчет_аналитики'!$B$2362:$BI$2362,1,44-('01_Вводные'!$B$15+'01_Вводные'!$B$311)))*'01_Вводные'!$B$298*MAX(0,'01_Вводные'!$B$22-1)</f>
        <v/>
      </c>
      <c r="AT2387">
        <f>IF(OR(45&lt;='01_Вводные'!$B$15,45-'01_Вводные'!$B$15&gt;60),0,INDEX('19_Расчет_аналитики'!$B$2362:$BI$2362,1,45-'01_Вводные'!$B$15))*'01_Вводные'!$B$298*MIN(1,'01_Вводные'!$B$22)+IF(OR(45&lt;=('01_Вводные'!$B$15+'01_Вводные'!$B$311),45-('01_Вводные'!$B$15+'01_Вводные'!$B$311)&gt;60),0,INDEX('19_Расчет_аналитики'!$B$2362:$BI$2362,1,45-('01_Вводные'!$B$15+'01_Вводные'!$B$311)))*'01_Вводные'!$B$298*MAX(0,'01_Вводные'!$B$22-1)</f>
        <v/>
      </c>
      <c r="AU2387">
        <f>IF(OR(46&lt;='01_Вводные'!$B$15,46-'01_Вводные'!$B$15&gt;60),0,INDEX('19_Расчет_аналитики'!$B$2362:$BI$2362,1,46-'01_Вводные'!$B$15))*'01_Вводные'!$B$298*MIN(1,'01_Вводные'!$B$22)+IF(OR(46&lt;=('01_Вводные'!$B$15+'01_Вводные'!$B$311),46-('01_Вводные'!$B$15+'01_Вводные'!$B$311)&gt;60),0,INDEX('19_Расчет_аналитики'!$B$2362:$BI$2362,1,46-('01_Вводные'!$B$15+'01_Вводные'!$B$311)))*'01_Вводные'!$B$298*MAX(0,'01_Вводные'!$B$22-1)</f>
        <v/>
      </c>
      <c r="AV2387">
        <f>IF(OR(47&lt;='01_Вводные'!$B$15,47-'01_Вводные'!$B$15&gt;60),0,INDEX('19_Расчет_аналитики'!$B$2362:$BI$2362,1,47-'01_Вводные'!$B$15))*'01_Вводные'!$B$298*MIN(1,'01_Вводные'!$B$22)+IF(OR(47&lt;=('01_Вводные'!$B$15+'01_Вводные'!$B$311),47-('01_Вводные'!$B$15+'01_Вводные'!$B$311)&gt;60),0,INDEX('19_Расчет_аналитики'!$B$2362:$BI$2362,1,47-('01_Вводные'!$B$15+'01_Вводные'!$B$311)))*'01_Вводные'!$B$298*MAX(0,'01_Вводные'!$B$22-1)</f>
        <v/>
      </c>
      <c r="AW2387">
        <f>IF(OR(48&lt;='01_Вводные'!$B$15,48-'01_Вводные'!$B$15&gt;60),0,INDEX('19_Расчет_аналитики'!$B$2362:$BI$2362,1,48-'01_Вводные'!$B$15))*'01_Вводные'!$B$298*MIN(1,'01_Вводные'!$B$22)+IF(OR(48&lt;=('01_Вводные'!$B$15+'01_Вводные'!$B$311),48-('01_Вводные'!$B$15+'01_Вводные'!$B$311)&gt;60),0,INDEX('19_Расчет_аналитики'!$B$2362:$BI$2362,1,48-('01_Вводные'!$B$15+'01_Вводные'!$B$311)))*'01_Вводные'!$B$298*MAX(0,'01_Вводные'!$B$22-1)</f>
        <v/>
      </c>
      <c r="AX2387">
        <f>IF(OR(49&lt;='01_Вводные'!$B$15,49-'01_Вводные'!$B$15&gt;60),0,INDEX('19_Расчет_аналитики'!$B$2362:$BI$2362,1,49-'01_Вводные'!$B$15))*'01_Вводные'!$B$298*MIN(1,'01_Вводные'!$B$22)+IF(OR(49&lt;=('01_Вводные'!$B$15+'01_Вводные'!$B$311),49-('01_Вводные'!$B$15+'01_Вводные'!$B$311)&gt;60),0,INDEX('19_Расчет_аналитики'!$B$2362:$BI$2362,1,49-('01_Вводные'!$B$15+'01_Вводные'!$B$311)))*'01_Вводные'!$B$298*MAX(0,'01_Вводные'!$B$22-1)</f>
        <v/>
      </c>
      <c r="AY2387">
        <f>IF(OR(50&lt;='01_Вводные'!$B$15,50-'01_Вводные'!$B$15&gt;60),0,INDEX('19_Расчет_аналитики'!$B$2362:$BI$2362,1,50-'01_Вводные'!$B$15))*'01_Вводные'!$B$298*MIN(1,'01_Вводные'!$B$22)+IF(OR(50&lt;=('01_Вводные'!$B$15+'01_Вводные'!$B$311),50-('01_Вводные'!$B$15+'01_Вводные'!$B$311)&gt;60),0,INDEX('19_Расчет_аналитики'!$B$2362:$BI$2362,1,50-('01_Вводные'!$B$15+'01_Вводные'!$B$311)))*'01_Вводные'!$B$298*MAX(0,'01_Вводные'!$B$22-1)</f>
        <v/>
      </c>
      <c r="AZ2387">
        <f>IF(OR(51&lt;='01_Вводные'!$B$15,51-'01_Вводные'!$B$15&gt;60),0,INDEX('19_Расчет_аналитики'!$B$2362:$BI$2362,1,51-'01_Вводные'!$B$15))*'01_Вводные'!$B$298*MIN(1,'01_Вводные'!$B$22)+IF(OR(51&lt;=('01_Вводные'!$B$15+'01_Вводные'!$B$311),51-('01_Вводные'!$B$15+'01_Вводные'!$B$311)&gt;60),0,INDEX('19_Расчет_аналитики'!$B$2362:$BI$2362,1,51-('01_Вводные'!$B$15+'01_Вводные'!$B$311)))*'01_Вводные'!$B$298*MAX(0,'01_Вводные'!$B$22-1)</f>
        <v/>
      </c>
      <c r="BA2387">
        <f>IF(OR(52&lt;='01_Вводные'!$B$15,52-'01_Вводные'!$B$15&gt;60),0,INDEX('19_Расчет_аналитики'!$B$2362:$BI$2362,1,52-'01_Вводные'!$B$15))*'01_Вводные'!$B$298*MIN(1,'01_Вводные'!$B$22)+IF(OR(52&lt;=('01_Вводные'!$B$15+'01_Вводные'!$B$311),52-('01_Вводные'!$B$15+'01_Вводные'!$B$311)&gt;60),0,INDEX('19_Расчет_аналитики'!$B$2362:$BI$2362,1,52-('01_Вводные'!$B$15+'01_Вводные'!$B$311)))*'01_Вводные'!$B$298*MAX(0,'01_Вводные'!$B$22-1)</f>
        <v/>
      </c>
      <c r="BB2387">
        <f>IF(OR(53&lt;='01_Вводные'!$B$15,53-'01_Вводные'!$B$15&gt;60),0,INDEX('19_Расчет_аналитики'!$B$2362:$BI$2362,1,53-'01_Вводные'!$B$15))*'01_Вводные'!$B$298*MIN(1,'01_Вводные'!$B$22)+IF(OR(53&lt;=('01_Вводные'!$B$15+'01_Вводные'!$B$311),53-('01_Вводные'!$B$15+'01_Вводные'!$B$311)&gt;60),0,INDEX('19_Расчет_аналитики'!$B$2362:$BI$2362,1,53-('01_Вводные'!$B$15+'01_Вводные'!$B$311)))*'01_Вводные'!$B$298*MAX(0,'01_Вводные'!$B$22-1)</f>
        <v/>
      </c>
      <c r="BC2387">
        <f>IF(OR(54&lt;='01_Вводные'!$B$15,54-'01_Вводные'!$B$15&gt;60),0,INDEX('19_Расчет_аналитики'!$B$2362:$BI$2362,1,54-'01_Вводные'!$B$15))*'01_Вводные'!$B$298*MIN(1,'01_Вводные'!$B$22)+IF(OR(54&lt;=('01_Вводные'!$B$15+'01_Вводные'!$B$311),54-('01_Вводные'!$B$15+'01_Вводные'!$B$311)&gt;60),0,INDEX('19_Расчет_аналитики'!$B$2362:$BI$2362,1,54-('01_Вводные'!$B$15+'01_Вводные'!$B$311)))*'01_Вводные'!$B$298*MAX(0,'01_Вводные'!$B$22-1)</f>
        <v/>
      </c>
      <c r="BD2387">
        <f>IF(OR(55&lt;='01_Вводные'!$B$15,55-'01_Вводные'!$B$15&gt;60),0,INDEX('19_Расчет_аналитики'!$B$2362:$BI$2362,1,55-'01_Вводные'!$B$15))*'01_Вводные'!$B$298*MIN(1,'01_Вводные'!$B$22)+IF(OR(55&lt;=('01_Вводные'!$B$15+'01_Вводные'!$B$311),55-('01_Вводные'!$B$15+'01_Вводные'!$B$311)&gt;60),0,INDEX('19_Расчет_аналитики'!$B$2362:$BI$2362,1,55-('01_Вводные'!$B$15+'01_Вводные'!$B$311)))*'01_Вводные'!$B$298*MAX(0,'01_Вводные'!$B$22-1)</f>
        <v/>
      </c>
      <c r="BE2387">
        <f>IF(OR(56&lt;='01_Вводные'!$B$15,56-'01_Вводные'!$B$15&gt;60),0,INDEX('19_Расчет_аналитики'!$B$2362:$BI$2362,1,56-'01_Вводные'!$B$15))*'01_Вводные'!$B$298*MIN(1,'01_Вводные'!$B$22)+IF(OR(56&lt;=('01_Вводные'!$B$15+'01_Вводные'!$B$311),56-('01_Вводные'!$B$15+'01_Вводные'!$B$311)&gt;60),0,INDEX('19_Расчет_аналитики'!$B$2362:$BI$2362,1,56-('01_Вводные'!$B$15+'01_Вводные'!$B$311)))*'01_Вводные'!$B$298*MAX(0,'01_Вводные'!$B$22-1)</f>
        <v/>
      </c>
      <c r="BF2387">
        <f>IF(OR(57&lt;='01_Вводные'!$B$15,57-'01_Вводные'!$B$15&gt;60),0,INDEX('19_Расчет_аналитики'!$B$2362:$BI$2362,1,57-'01_Вводные'!$B$15))*'01_Вводные'!$B$298*MIN(1,'01_Вводные'!$B$22)+IF(OR(57&lt;=('01_Вводные'!$B$15+'01_Вводные'!$B$311),57-('01_Вводные'!$B$15+'01_Вводные'!$B$311)&gt;60),0,INDEX('19_Расчет_аналитики'!$B$2362:$BI$2362,1,57-('01_Вводные'!$B$15+'01_Вводные'!$B$311)))*'01_Вводные'!$B$298*MAX(0,'01_Вводные'!$B$22-1)</f>
        <v/>
      </c>
      <c r="BG2387">
        <f>IF(OR(58&lt;='01_Вводные'!$B$15,58-'01_Вводные'!$B$15&gt;60),0,INDEX('19_Расчет_аналитики'!$B$2362:$BI$2362,1,58-'01_Вводные'!$B$15))*'01_Вводные'!$B$298*MIN(1,'01_Вводные'!$B$22)+IF(OR(58&lt;=('01_Вводные'!$B$15+'01_Вводные'!$B$311),58-('01_Вводные'!$B$15+'01_Вводные'!$B$311)&gt;60),0,INDEX('19_Расчет_аналитики'!$B$2362:$BI$2362,1,58-('01_Вводные'!$B$15+'01_Вводные'!$B$311)))*'01_Вводные'!$B$298*MAX(0,'01_Вводные'!$B$22-1)</f>
        <v/>
      </c>
      <c r="BH2387">
        <f>IF(OR(59&lt;='01_Вводные'!$B$15,59-'01_Вводные'!$B$15&gt;60),0,INDEX('19_Расчет_аналитики'!$B$2362:$BI$2362,1,59-'01_Вводные'!$B$15))*'01_Вводные'!$B$298*MIN(1,'01_Вводные'!$B$22)+IF(OR(59&lt;=('01_Вводные'!$B$15+'01_Вводные'!$B$311),59-('01_Вводные'!$B$15+'01_Вводные'!$B$311)&gt;60),0,INDEX('19_Расчет_аналитики'!$B$2362:$BI$2362,1,59-('01_Вводные'!$B$15+'01_Вводные'!$B$311)))*'01_Вводные'!$B$298*MAX(0,'01_Вводные'!$B$22-1)</f>
        <v/>
      </c>
      <c r="BI2387">
        <f>IF(OR(60&lt;='01_Вводные'!$B$15,60-'01_Вводные'!$B$15&gt;60),0,INDEX('19_Расчет_аналитики'!$B$2362:$BI$2362,1,60-'01_Вводные'!$B$15))*'01_Вводные'!$B$298*MIN(1,'01_Вводные'!$B$22)+IF(OR(60&lt;=('01_Вводные'!$B$15+'01_Вводные'!$B$311),60-('01_Вводные'!$B$15+'01_Вводные'!$B$311)&gt;60),0,INDEX('19_Расчет_аналитики'!$B$2362:$BI$2362,1,60-('01_Вводные'!$B$15+'01_Вводные'!$B$311)))*'01_Вводные'!$B$298*MAX(0,'01_Вводные'!$B$22-1)</f>
        <v/>
      </c>
      <c r="BJ2387">
        <f>IF(OR(61&lt;='01_Вводные'!$B$15,61-'01_Вводные'!$B$15&gt;60),0,INDEX('19_Расчет_аналитики'!$B$2362:$BI$2362,1,61-'01_Вводные'!$B$15))*'01_Вводные'!$B$298*MIN(1,'01_Вводные'!$B$22)+IF(OR(61&lt;=('01_Вводные'!$B$15+'01_Вводные'!$B$311),61-('01_Вводные'!$B$15+'01_Вводные'!$B$311)&gt;60),0,INDEX('19_Расчет_аналитики'!$B$2362:$BI$2362,1,61-('01_Вводные'!$B$15+'01_Вводные'!$B$311)))*'01_Вводные'!$B$298*MAX(0,'01_Вводные'!$B$22-1)</f>
        <v/>
      </c>
      <c r="BK2387">
        <f>IF(OR(62&lt;='01_Вводные'!$B$15,62-'01_Вводные'!$B$15&gt;60),0,INDEX('19_Расчет_аналитики'!$B$2362:$BI$2362,1,62-'01_Вводные'!$B$15))*'01_Вводные'!$B$298*MIN(1,'01_Вводные'!$B$22)+IF(OR(62&lt;=('01_Вводные'!$B$15+'01_Вводные'!$B$311),62-('01_Вводные'!$B$15+'01_Вводные'!$B$311)&gt;60),0,INDEX('19_Расчет_аналитики'!$B$2362:$BI$2362,1,62-('01_Вводные'!$B$15+'01_Вводные'!$B$311)))*'01_Вводные'!$B$298*MAX(0,'01_Вводные'!$B$22-1)</f>
        <v/>
      </c>
      <c r="BL2387">
        <f>IF(OR(63&lt;='01_Вводные'!$B$15,63-'01_Вводные'!$B$15&gt;60),0,INDEX('19_Расчет_аналитики'!$B$2362:$BI$2362,1,63-'01_Вводные'!$B$15))*'01_Вводные'!$B$298*MIN(1,'01_Вводные'!$B$22)+IF(OR(63&lt;=('01_Вводные'!$B$15+'01_Вводные'!$B$311),63-('01_Вводные'!$B$15+'01_Вводные'!$B$311)&gt;60),0,INDEX('19_Расчет_аналитики'!$B$2362:$BI$2362,1,63-('01_Вводные'!$B$15+'01_Вводные'!$B$311)))*'01_Вводные'!$B$298*MAX(0,'01_Вводные'!$B$22-1)</f>
        <v/>
      </c>
      <c r="BM2387">
        <f>IF(OR(64&lt;='01_Вводные'!$B$15,64-'01_Вводные'!$B$15&gt;60),0,INDEX('19_Расчет_аналитики'!$B$2362:$BI$2362,1,64-'01_Вводные'!$B$15))*'01_Вводные'!$B$298*MIN(1,'01_Вводные'!$B$22)+IF(OR(64&lt;=('01_Вводные'!$B$15+'01_Вводные'!$B$311),64-('01_Вводные'!$B$15+'01_Вводные'!$B$311)&gt;60),0,INDEX('19_Расчет_аналитики'!$B$2362:$BI$2362,1,64-('01_Вводные'!$B$15+'01_Вводные'!$B$311)))*'01_Вводные'!$B$298*MAX(0,'01_Вводные'!$B$22-1)</f>
        <v/>
      </c>
      <c r="BN2387">
        <f>IF(OR(65&lt;='01_Вводные'!$B$15,65-'01_Вводные'!$B$15&gt;60),0,INDEX('19_Расчет_аналитики'!$B$2362:$BI$2362,1,65-'01_Вводные'!$B$15))*'01_Вводные'!$B$298*MIN(1,'01_Вводные'!$B$22)+IF(OR(65&lt;=('01_Вводные'!$B$15+'01_Вводные'!$B$311),65-('01_Вводные'!$B$15+'01_Вводные'!$B$311)&gt;60),0,INDEX('19_Расчет_аналитики'!$B$2362:$BI$2362,1,65-('01_Вводные'!$B$15+'01_Вводные'!$B$311)))*'01_Вводные'!$B$298*MAX(0,'01_Вводные'!$B$22-1)</f>
        <v/>
      </c>
      <c r="BO2387">
        <f>IF(OR(66&lt;='01_Вводные'!$B$15,66-'01_Вводные'!$B$15&gt;60),0,INDEX('19_Расчет_аналитики'!$B$2362:$BI$2362,1,66-'01_Вводные'!$B$15))*'01_Вводные'!$B$298*MIN(1,'01_Вводные'!$B$22)+IF(OR(66&lt;=('01_Вводные'!$B$15+'01_Вводные'!$B$311),66-('01_Вводные'!$B$15+'01_Вводные'!$B$311)&gt;60),0,INDEX('19_Расчет_аналитики'!$B$2362:$BI$2362,1,66-('01_Вводные'!$B$15+'01_Вводные'!$B$311)))*'01_Вводные'!$B$298*MAX(0,'01_Вводные'!$B$22-1)</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SUMPRODUCT(('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2)</f>
        <v/>
      </c>
      <c r="C2407">
        <f>SUMPRODUCT(('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2)</f>
        <v/>
      </c>
      <c r="D2407">
        <f>SUMPRODUCT(('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2)</f>
        <v/>
      </c>
      <c r="E2407">
        <f>SUMPRODUCT(('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2)</f>
        <v/>
      </c>
      <c r="F2407">
        <f>SUMPRODUCT(('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2)</f>
        <v/>
      </c>
      <c r="G2407">
        <f>SUMPRODUCT(('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2)</f>
        <v/>
      </c>
      <c r="H2407">
        <f>SUMPRODUCT(('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2)</f>
        <v/>
      </c>
      <c r="I2407">
        <f>SUMPRODUCT(('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2)</f>
        <v/>
      </c>
      <c r="J2407">
        <f>SUMPRODUCT(('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2)</f>
        <v/>
      </c>
      <c r="K2407">
        <f>SUMPRODUCT(('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2)</f>
        <v/>
      </c>
      <c r="L2407">
        <f>SUMPRODUCT(('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2)</f>
        <v/>
      </c>
      <c r="M2407">
        <f>SUMPRODUCT(('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2)</f>
        <v/>
      </c>
      <c r="N2407">
        <f>SUMPRODUCT(('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2)</f>
        <v/>
      </c>
      <c r="O2407">
        <f>SUMPRODUCT(('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2)</f>
        <v/>
      </c>
      <c r="P2407">
        <f>SUMPRODUCT(('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2)</f>
        <v/>
      </c>
      <c r="Q2407">
        <f>SUMPRODUCT(('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2)</f>
        <v/>
      </c>
      <c r="R2407">
        <f>SUMPRODUCT(('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2)</f>
        <v/>
      </c>
      <c r="S2407">
        <f>SUMPRODUCT(('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2)</f>
        <v/>
      </c>
      <c r="T2407">
        <f>SUMPRODUCT(('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2)</f>
        <v/>
      </c>
      <c r="U2407">
        <f>SUMPRODUCT(('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2)</f>
        <v/>
      </c>
      <c r="V2407">
        <f>SUMPRODUCT(('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2)</f>
        <v/>
      </c>
      <c r="W2407">
        <f>SUMPRODUCT(('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2)</f>
        <v/>
      </c>
      <c r="X2407">
        <f>SUMPRODUCT(('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2)</f>
        <v/>
      </c>
      <c r="Y2407">
        <f>SUMPRODUCT(('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2)</f>
        <v/>
      </c>
      <c r="Z2407">
        <f>SUMPRODUCT(('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2)</f>
        <v/>
      </c>
      <c r="AA2407">
        <f>SUMPRODUCT(('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2)</f>
        <v/>
      </c>
      <c r="AB2407">
        <f>SUMPRODUCT(('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2)</f>
        <v/>
      </c>
      <c r="AC2407">
        <f>SUMPRODUCT(('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2)</f>
        <v/>
      </c>
      <c r="AD2407">
        <f>SUMPRODUCT(('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2)</f>
        <v/>
      </c>
      <c r="AE2407">
        <f>SUMPRODUCT(('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2)</f>
        <v/>
      </c>
      <c r="AF2407">
        <f>SUMPRODUCT(('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2)</f>
        <v/>
      </c>
      <c r="AG2407">
        <f>SUMPRODUCT(('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2)</f>
        <v/>
      </c>
      <c r="AH2407">
        <f>SUMPRODUCT(('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2)</f>
        <v/>
      </c>
      <c r="AI2407">
        <f>SUMPRODUCT(('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2)</f>
        <v/>
      </c>
      <c r="AJ2407">
        <f>SUMPRODUCT(('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2)</f>
        <v/>
      </c>
      <c r="AK2407">
        <f>SUMPRODUCT(('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2)</f>
        <v/>
      </c>
      <c r="AL2407">
        <f>SUMPRODUCT(('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2)</f>
        <v/>
      </c>
      <c r="AM2407">
        <f>SUMPRODUCT(('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2)</f>
        <v/>
      </c>
      <c r="AN2407">
        <f>SUMPRODUCT(('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2)</f>
        <v/>
      </c>
      <c r="AO2407">
        <f>SUMPRODUCT(('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2)</f>
        <v/>
      </c>
      <c r="AP2407">
        <f>SUMPRODUCT(('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2)</f>
        <v/>
      </c>
      <c r="AQ2407">
        <f>SUMPRODUCT(('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2)</f>
        <v/>
      </c>
      <c r="AR2407">
        <f>SUMPRODUCT(('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2)</f>
        <v/>
      </c>
      <c r="AS2407">
        <f>SUMPRODUCT(('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2)</f>
        <v/>
      </c>
      <c r="AT2407">
        <f>SUMPRODUCT(('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2)</f>
        <v/>
      </c>
      <c r="AU2407">
        <f>SUMPRODUCT(('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2)</f>
        <v/>
      </c>
      <c r="AV2407">
        <f>SUMPRODUCT(('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2)</f>
        <v/>
      </c>
      <c r="AW2407">
        <f>SUMPRODUCT(('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2)</f>
        <v/>
      </c>
      <c r="AX2407">
        <f>SUMPRODUCT(('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2)</f>
        <v/>
      </c>
      <c r="AY2407">
        <f>SUMPRODUCT(('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2)</f>
        <v/>
      </c>
      <c r="AZ2407">
        <f>SUMPRODUCT(('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2)</f>
        <v/>
      </c>
      <c r="BA2407">
        <f>SUMPRODUCT(('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2)</f>
        <v/>
      </c>
      <c r="BB2407">
        <f>SUMPRODUCT(('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2)</f>
        <v/>
      </c>
      <c r="BC2407">
        <f>SUMPRODUCT(('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2)</f>
        <v/>
      </c>
      <c r="BD2407">
        <f>SUMPRODUCT(('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2)</f>
        <v/>
      </c>
      <c r="BE2407">
        <f>SUMPRODUCT(('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2)</f>
        <v/>
      </c>
      <c r="BF2407">
        <f>SUMPRODUCT(('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2)</f>
        <v/>
      </c>
      <c r="BG2407">
        <f>SUMPRODUCT(('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2)</f>
        <v/>
      </c>
      <c r="BH2407">
        <f>SUMPRODUCT(('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2)</f>
        <v/>
      </c>
      <c r="BI2407">
        <f>SUMPRODUCT(('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2)</f>
        <v/>
      </c>
      <c r="BJ2407">
        <f>SUMPRODUCT(('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2)</f>
        <v/>
      </c>
      <c r="BK2407">
        <f>SUMPRODUCT(('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2)</f>
        <v/>
      </c>
      <c r="BL2407">
        <f>SUMPRODUCT(('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2)</f>
        <v/>
      </c>
      <c r="BM2407">
        <f>SUMPRODUCT(('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2)</f>
        <v/>
      </c>
      <c r="BN2407">
        <f>SUMPRODUCT(('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2)</f>
        <v/>
      </c>
      <c r="BO2407">
        <f>SUMPRODUCT(('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f>
        <v/>
      </c>
      <c r="C3374">
        <f>IF('01_Вводные'!$B$234="Да",'19_Расчет_аналитики'!$B$3084*INDEX('01_Вводные'!$C$36:$N$36,1,MOD(MONTH('06_Сеть_и_дети'!C$3)-9,12)+1)/(SUM('01_Вводные'!$C$36:$N$36)-INDEX('01_Вводные'!$C$36:$N$36,1,MOD(MONTH('01_Вводные'!$B$7)-9,12)+1)),0)</f>
        <v/>
      </c>
      <c r="D3374">
        <f>IF('01_Вводные'!$B$234="Да",'19_Расчет_аналитики'!$B$3084*INDEX('01_Вводные'!$C$36:$N$36,1,MOD(MONTH('06_Сеть_и_дети'!D$3)-9,12)+1)/(SUM('01_Вводные'!$C$36:$N$36)-INDEX('01_Вводные'!$C$36:$N$36,1,MOD(MONTH('01_Вводные'!$B$7)-9,12)+1)),0)</f>
        <v/>
      </c>
      <c r="E3374">
        <f>IF('01_Вводные'!$B$234="Да",'19_Расчет_аналитики'!$B$3084*INDEX('01_Вводные'!$C$36:$N$36,1,MOD(MONTH('06_Сеть_и_дети'!E$3)-9,12)+1)/(SUM('01_Вводные'!$C$36:$N$36)-INDEX('01_Вводные'!$C$36:$N$36,1,MOD(MONTH('01_Вводные'!$B$7)-9,12)+1)),0)</f>
        <v/>
      </c>
      <c r="F3374">
        <f>IF('01_Вводные'!$B$234="Да",'19_Расчет_аналитики'!$B$3084*INDEX('01_Вводные'!$C$36:$N$36,1,MOD(MONTH('06_Сеть_и_дети'!F$3)-9,12)+1)/(SUM('01_Вводные'!$C$36:$N$36)-INDEX('01_Вводные'!$C$36:$N$36,1,MOD(MONTH('01_Вводные'!$B$7)-9,12)+1)),0)</f>
        <v/>
      </c>
      <c r="G3374">
        <f>IF('01_Вводные'!$B$234="Да",'19_Расчет_аналитики'!$B$3084*INDEX('01_Вводные'!$C$36:$N$36,1,MOD(MONTH('06_Сеть_и_дети'!G$3)-9,12)+1)/(SUM('01_Вводные'!$C$36:$N$36)-INDEX('01_Вводные'!$C$36:$N$36,1,MOD(MONTH('01_Вводные'!$B$7)-9,12)+1)),0)</f>
        <v/>
      </c>
      <c r="H3374">
        <f>IF('01_Вводные'!$B$234="Да",'19_Расчет_аналитики'!$B$3084*INDEX('01_Вводные'!$C$36:$N$36,1,MOD(MONTH('06_Сеть_и_дети'!H$3)-9,12)+1)/(SUM('01_Вводные'!$C$36:$N$36)-INDEX('01_Вводные'!$C$36:$N$36,1,MOD(MONTH('01_Вводные'!$B$7)-9,12)+1)),0)</f>
        <v/>
      </c>
      <c r="I3374">
        <f>IF('01_Вводные'!$B$234="Да",'19_Расчет_аналитики'!$B$3084*INDEX('01_Вводные'!$C$36:$N$36,1,MOD(MONTH('06_Сеть_и_дети'!I$3)-9,12)+1)/(SUM('01_Вводные'!$C$36:$N$36)-INDEX('01_Вводные'!$C$36:$N$36,1,MOD(MONTH('01_Вводные'!$B$7)-9,12)+1)),0)</f>
        <v/>
      </c>
      <c r="J3374">
        <f>IF('01_Вводные'!$B$234="Да",'19_Расчет_аналитики'!$B$3084*INDEX('01_Вводные'!$C$36:$N$36,1,MOD(MONTH('06_Сеть_и_дети'!J$3)-9,12)+1)/(SUM('01_Вводные'!$C$36:$N$36)-INDEX('01_Вводные'!$C$36:$N$36,1,MOD(MONTH('01_Вводные'!$B$7)-9,12)+1)),0)</f>
        <v/>
      </c>
      <c r="K3374">
        <f>IF('01_Вводные'!$B$234="Да",'19_Расчет_аналитики'!$B$3084*INDEX('01_Вводные'!$C$36:$N$36,1,MOD(MONTH('06_Сеть_и_дети'!K$3)-9,12)+1)/(SUM('01_Вводные'!$C$36:$N$36)-INDEX('01_Вводные'!$C$36:$N$36,1,MOD(MONTH('01_Вводные'!$B$7)-9,12)+1)),0)</f>
        <v/>
      </c>
      <c r="L3374">
        <f>IF('01_Вводные'!$B$234="Да",'19_Расчет_аналитики'!$B$3084*INDEX('01_Вводные'!$C$36:$N$36,1,MOD(MONTH('06_Сеть_и_дети'!L$3)-9,12)+1)/(SUM('01_Вводные'!$C$36:$N$36)-INDEX('01_Вводные'!$C$36:$N$36,1,MOD(MONTH('01_Вводные'!$B$7)-9,12)+1)),0)</f>
        <v/>
      </c>
      <c r="M3374">
        <f>IF('01_Вводные'!$B$234="Да",'19_Расчет_аналитики'!$B$3084*INDEX('01_Вводные'!$C$36:$N$36,1,MOD(MONTH('06_Сеть_и_дети'!M$3)-9,12)+1)/(SUM('01_Вводные'!$C$36:$N$36)-INDEX('01_Вводные'!$C$36:$N$36,1,MOD(MONTH('01_Вводные'!$B$7)-9,12)+1)),0)</f>
        <v/>
      </c>
      <c r="N3374">
        <f>IF('01_Вводные'!$B$234="Да",'19_Расчет_аналитики'!$B$3085*INDEX('01_Вводные'!$C$37:$N$37,1,MOD(MONTH('06_Сеть_и_дети'!N$3)-9,12)+1)/SUM('01_Вводные'!$C$37:$N$37),0)</f>
        <v/>
      </c>
      <c r="O3374">
        <f>IF('01_Вводные'!$B$234="Да",'19_Расчет_аналитики'!$B$3085*INDEX('01_Вводные'!$C$37:$N$37,1,MOD(MONTH('06_Сеть_и_дети'!O$3)-9,12)+1)/SUM('01_Вводные'!$C$37:$N$37),0)</f>
        <v/>
      </c>
      <c r="P3374">
        <f>IF('01_Вводные'!$B$234="Да",'19_Расчет_аналитики'!$B$3085*INDEX('01_Вводные'!$C$37:$N$37,1,MOD(MONTH('06_Сеть_и_дети'!P$3)-9,12)+1)/SUM('01_Вводные'!$C$37:$N$37),0)</f>
        <v/>
      </c>
      <c r="Q3374">
        <f>IF('01_Вводные'!$B$234="Да",'19_Расчет_аналитики'!$B$3085*INDEX('01_Вводные'!$C$37:$N$37,1,MOD(MONTH('06_Сеть_и_дети'!Q$3)-9,12)+1)/SUM('01_Вводные'!$C$37:$N$37),0)</f>
        <v/>
      </c>
      <c r="R3374">
        <f>IF('01_Вводные'!$B$234="Да",'19_Расчет_аналитики'!$B$3085*INDEX('01_Вводные'!$C$37:$N$37,1,MOD(MONTH('06_Сеть_и_дети'!R$3)-9,12)+1)/SUM('01_Вводные'!$C$37:$N$37),0)</f>
        <v/>
      </c>
      <c r="S3374">
        <f>IF('01_Вводные'!$B$234="Да",'19_Расчет_аналитики'!$B$3085*INDEX('01_Вводные'!$C$37:$N$37,1,MOD(MONTH('06_Сеть_и_дети'!S$3)-9,12)+1)/SUM('01_Вводные'!$C$37:$N$37),0)</f>
        <v/>
      </c>
      <c r="T3374">
        <f>IF('01_Вводные'!$B$234="Да",'19_Расчет_аналитики'!$B$3085*INDEX('01_Вводные'!$C$37:$N$37,1,MOD(MONTH('06_Сеть_и_дети'!T$3)-9,12)+1)/SUM('01_Вводные'!$C$37:$N$37),0)</f>
        <v/>
      </c>
      <c r="U3374">
        <f>IF('01_Вводные'!$B$234="Да",'19_Расчет_аналитики'!$B$3085*INDEX('01_Вводные'!$C$37:$N$37,1,MOD(MONTH('06_Сеть_и_дети'!U$3)-9,12)+1)/SUM('01_Вводные'!$C$37:$N$37),0)</f>
        <v/>
      </c>
      <c r="V3374">
        <f>IF('01_Вводные'!$B$234="Да",'19_Расчет_аналитики'!$B$3085*INDEX('01_Вводные'!$C$37:$N$37,1,MOD(MONTH('06_Сеть_и_дети'!V$3)-9,12)+1)/SUM('01_Вводные'!$C$37:$N$37),0)</f>
        <v/>
      </c>
      <c r="W3374">
        <f>IF('01_Вводные'!$B$234="Да",'19_Расчет_аналитики'!$B$3085*INDEX('01_Вводные'!$C$37:$N$37,1,MOD(MONTH('06_Сеть_и_дети'!W$3)-9,12)+1)/SUM('01_Вводные'!$C$37:$N$37),0)</f>
        <v/>
      </c>
      <c r="X3374">
        <f>IF('01_Вводные'!$B$234="Да",'19_Расчет_аналитики'!$B$3085*INDEX('01_Вводные'!$C$37:$N$37,1,MOD(MONTH('06_Сеть_и_дети'!X$3)-9,12)+1)/SUM('01_Вводные'!$C$37:$N$37),0)</f>
        <v/>
      </c>
      <c r="Y3374">
        <f>IF('01_Вводные'!$B$234="Да",'19_Расчет_аналитики'!$B$3085*INDEX('01_Вводные'!$C$37:$N$37,1,MOD(MONTH('06_Сеть_и_дети'!Y$3)-9,12)+1)/SUM('01_Вводные'!$C$37:$N$37),0)</f>
        <v/>
      </c>
      <c r="Z3374">
        <f>IF('01_Вводные'!$B$234="Да",'19_Расчет_аналитики'!$B$3086*INDEX('01_Вводные'!$C$38:$N$38,1,MOD(MONTH('06_Сеть_и_дети'!Z$3)-9,12)+1)/SUM('01_Вводные'!$C$38:$N$38),0)</f>
        <v/>
      </c>
      <c r="AA3374">
        <f>IF('01_Вводные'!$B$234="Да",'19_Расчет_аналитики'!$B$3086*INDEX('01_Вводные'!$C$38:$N$38,1,MOD(MONTH('06_Сеть_и_дети'!AA$3)-9,12)+1)/SUM('01_Вводные'!$C$38:$N$38),0)</f>
        <v/>
      </c>
      <c r="AB3374">
        <f>IF('01_Вводные'!$B$234="Да",'19_Расчет_аналитики'!$B$3086*INDEX('01_Вводные'!$C$38:$N$38,1,MOD(MONTH('06_Сеть_и_дети'!AB$3)-9,12)+1)/SUM('01_Вводные'!$C$38:$N$38),0)</f>
        <v/>
      </c>
      <c r="AC3374">
        <f>IF('01_Вводные'!$B$234="Да",'19_Расчет_аналитики'!$B$3086*INDEX('01_Вводные'!$C$38:$N$38,1,MOD(MONTH('06_Сеть_и_дети'!AC$3)-9,12)+1)/SUM('01_Вводные'!$C$38:$N$38),0)</f>
        <v/>
      </c>
      <c r="AD3374">
        <f>IF('01_Вводные'!$B$234="Да",'19_Расчет_аналитики'!$B$3086*INDEX('01_Вводные'!$C$38:$N$38,1,MOD(MONTH('06_Сеть_и_дети'!AD$3)-9,12)+1)/SUM('01_Вводные'!$C$38:$N$38),0)</f>
        <v/>
      </c>
      <c r="AE3374">
        <f>IF('01_Вводные'!$B$234="Да",'19_Расчет_аналитики'!$B$3086*INDEX('01_Вводные'!$C$38:$N$38,1,MOD(MONTH('06_Сеть_и_дети'!AE$3)-9,12)+1)/SUM('01_Вводные'!$C$38:$N$38),0)</f>
        <v/>
      </c>
      <c r="AF3374">
        <f>IF('01_Вводные'!$B$234="Да",'19_Расчет_аналитики'!$B$3086*INDEX('01_Вводные'!$C$38:$N$38,1,MOD(MONTH('06_Сеть_и_дети'!AF$3)-9,12)+1)/SUM('01_Вводные'!$C$38:$N$38),0)</f>
        <v/>
      </c>
      <c r="AG3374">
        <f>IF('01_Вводные'!$B$234="Да",'19_Расчет_аналитики'!$B$3086*INDEX('01_Вводные'!$C$38:$N$38,1,MOD(MONTH('06_Сеть_и_дети'!AG$3)-9,12)+1)/SUM('01_Вводные'!$C$38:$N$38),0)</f>
        <v/>
      </c>
      <c r="AH3374">
        <f>IF('01_Вводные'!$B$234="Да",'19_Расчет_аналитики'!$B$3086*INDEX('01_Вводные'!$C$38:$N$38,1,MOD(MONTH('06_Сеть_и_дети'!AH$3)-9,12)+1)/SUM('01_Вводные'!$C$38:$N$38),0)</f>
        <v/>
      </c>
      <c r="AI3374">
        <f>IF('01_Вводные'!$B$234="Да",'19_Расчет_аналитики'!$B$3086*INDEX('01_Вводные'!$C$38:$N$38,1,MOD(MONTH('06_Сеть_и_дети'!AI$3)-9,12)+1)/SUM('01_Вводные'!$C$38:$N$38),0)</f>
        <v/>
      </c>
      <c r="AJ3374">
        <f>IF('01_Вводные'!$B$234="Да",'19_Расчет_аналитики'!$B$3086*INDEX('01_Вводные'!$C$38:$N$38,1,MOD(MONTH('06_Сеть_и_дети'!AJ$3)-9,12)+1)/SUM('01_Вводные'!$C$38:$N$38),0)</f>
        <v/>
      </c>
      <c r="AK3374">
        <f>IF('01_Вводные'!$B$234="Да",'19_Расчет_аналитики'!$B$3086*INDEX('01_Вводные'!$C$38:$N$38,1,MOD(MONTH('06_Сеть_и_дети'!AK$3)-9,12)+1)/SUM('01_Вводные'!$C$38:$N$38),0)</f>
        <v/>
      </c>
      <c r="AL3374">
        <f>IF('01_Вводные'!$B$234="Да",'19_Расчет_аналитики'!$B$3087*INDEX('01_Вводные'!$C$39:$N$39,1,MOD(MONTH('06_Сеть_и_дети'!AL$3)-9,12)+1)/SUM('01_Вводные'!$C$39:$N$39),0)</f>
        <v/>
      </c>
      <c r="AM3374">
        <f>IF('01_Вводные'!$B$234="Да",'19_Расчет_аналитики'!$B$3087*INDEX('01_Вводные'!$C$39:$N$39,1,MOD(MONTH('06_Сеть_и_дети'!AM$3)-9,12)+1)/SUM('01_Вводные'!$C$39:$N$39),0)</f>
        <v/>
      </c>
      <c r="AN3374">
        <f>IF('01_Вводные'!$B$234="Да",'19_Расчет_аналитики'!$B$3087*INDEX('01_Вводные'!$C$39:$N$39,1,MOD(MONTH('06_Сеть_и_дети'!AN$3)-9,12)+1)/SUM('01_Вводные'!$C$39:$N$39),0)</f>
        <v/>
      </c>
      <c r="AO3374">
        <f>IF('01_Вводные'!$B$234="Да",'19_Расчет_аналитики'!$B$3087*INDEX('01_Вводные'!$C$39:$N$39,1,MOD(MONTH('06_Сеть_и_дети'!AO$3)-9,12)+1)/SUM('01_Вводные'!$C$39:$N$39),0)</f>
        <v/>
      </c>
      <c r="AP3374">
        <f>IF('01_Вводные'!$B$234="Да",'19_Расчет_аналитики'!$B$3087*INDEX('01_Вводные'!$C$39:$N$39,1,MOD(MONTH('06_Сеть_и_дети'!AP$3)-9,12)+1)/SUM('01_Вводные'!$C$39:$N$39),0)</f>
        <v/>
      </c>
      <c r="AQ3374">
        <f>IF('01_Вводные'!$B$234="Да",'19_Расчет_аналитики'!$B$3087*INDEX('01_Вводные'!$C$39:$N$39,1,MOD(MONTH('06_Сеть_и_дети'!AQ$3)-9,12)+1)/SUM('01_Вводные'!$C$39:$N$39),0)</f>
        <v/>
      </c>
      <c r="AR3374">
        <f>IF('01_Вводные'!$B$234="Да",'19_Расчет_аналитики'!$B$3087*INDEX('01_Вводные'!$C$39:$N$39,1,MOD(MONTH('06_Сеть_и_дети'!AR$3)-9,12)+1)/SUM('01_Вводные'!$C$39:$N$39),0)</f>
        <v/>
      </c>
      <c r="AS3374">
        <f>IF('01_Вводные'!$B$234="Да",'19_Расчет_аналитики'!$B$3087*INDEX('01_Вводные'!$C$39:$N$39,1,MOD(MONTH('06_Сеть_и_дети'!AS$3)-9,12)+1)/SUM('01_Вводные'!$C$39:$N$39),0)</f>
        <v/>
      </c>
      <c r="AT3374">
        <f>IF('01_Вводные'!$B$234="Да",'19_Расчет_аналитики'!$B$3087*INDEX('01_Вводные'!$C$39:$N$39,1,MOD(MONTH('06_Сеть_и_дети'!AT$3)-9,12)+1)/SUM('01_Вводные'!$C$39:$N$39),0)</f>
        <v/>
      </c>
      <c r="AU3374">
        <f>IF('01_Вводные'!$B$234="Да",'19_Расчет_аналитики'!$B$3087*INDEX('01_Вводные'!$C$39:$N$39,1,MOD(MONTH('06_Сеть_и_дети'!AU$3)-9,12)+1)/SUM('01_Вводные'!$C$39:$N$39),0)</f>
        <v/>
      </c>
      <c r="AV3374">
        <f>IF('01_Вводные'!$B$234="Да",'19_Расчет_аналитики'!$B$3087*INDEX('01_Вводные'!$C$39:$N$39,1,MOD(MONTH('06_Сеть_и_дети'!AV$3)-9,12)+1)/SUM('01_Вводные'!$C$39:$N$39),0)</f>
        <v/>
      </c>
      <c r="AW3374">
        <f>IF('01_Вводные'!$B$234="Да",'19_Расчет_аналитики'!$B$3087*INDEX('01_Вводные'!$C$39:$N$39,1,MOD(MONTH('06_Сеть_и_дети'!AW$3)-9,12)+1)/SUM('01_Вводные'!$C$39:$N$39),0)</f>
        <v/>
      </c>
      <c r="AX3374">
        <f>IF('01_Вводные'!$B$234="Да",'19_Расчет_аналитики'!$B$3088*INDEX('01_Вводные'!$C$40:$N$40,1,MOD(MONTH('06_Сеть_и_дети'!AX$3)-9,12)+1)/SUM('01_Вводные'!$C$40:$N$40),0)</f>
        <v/>
      </c>
      <c r="AY3374">
        <f>IF('01_Вводные'!$B$234="Да",'19_Расчет_аналитики'!$B$3088*INDEX('01_Вводные'!$C$40:$N$40,1,MOD(MONTH('06_Сеть_и_дети'!AY$3)-9,12)+1)/SUM('01_Вводные'!$C$40:$N$40),0)</f>
        <v/>
      </c>
      <c r="AZ3374">
        <f>IF('01_Вводные'!$B$234="Да",'19_Расчет_аналитики'!$B$3088*INDEX('01_Вводные'!$C$40:$N$40,1,MOD(MONTH('06_Сеть_и_дети'!AZ$3)-9,12)+1)/SUM('01_Вводные'!$C$40:$N$40),0)</f>
        <v/>
      </c>
      <c r="BA3374">
        <f>IF('01_Вводные'!$B$234="Да",'19_Расчет_аналитики'!$B$3088*INDEX('01_Вводные'!$C$40:$N$40,1,MOD(MONTH('06_Сеть_и_дети'!BA$3)-9,12)+1)/SUM('01_Вводные'!$C$40:$N$40),0)</f>
        <v/>
      </c>
      <c r="BB3374">
        <f>IF('01_Вводные'!$B$234="Да",'19_Расчет_аналитики'!$B$3088*INDEX('01_Вводные'!$C$40:$N$40,1,MOD(MONTH('06_Сеть_и_дети'!BB$3)-9,12)+1)/SUM('01_Вводные'!$C$40:$N$40),0)</f>
        <v/>
      </c>
      <c r="BC3374">
        <f>IF('01_Вводные'!$B$234="Да",'19_Расчет_аналитики'!$B$3088*INDEX('01_Вводные'!$C$40:$N$40,1,MOD(MONTH('06_Сеть_и_дети'!BC$3)-9,12)+1)/SUM('01_Вводные'!$C$40:$N$40),0)</f>
        <v/>
      </c>
      <c r="BD3374">
        <f>IF('01_Вводные'!$B$234="Да",'19_Расчет_аналитики'!$B$3088*INDEX('01_Вводные'!$C$40:$N$40,1,MOD(MONTH('06_Сеть_и_дети'!BD$3)-9,12)+1)/SUM('01_Вводные'!$C$40:$N$40),0)</f>
        <v/>
      </c>
      <c r="BE3374">
        <f>IF('01_Вводные'!$B$234="Да",'19_Расчет_аналитики'!$B$3088*INDEX('01_Вводные'!$C$40:$N$40,1,MOD(MONTH('06_Сеть_и_дети'!BE$3)-9,12)+1)/SUM('01_Вводные'!$C$40:$N$40),0)</f>
        <v/>
      </c>
      <c r="BF3374">
        <f>IF('01_Вводные'!$B$234="Да",'19_Расчет_аналитики'!$B$3088*INDEX('01_Вводные'!$C$40:$N$40,1,MOD(MONTH('06_Сеть_и_дети'!BF$3)-9,12)+1)/SUM('01_Вводные'!$C$40:$N$40),0)</f>
        <v/>
      </c>
      <c r="BG3374">
        <f>IF('01_Вводные'!$B$234="Да",'19_Расчет_аналитики'!$B$3088*INDEX('01_Вводные'!$C$40:$N$40,1,MOD(MONTH('06_Сеть_и_дети'!BG$3)-9,12)+1)/SUM('01_Вводные'!$C$40:$N$40),0)</f>
        <v/>
      </c>
      <c r="BH3374">
        <f>IF('01_Вводные'!$B$234="Да",'19_Расчет_аналитики'!$B$3088*INDEX('01_Вводные'!$C$40:$N$40,1,MOD(MONTH('06_Сеть_и_дети'!BH$3)-9,12)+1)/SUM('01_Вводные'!$C$40:$N$40),0)</f>
        <v/>
      </c>
      <c r="BI3374">
        <f>IF('01_Вводные'!$B$234="Да",'19_Расчет_аналитики'!$B$3088*INDEX('01_Вводные'!$C$40:$N$40,1,MOD(MONTH('06_Сеть_и_дети'!BI$3)-9,12)+1)/SUM('01_Вводные'!$C$40:$N$40),0)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OR(1&lt;='01_Вводные'!$B$15,1-'01_Вводные'!$B$15&gt;60),0,INDEX('19_Расчет_аналитики'!$B$3374:$BI$3374,1,1-'01_Вводные'!$B$15))*'01_Вводные'!$B$298*MIN(1,'01_Вводные'!$B$22)+IF(OR(1&lt;=('01_Вводные'!$B$15+'01_Вводные'!$B$311),1-('01_Вводные'!$B$15+'01_Вводные'!$B$311)&gt;60),0,INDEX('19_Расчет_аналитики'!$B$3374:$BI$3374,1,1-('01_Вводные'!$B$15+'01_Вводные'!$B$311)))*'01_Вводные'!$B$298*MAX(0,'01_Вводные'!$B$22-1)</f>
        <v/>
      </c>
      <c r="C3399">
        <f>IF(OR(2&lt;='01_Вводные'!$B$15,2-'01_Вводные'!$B$15&gt;60),0,INDEX('19_Расчет_аналитики'!$B$3374:$BI$3374,1,2-'01_Вводные'!$B$15))*'01_Вводные'!$B$298*MIN(1,'01_Вводные'!$B$22)+IF(OR(2&lt;=('01_Вводные'!$B$15+'01_Вводные'!$B$311),2-('01_Вводные'!$B$15+'01_Вводные'!$B$311)&gt;60),0,INDEX('19_Расчет_аналитики'!$B$3374:$BI$3374,1,2-('01_Вводные'!$B$15+'01_Вводные'!$B$311)))*'01_Вводные'!$B$298*MAX(0,'01_Вводные'!$B$22-1)</f>
        <v/>
      </c>
      <c r="D3399">
        <f>IF(OR(3&lt;='01_Вводные'!$B$15,3-'01_Вводные'!$B$15&gt;60),0,INDEX('19_Расчет_аналитики'!$B$3374:$BI$3374,1,3-'01_Вводные'!$B$15))*'01_Вводные'!$B$298*MIN(1,'01_Вводные'!$B$22)+IF(OR(3&lt;=('01_Вводные'!$B$15+'01_Вводные'!$B$311),3-('01_Вводные'!$B$15+'01_Вводные'!$B$311)&gt;60),0,INDEX('19_Расчет_аналитики'!$B$3374:$BI$3374,1,3-('01_Вводные'!$B$15+'01_Вводные'!$B$311)))*'01_Вводные'!$B$298*MAX(0,'01_Вводные'!$B$22-1)</f>
        <v/>
      </c>
      <c r="E3399">
        <f>IF(OR(4&lt;='01_Вводные'!$B$15,4-'01_Вводные'!$B$15&gt;60),0,INDEX('19_Расчет_аналитики'!$B$3374:$BI$3374,1,4-'01_Вводные'!$B$15))*'01_Вводные'!$B$298*MIN(1,'01_Вводные'!$B$22)+IF(OR(4&lt;=('01_Вводные'!$B$15+'01_Вводные'!$B$311),4-('01_Вводные'!$B$15+'01_Вводные'!$B$311)&gt;60),0,INDEX('19_Расчет_аналитики'!$B$3374:$BI$3374,1,4-('01_Вводные'!$B$15+'01_Вводные'!$B$311)))*'01_Вводные'!$B$298*MAX(0,'01_Вводные'!$B$22-1)</f>
        <v/>
      </c>
      <c r="F3399">
        <f>IF(OR(5&lt;='01_Вводные'!$B$15,5-'01_Вводные'!$B$15&gt;60),0,INDEX('19_Расчет_аналитики'!$B$3374:$BI$3374,1,5-'01_Вводные'!$B$15))*'01_Вводные'!$B$298*MIN(1,'01_Вводные'!$B$22)+IF(OR(5&lt;=('01_Вводные'!$B$15+'01_Вводные'!$B$311),5-('01_Вводные'!$B$15+'01_Вводные'!$B$311)&gt;60),0,INDEX('19_Расчет_аналитики'!$B$3374:$BI$3374,1,5-('01_Вводные'!$B$15+'01_Вводные'!$B$311)))*'01_Вводные'!$B$298*MAX(0,'01_Вводные'!$B$22-1)</f>
        <v/>
      </c>
      <c r="G3399">
        <f>IF(OR(6&lt;='01_Вводные'!$B$15,6-'01_Вводные'!$B$15&gt;60),0,INDEX('19_Расчет_аналитики'!$B$3374:$BI$3374,1,6-'01_Вводные'!$B$15))*'01_Вводные'!$B$298*MIN(1,'01_Вводные'!$B$22)+IF(OR(6&lt;=('01_Вводные'!$B$15+'01_Вводные'!$B$311),6-('01_Вводные'!$B$15+'01_Вводные'!$B$311)&gt;60),0,INDEX('19_Расчет_аналитики'!$B$3374:$BI$3374,1,6-('01_Вводные'!$B$15+'01_Вводные'!$B$311)))*'01_Вводные'!$B$298*MAX(0,'01_Вводные'!$B$22-1)</f>
        <v/>
      </c>
      <c r="H3399">
        <f>IF(OR(7&lt;='01_Вводные'!$B$15,7-'01_Вводные'!$B$15&gt;60),0,INDEX('19_Расчет_аналитики'!$B$3374:$BI$3374,1,7-'01_Вводные'!$B$15))*'01_Вводные'!$B$298*MIN(1,'01_Вводные'!$B$22)+IF(OR(7&lt;=('01_Вводные'!$B$15+'01_Вводные'!$B$311),7-('01_Вводные'!$B$15+'01_Вводные'!$B$311)&gt;60),0,INDEX('19_Расчет_аналитики'!$B$3374:$BI$3374,1,7-('01_Вводные'!$B$15+'01_Вводные'!$B$311)))*'01_Вводные'!$B$298*MAX(0,'01_Вводные'!$B$22-1)</f>
        <v/>
      </c>
      <c r="I3399">
        <f>IF(OR(8&lt;='01_Вводные'!$B$15,8-'01_Вводные'!$B$15&gt;60),0,INDEX('19_Расчет_аналитики'!$B$3374:$BI$3374,1,8-'01_Вводные'!$B$15))*'01_Вводные'!$B$298*MIN(1,'01_Вводные'!$B$22)+IF(OR(8&lt;=('01_Вводные'!$B$15+'01_Вводные'!$B$311),8-('01_Вводные'!$B$15+'01_Вводные'!$B$311)&gt;60),0,INDEX('19_Расчет_аналитики'!$B$3374:$BI$3374,1,8-('01_Вводные'!$B$15+'01_Вводные'!$B$311)))*'01_Вводные'!$B$298*MAX(0,'01_Вводные'!$B$22-1)</f>
        <v/>
      </c>
      <c r="J3399">
        <f>IF(OR(9&lt;='01_Вводные'!$B$15,9-'01_Вводные'!$B$15&gt;60),0,INDEX('19_Расчет_аналитики'!$B$3374:$BI$3374,1,9-'01_Вводные'!$B$15))*'01_Вводные'!$B$298*MIN(1,'01_Вводные'!$B$22)+IF(OR(9&lt;=('01_Вводные'!$B$15+'01_Вводные'!$B$311),9-('01_Вводные'!$B$15+'01_Вводные'!$B$311)&gt;60),0,INDEX('19_Расчет_аналитики'!$B$3374:$BI$3374,1,9-('01_Вводные'!$B$15+'01_Вводные'!$B$311)))*'01_Вводные'!$B$298*MAX(0,'01_Вводные'!$B$22-1)</f>
        <v/>
      </c>
      <c r="K3399">
        <f>IF(OR(10&lt;='01_Вводные'!$B$15,10-'01_Вводные'!$B$15&gt;60),0,INDEX('19_Расчет_аналитики'!$B$3374:$BI$3374,1,10-'01_Вводные'!$B$15))*'01_Вводные'!$B$298*MIN(1,'01_Вводные'!$B$22)+IF(OR(10&lt;=('01_Вводные'!$B$15+'01_Вводные'!$B$311),10-('01_Вводные'!$B$15+'01_Вводные'!$B$311)&gt;60),0,INDEX('19_Расчет_аналитики'!$B$3374:$BI$3374,1,10-('01_Вводные'!$B$15+'01_Вводные'!$B$311)))*'01_Вводные'!$B$298*MAX(0,'01_Вводные'!$B$22-1)</f>
        <v/>
      </c>
      <c r="L3399">
        <f>IF(OR(11&lt;='01_Вводные'!$B$15,11-'01_Вводные'!$B$15&gt;60),0,INDEX('19_Расчет_аналитики'!$B$3374:$BI$3374,1,11-'01_Вводные'!$B$15))*'01_Вводные'!$B$298*MIN(1,'01_Вводные'!$B$22)+IF(OR(11&lt;=('01_Вводные'!$B$15+'01_Вводные'!$B$311),11-('01_Вводные'!$B$15+'01_Вводные'!$B$311)&gt;60),0,INDEX('19_Расчет_аналитики'!$B$3374:$BI$3374,1,11-('01_Вводные'!$B$15+'01_Вводные'!$B$311)))*'01_Вводные'!$B$298*MAX(0,'01_Вводные'!$B$22-1)</f>
        <v/>
      </c>
      <c r="M3399">
        <f>IF(OR(12&lt;='01_Вводные'!$B$15,12-'01_Вводные'!$B$15&gt;60),0,INDEX('19_Расчет_аналитики'!$B$3374:$BI$3374,1,12-'01_Вводные'!$B$15))*'01_Вводные'!$B$298*MIN(1,'01_Вводные'!$B$22)+IF(OR(12&lt;=('01_Вводные'!$B$15+'01_Вводные'!$B$311),12-('01_Вводные'!$B$15+'01_Вводные'!$B$311)&gt;60),0,INDEX('19_Расчет_аналитики'!$B$3374:$BI$3374,1,12-('01_Вводные'!$B$15+'01_Вводные'!$B$311)))*'01_Вводные'!$B$298*MAX(0,'01_Вводные'!$B$22-1)</f>
        <v/>
      </c>
      <c r="N3399">
        <f>IF(OR(13&lt;='01_Вводные'!$B$15,13-'01_Вводные'!$B$15&gt;60),0,INDEX('19_Расчет_аналитики'!$B$3374:$BI$3374,1,13-'01_Вводные'!$B$15))*'01_Вводные'!$B$298*MIN(1,'01_Вводные'!$B$22)+IF(OR(13&lt;=('01_Вводные'!$B$15+'01_Вводные'!$B$311),13-('01_Вводные'!$B$15+'01_Вводные'!$B$311)&gt;60),0,INDEX('19_Расчет_аналитики'!$B$3374:$BI$3374,1,13-('01_Вводные'!$B$15+'01_Вводные'!$B$311)))*'01_Вводные'!$B$298*MAX(0,'01_Вводные'!$B$22-1)</f>
        <v/>
      </c>
      <c r="O3399">
        <f>IF(OR(14&lt;='01_Вводные'!$B$15,14-'01_Вводные'!$B$15&gt;60),0,INDEX('19_Расчет_аналитики'!$B$3374:$BI$3374,1,14-'01_Вводные'!$B$15))*'01_Вводные'!$B$298*MIN(1,'01_Вводные'!$B$22)+IF(OR(14&lt;=('01_Вводные'!$B$15+'01_Вводные'!$B$311),14-('01_Вводные'!$B$15+'01_Вводные'!$B$311)&gt;60),0,INDEX('19_Расчет_аналитики'!$B$3374:$BI$3374,1,14-('01_Вводные'!$B$15+'01_Вводные'!$B$311)))*'01_Вводные'!$B$298*MAX(0,'01_Вводные'!$B$22-1)</f>
        <v/>
      </c>
      <c r="P3399">
        <f>IF(OR(15&lt;='01_Вводные'!$B$15,15-'01_Вводные'!$B$15&gt;60),0,INDEX('19_Расчет_аналитики'!$B$3374:$BI$3374,1,15-'01_Вводные'!$B$15))*'01_Вводные'!$B$298*MIN(1,'01_Вводные'!$B$22)+IF(OR(15&lt;=('01_Вводные'!$B$15+'01_Вводные'!$B$311),15-('01_Вводные'!$B$15+'01_Вводные'!$B$311)&gt;60),0,INDEX('19_Расчет_аналитики'!$B$3374:$BI$3374,1,15-('01_Вводные'!$B$15+'01_Вводные'!$B$311)))*'01_Вводные'!$B$298*MAX(0,'01_Вводные'!$B$22-1)</f>
        <v/>
      </c>
      <c r="Q3399">
        <f>IF(OR(16&lt;='01_Вводные'!$B$15,16-'01_Вводные'!$B$15&gt;60),0,INDEX('19_Расчет_аналитики'!$B$3374:$BI$3374,1,16-'01_Вводные'!$B$15))*'01_Вводные'!$B$298*MIN(1,'01_Вводные'!$B$22)+IF(OR(16&lt;=('01_Вводные'!$B$15+'01_Вводные'!$B$311),16-('01_Вводные'!$B$15+'01_Вводные'!$B$311)&gt;60),0,INDEX('19_Расчет_аналитики'!$B$3374:$BI$3374,1,16-('01_Вводные'!$B$15+'01_Вводные'!$B$311)))*'01_Вводные'!$B$298*MAX(0,'01_Вводные'!$B$22-1)</f>
        <v/>
      </c>
      <c r="R3399">
        <f>IF(OR(17&lt;='01_Вводные'!$B$15,17-'01_Вводные'!$B$15&gt;60),0,INDEX('19_Расчет_аналитики'!$B$3374:$BI$3374,1,17-'01_Вводные'!$B$15))*'01_Вводные'!$B$298*MIN(1,'01_Вводные'!$B$22)+IF(OR(17&lt;=('01_Вводные'!$B$15+'01_Вводные'!$B$311),17-('01_Вводные'!$B$15+'01_Вводные'!$B$311)&gt;60),0,INDEX('19_Расчет_аналитики'!$B$3374:$BI$3374,1,17-('01_Вводные'!$B$15+'01_Вводные'!$B$311)))*'01_Вводные'!$B$298*MAX(0,'01_Вводные'!$B$22-1)</f>
        <v/>
      </c>
      <c r="S3399">
        <f>IF(OR(18&lt;='01_Вводные'!$B$15,18-'01_Вводные'!$B$15&gt;60),0,INDEX('19_Расчет_аналитики'!$B$3374:$BI$3374,1,18-'01_Вводные'!$B$15))*'01_Вводные'!$B$298*MIN(1,'01_Вводные'!$B$22)+IF(OR(18&lt;=('01_Вводные'!$B$15+'01_Вводные'!$B$311),18-('01_Вводные'!$B$15+'01_Вводные'!$B$311)&gt;60),0,INDEX('19_Расчет_аналитики'!$B$3374:$BI$3374,1,18-('01_Вводные'!$B$15+'01_Вводные'!$B$311)))*'01_Вводные'!$B$298*MAX(0,'01_Вводные'!$B$22-1)</f>
        <v/>
      </c>
      <c r="T3399">
        <f>IF(OR(19&lt;='01_Вводные'!$B$15,19-'01_Вводные'!$B$15&gt;60),0,INDEX('19_Расчет_аналитики'!$B$3374:$BI$3374,1,19-'01_Вводные'!$B$15))*'01_Вводные'!$B$298*MIN(1,'01_Вводные'!$B$22)+IF(OR(19&lt;=('01_Вводные'!$B$15+'01_Вводные'!$B$311),19-('01_Вводные'!$B$15+'01_Вводные'!$B$311)&gt;60),0,INDEX('19_Расчет_аналитики'!$B$3374:$BI$3374,1,19-('01_Вводные'!$B$15+'01_Вводные'!$B$311)))*'01_Вводные'!$B$298*MAX(0,'01_Вводные'!$B$22-1)</f>
        <v/>
      </c>
      <c r="U3399">
        <f>IF(OR(20&lt;='01_Вводные'!$B$15,20-'01_Вводные'!$B$15&gt;60),0,INDEX('19_Расчет_аналитики'!$B$3374:$BI$3374,1,20-'01_Вводные'!$B$15))*'01_Вводные'!$B$298*MIN(1,'01_Вводные'!$B$22)+IF(OR(20&lt;=('01_Вводные'!$B$15+'01_Вводные'!$B$311),20-('01_Вводные'!$B$15+'01_Вводные'!$B$311)&gt;60),0,INDEX('19_Расчет_аналитики'!$B$3374:$BI$3374,1,20-('01_Вводные'!$B$15+'01_Вводные'!$B$311)))*'01_Вводные'!$B$298*MAX(0,'01_Вводные'!$B$22-1)</f>
        <v/>
      </c>
      <c r="V3399">
        <f>IF(OR(21&lt;='01_Вводные'!$B$15,21-'01_Вводные'!$B$15&gt;60),0,INDEX('19_Расчет_аналитики'!$B$3374:$BI$3374,1,21-'01_Вводные'!$B$15))*'01_Вводные'!$B$298*MIN(1,'01_Вводные'!$B$22)+IF(OR(21&lt;=('01_Вводные'!$B$15+'01_Вводные'!$B$311),21-('01_Вводные'!$B$15+'01_Вводные'!$B$311)&gt;60),0,INDEX('19_Расчет_аналитики'!$B$3374:$BI$3374,1,21-('01_Вводные'!$B$15+'01_Вводные'!$B$311)))*'01_Вводные'!$B$298*MAX(0,'01_Вводные'!$B$22-1)</f>
        <v/>
      </c>
      <c r="W3399">
        <f>IF(OR(22&lt;='01_Вводные'!$B$15,22-'01_Вводные'!$B$15&gt;60),0,INDEX('19_Расчет_аналитики'!$B$3374:$BI$3374,1,22-'01_Вводные'!$B$15))*'01_Вводные'!$B$298*MIN(1,'01_Вводные'!$B$22)+IF(OR(22&lt;=('01_Вводные'!$B$15+'01_Вводные'!$B$311),22-('01_Вводные'!$B$15+'01_Вводные'!$B$311)&gt;60),0,INDEX('19_Расчет_аналитики'!$B$3374:$BI$3374,1,22-('01_Вводные'!$B$15+'01_Вводные'!$B$311)))*'01_Вводные'!$B$298*MAX(0,'01_Вводные'!$B$22-1)</f>
        <v/>
      </c>
      <c r="X3399">
        <f>IF(OR(23&lt;='01_Вводные'!$B$15,23-'01_Вводные'!$B$15&gt;60),0,INDEX('19_Расчет_аналитики'!$B$3374:$BI$3374,1,23-'01_Вводные'!$B$15))*'01_Вводные'!$B$298*MIN(1,'01_Вводные'!$B$22)+IF(OR(23&lt;=('01_Вводные'!$B$15+'01_Вводные'!$B$311),23-('01_Вводные'!$B$15+'01_Вводные'!$B$311)&gt;60),0,INDEX('19_Расчет_аналитики'!$B$3374:$BI$3374,1,23-('01_Вводные'!$B$15+'01_Вводные'!$B$311)))*'01_Вводные'!$B$298*MAX(0,'01_Вводные'!$B$22-1)</f>
        <v/>
      </c>
      <c r="Y3399">
        <f>IF(OR(24&lt;='01_Вводные'!$B$15,24-'01_Вводные'!$B$15&gt;60),0,INDEX('19_Расчет_аналитики'!$B$3374:$BI$3374,1,24-'01_Вводные'!$B$15))*'01_Вводные'!$B$298*MIN(1,'01_Вводные'!$B$22)+IF(OR(24&lt;=('01_Вводные'!$B$15+'01_Вводные'!$B$311),24-('01_Вводные'!$B$15+'01_Вводные'!$B$311)&gt;60),0,INDEX('19_Расчет_аналитики'!$B$3374:$BI$3374,1,24-('01_Вводные'!$B$15+'01_Вводные'!$B$311)))*'01_Вводные'!$B$298*MAX(0,'01_Вводные'!$B$22-1)</f>
        <v/>
      </c>
      <c r="Z3399">
        <f>IF(OR(25&lt;='01_Вводные'!$B$15,25-'01_Вводные'!$B$15&gt;60),0,INDEX('19_Расчет_аналитики'!$B$3374:$BI$3374,1,25-'01_Вводные'!$B$15))*'01_Вводные'!$B$298*MIN(1,'01_Вводные'!$B$22)+IF(OR(25&lt;=('01_Вводные'!$B$15+'01_Вводные'!$B$311),25-('01_Вводные'!$B$15+'01_Вводные'!$B$311)&gt;60),0,INDEX('19_Расчет_аналитики'!$B$3374:$BI$3374,1,25-('01_Вводные'!$B$15+'01_Вводные'!$B$311)))*'01_Вводные'!$B$298*MAX(0,'01_Вводные'!$B$22-1)</f>
        <v/>
      </c>
      <c r="AA3399">
        <f>IF(OR(26&lt;='01_Вводные'!$B$15,26-'01_Вводные'!$B$15&gt;60),0,INDEX('19_Расчет_аналитики'!$B$3374:$BI$3374,1,26-'01_Вводные'!$B$15))*'01_Вводные'!$B$298*MIN(1,'01_Вводные'!$B$22)+IF(OR(26&lt;=('01_Вводные'!$B$15+'01_Вводные'!$B$311),26-('01_Вводные'!$B$15+'01_Вводные'!$B$311)&gt;60),0,INDEX('19_Расчет_аналитики'!$B$3374:$BI$3374,1,26-('01_Вводные'!$B$15+'01_Вводные'!$B$311)))*'01_Вводные'!$B$298*MAX(0,'01_Вводные'!$B$22-1)</f>
        <v/>
      </c>
      <c r="AB3399">
        <f>IF(OR(27&lt;='01_Вводные'!$B$15,27-'01_Вводные'!$B$15&gt;60),0,INDEX('19_Расчет_аналитики'!$B$3374:$BI$3374,1,27-'01_Вводные'!$B$15))*'01_Вводные'!$B$298*MIN(1,'01_Вводные'!$B$22)+IF(OR(27&lt;=('01_Вводные'!$B$15+'01_Вводные'!$B$311),27-('01_Вводные'!$B$15+'01_Вводные'!$B$311)&gt;60),0,INDEX('19_Расчет_аналитики'!$B$3374:$BI$3374,1,27-('01_Вводные'!$B$15+'01_Вводные'!$B$311)))*'01_Вводные'!$B$298*MAX(0,'01_Вводные'!$B$22-1)</f>
        <v/>
      </c>
      <c r="AC3399">
        <f>IF(OR(28&lt;='01_Вводные'!$B$15,28-'01_Вводные'!$B$15&gt;60),0,INDEX('19_Расчет_аналитики'!$B$3374:$BI$3374,1,28-'01_Вводные'!$B$15))*'01_Вводные'!$B$298*MIN(1,'01_Вводные'!$B$22)+IF(OR(28&lt;=('01_Вводные'!$B$15+'01_Вводные'!$B$311),28-('01_Вводные'!$B$15+'01_Вводные'!$B$311)&gt;60),0,INDEX('19_Расчет_аналитики'!$B$3374:$BI$3374,1,28-('01_Вводные'!$B$15+'01_Вводные'!$B$311)))*'01_Вводные'!$B$298*MAX(0,'01_Вводные'!$B$22-1)</f>
        <v/>
      </c>
      <c r="AD3399">
        <f>IF(OR(29&lt;='01_Вводные'!$B$15,29-'01_Вводные'!$B$15&gt;60),0,INDEX('19_Расчет_аналитики'!$B$3374:$BI$3374,1,29-'01_Вводные'!$B$15))*'01_Вводные'!$B$298*MIN(1,'01_Вводные'!$B$22)+IF(OR(29&lt;=('01_Вводные'!$B$15+'01_Вводные'!$B$311),29-('01_Вводные'!$B$15+'01_Вводные'!$B$311)&gt;60),0,INDEX('19_Расчет_аналитики'!$B$3374:$BI$3374,1,29-('01_Вводные'!$B$15+'01_Вводные'!$B$311)))*'01_Вводные'!$B$298*MAX(0,'01_Вводные'!$B$22-1)</f>
        <v/>
      </c>
      <c r="AE3399">
        <f>IF(OR(30&lt;='01_Вводные'!$B$15,30-'01_Вводные'!$B$15&gt;60),0,INDEX('19_Расчет_аналитики'!$B$3374:$BI$3374,1,30-'01_Вводные'!$B$15))*'01_Вводные'!$B$298*MIN(1,'01_Вводные'!$B$22)+IF(OR(30&lt;=('01_Вводные'!$B$15+'01_Вводные'!$B$311),30-('01_Вводные'!$B$15+'01_Вводные'!$B$311)&gt;60),0,INDEX('19_Расчет_аналитики'!$B$3374:$BI$3374,1,30-('01_Вводные'!$B$15+'01_Вводные'!$B$311)))*'01_Вводные'!$B$298*MAX(0,'01_Вводные'!$B$22-1)</f>
        <v/>
      </c>
      <c r="AF3399">
        <f>IF(OR(31&lt;='01_Вводные'!$B$15,31-'01_Вводные'!$B$15&gt;60),0,INDEX('19_Расчет_аналитики'!$B$3374:$BI$3374,1,31-'01_Вводные'!$B$15))*'01_Вводные'!$B$298*MIN(1,'01_Вводные'!$B$22)+IF(OR(31&lt;=('01_Вводные'!$B$15+'01_Вводные'!$B$311),31-('01_Вводные'!$B$15+'01_Вводные'!$B$311)&gt;60),0,INDEX('19_Расчет_аналитики'!$B$3374:$BI$3374,1,31-('01_Вводные'!$B$15+'01_Вводные'!$B$311)))*'01_Вводные'!$B$298*MAX(0,'01_Вводные'!$B$22-1)</f>
        <v/>
      </c>
      <c r="AG3399">
        <f>IF(OR(32&lt;='01_Вводные'!$B$15,32-'01_Вводные'!$B$15&gt;60),0,INDEX('19_Расчет_аналитики'!$B$3374:$BI$3374,1,32-'01_Вводные'!$B$15))*'01_Вводные'!$B$298*MIN(1,'01_Вводные'!$B$22)+IF(OR(32&lt;=('01_Вводные'!$B$15+'01_Вводные'!$B$311),32-('01_Вводные'!$B$15+'01_Вводные'!$B$311)&gt;60),0,INDEX('19_Расчет_аналитики'!$B$3374:$BI$3374,1,32-('01_Вводные'!$B$15+'01_Вводные'!$B$311)))*'01_Вводные'!$B$298*MAX(0,'01_Вводные'!$B$22-1)</f>
        <v/>
      </c>
      <c r="AH3399">
        <f>IF(OR(33&lt;='01_Вводные'!$B$15,33-'01_Вводные'!$B$15&gt;60),0,INDEX('19_Расчет_аналитики'!$B$3374:$BI$3374,1,33-'01_Вводные'!$B$15))*'01_Вводные'!$B$298*MIN(1,'01_Вводные'!$B$22)+IF(OR(33&lt;=('01_Вводные'!$B$15+'01_Вводные'!$B$311),33-('01_Вводные'!$B$15+'01_Вводные'!$B$311)&gt;60),0,INDEX('19_Расчет_аналитики'!$B$3374:$BI$3374,1,33-('01_Вводные'!$B$15+'01_Вводные'!$B$311)))*'01_Вводные'!$B$298*MAX(0,'01_Вводные'!$B$22-1)</f>
        <v/>
      </c>
      <c r="AI3399">
        <f>IF(OR(34&lt;='01_Вводные'!$B$15,34-'01_Вводные'!$B$15&gt;60),0,INDEX('19_Расчет_аналитики'!$B$3374:$BI$3374,1,34-'01_Вводные'!$B$15))*'01_Вводные'!$B$298*MIN(1,'01_Вводные'!$B$22)+IF(OR(34&lt;=('01_Вводные'!$B$15+'01_Вводные'!$B$311),34-('01_Вводные'!$B$15+'01_Вводные'!$B$311)&gt;60),0,INDEX('19_Расчет_аналитики'!$B$3374:$BI$3374,1,34-('01_Вводные'!$B$15+'01_Вводные'!$B$311)))*'01_Вводные'!$B$298*MAX(0,'01_Вводные'!$B$22-1)</f>
        <v/>
      </c>
      <c r="AJ3399">
        <f>IF(OR(35&lt;='01_Вводные'!$B$15,35-'01_Вводные'!$B$15&gt;60),0,INDEX('19_Расчет_аналитики'!$B$3374:$BI$3374,1,35-'01_Вводные'!$B$15))*'01_Вводные'!$B$298*MIN(1,'01_Вводные'!$B$22)+IF(OR(35&lt;=('01_Вводные'!$B$15+'01_Вводные'!$B$311),35-('01_Вводные'!$B$15+'01_Вводные'!$B$311)&gt;60),0,INDEX('19_Расчет_аналитики'!$B$3374:$BI$3374,1,35-('01_Вводные'!$B$15+'01_Вводные'!$B$311)))*'01_Вводные'!$B$298*MAX(0,'01_Вводные'!$B$22-1)</f>
        <v/>
      </c>
      <c r="AK3399">
        <f>IF(OR(36&lt;='01_Вводные'!$B$15,36-'01_Вводные'!$B$15&gt;60),0,INDEX('19_Расчет_аналитики'!$B$3374:$BI$3374,1,36-'01_Вводные'!$B$15))*'01_Вводные'!$B$298*MIN(1,'01_Вводные'!$B$22)+IF(OR(36&lt;=('01_Вводные'!$B$15+'01_Вводные'!$B$311),36-('01_Вводные'!$B$15+'01_Вводные'!$B$311)&gt;60),0,INDEX('19_Расчет_аналитики'!$B$3374:$BI$3374,1,36-('01_Вводные'!$B$15+'01_Вводные'!$B$311)))*'01_Вводные'!$B$298*MAX(0,'01_Вводные'!$B$22-1)</f>
        <v/>
      </c>
      <c r="AL3399">
        <f>IF(OR(37&lt;='01_Вводные'!$B$15,37-'01_Вводные'!$B$15&gt;60),0,INDEX('19_Расчет_аналитики'!$B$3374:$BI$3374,1,37-'01_Вводные'!$B$15))*'01_Вводные'!$B$298*MIN(1,'01_Вводные'!$B$22)+IF(OR(37&lt;=('01_Вводные'!$B$15+'01_Вводные'!$B$311),37-('01_Вводные'!$B$15+'01_Вводные'!$B$311)&gt;60),0,INDEX('19_Расчет_аналитики'!$B$3374:$BI$3374,1,37-('01_Вводные'!$B$15+'01_Вводные'!$B$311)))*'01_Вводные'!$B$298*MAX(0,'01_Вводные'!$B$22-1)</f>
        <v/>
      </c>
      <c r="AM3399">
        <f>IF(OR(38&lt;='01_Вводные'!$B$15,38-'01_Вводные'!$B$15&gt;60),0,INDEX('19_Расчет_аналитики'!$B$3374:$BI$3374,1,38-'01_Вводные'!$B$15))*'01_Вводные'!$B$298*MIN(1,'01_Вводные'!$B$22)+IF(OR(38&lt;=('01_Вводные'!$B$15+'01_Вводные'!$B$311),38-('01_Вводные'!$B$15+'01_Вводные'!$B$311)&gt;60),0,INDEX('19_Расчет_аналитики'!$B$3374:$BI$3374,1,38-('01_Вводные'!$B$15+'01_Вводные'!$B$311)))*'01_Вводные'!$B$298*MAX(0,'01_Вводные'!$B$22-1)</f>
        <v/>
      </c>
      <c r="AN3399">
        <f>IF(OR(39&lt;='01_Вводные'!$B$15,39-'01_Вводные'!$B$15&gt;60),0,INDEX('19_Расчет_аналитики'!$B$3374:$BI$3374,1,39-'01_Вводные'!$B$15))*'01_Вводные'!$B$298*MIN(1,'01_Вводные'!$B$22)+IF(OR(39&lt;=('01_Вводные'!$B$15+'01_Вводные'!$B$311),39-('01_Вводные'!$B$15+'01_Вводные'!$B$311)&gt;60),0,INDEX('19_Расчет_аналитики'!$B$3374:$BI$3374,1,39-('01_Вводные'!$B$15+'01_Вводные'!$B$311)))*'01_Вводные'!$B$298*MAX(0,'01_Вводные'!$B$22-1)</f>
        <v/>
      </c>
      <c r="AO3399">
        <f>IF(OR(40&lt;='01_Вводные'!$B$15,40-'01_Вводные'!$B$15&gt;60),0,INDEX('19_Расчет_аналитики'!$B$3374:$BI$3374,1,40-'01_Вводные'!$B$15))*'01_Вводные'!$B$298*MIN(1,'01_Вводные'!$B$22)+IF(OR(40&lt;=('01_Вводные'!$B$15+'01_Вводные'!$B$311),40-('01_Вводные'!$B$15+'01_Вводные'!$B$311)&gt;60),0,INDEX('19_Расчет_аналитики'!$B$3374:$BI$3374,1,40-('01_Вводные'!$B$15+'01_Вводные'!$B$311)))*'01_Вводные'!$B$298*MAX(0,'01_Вводные'!$B$22-1)</f>
        <v/>
      </c>
      <c r="AP3399">
        <f>IF(OR(41&lt;='01_Вводные'!$B$15,41-'01_Вводные'!$B$15&gt;60),0,INDEX('19_Расчет_аналитики'!$B$3374:$BI$3374,1,41-'01_Вводные'!$B$15))*'01_Вводные'!$B$298*MIN(1,'01_Вводные'!$B$22)+IF(OR(41&lt;=('01_Вводные'!$B$15+'01_Вводные'!$B$311),41-('01_Вводные'!$B$15+'01_Вводные'!$B$311)&gt;60),0,INDEX('19_Расчет_аналитики'!$B$3374:$BI$3374,1,41-('01_Вводные'!$B$15+'01_Вводные'!$B$311)))*'01_Вводные'!$B$298*MAX(0,'01_Вводные'!$B$22-1)</f>
        <v/>
      </c>
      <c r="AQ3399">
        <f>IF(OR(42&lt;='01_Вводные'!$B$15,42-'01_Вводные'!$B$15&gt;60),0,INDEX('19_Расчет_аналитики'!$B$3374:$BI$3374,1,42-'01_Вводные'!$B$15))*'01_Вводные'!$B$298*MIN(1,'01_Вводные'!$B$22)+IF(OR(42&lt;=('01_Вводные'!$B$15+'01_Вводные'!$B$311),42-('01_Вводные'!$B$15+'01_Вводные'!$B$311)&gt;60),0,INDEX('19_Расчет_аналитики'!$B$3374:$BI$3374,1,42-('01_Вводные'!$B$15+'01_Вводные'!$B$311)))*'01_Вводные'!$B$298*MAX(0,'01_Вводные'!$B$22-1)</f>
        <v/>
      </c>
      <c r="AR3399">
        <f>IF(OR(43&lt;='01_Вводные'!$B$15,43-'01_Вводные'!$B$15&gt;60),0,INDEX('19_Расчет_аналитики'!$B$3374:$BI$3374,1,43-'01_Вводные'!$B$15))*'01_Вводные'!$B$298*MIN(1,'01_Вводные'!$B$22)+IF(OR(43&lt;=('01_Вводные'!$B$15+'01_Вводные'!$B$311),43-('01_Вводные'!$B$15+'01_Вводные'!$B$311)&gt;60),0,INDEX('19_Расчет_аналитики'!$B$3374:$BI$3374,1,43-('01_Вводные'!$B$15+'01_Вводные'!$B$311)))*'01_Вводные'!$B$298*MAX(0,'01_Вводные'!$B$22-1)</f>
        <v/>
      </c>
      <c r="AS3399">
        <f>IF(OR(44&lt;='01_Вводные'!$B$15,44-'01_Вводные'!$B$15&gt;60),0,INDEX('19_Расчет_аналитики'!$B$3374:$BI$3374,1,44-'01_Вводные'!$B$15))*'01_Вводные'!$B$298*MIN(1,'01_Вводные'!$B$22)+IF(OR(44&lt;=('01_Вводные'!$B$15+'01_Вводные'!$B$311),44-('01_Вводные'!$B$15+'01_Вводные'!$B$311)&gt;60),0,INDEX('19_Расчет_аналитики'!$B$3374:$BI$3374,1,44-('01_Вводные'!$B$15+'01_Вводные'!$B$311)))*'01_Вводные'!$B$298*MAX(0,'01_Вводные'!$B$22-1)</f>
        <v/>
      </c>
      <c r="AT3399">
        <f>IF(OR(45&lt;='01_Вводные'!$B$15,45-'01_Вводные'!$B$15&gt;60),0,INDEX('19_Расчет_аналитики'!$B$3374:$BI$3374,1,45-'01_Вводные'!$B$15))*'01_Вводные'!$B$298*MIN(1,'01_Вводные'!$B$22)+IF(OR(45&lt;=('01_Вводные'!$B$15+'01_Вводные'!$B$311),45-('01_Вводные'!$B$15+'01_Вводные'!$B$311)&gt;60),0,INDEX('19_Расчет_аналитики'!$B$3374:$BI$3374,1,45-('01_Вводные'!$B$15+'01_Вводные'!$B$311)))*'01_Вводные'!$B$298*MAX(0,'01_Вводные'!$B$22-1)</f>
        <v/>
      </c>
      <c r="AU3399">
        <f>IF(OR(46&lt;='01_Вводные'!$B$15,46-'01_Вводные'!$B$15&gt;60),0,INDEX('19_Расчет_аналитики'!$B$3374:$BI$3374,1,46-'01_Вводные'!$B$15))*'01_Вводные'!$B$298*MIN(1,'01_Вводные'!$B$22)+IF(OR(46&lt;=('01_Вводные'!$B$15+'01_Вводные'!$B$311),46-('01_Вводные'!$B$15+'01_Вводные'!$B$311)&gt;60),0,INDEX('19_Расчет_аналитики'!$B$3374:$BI$3374,1,46-('01_Вводные'!$B$15+'01_Вводные'!$B$311)))*'01_Вводные'!$B$298*MAX(0,'01_Вводные'!$B$22-1)</f>
        <v/>
      </c>
      <c r="AV3399">
        <f>IF(OR(47&lt;='01_Вводные'!$B$15,47-'01_Вводные'!$B$15&gt;60),0,INDEX('19_Расчет_аналитики'!$B$3374:$BI$3374,1,47-'01_Вводные'!$B$15))*'01_Вводные'!$B$298*MIN(1,'01_Вводные'!$B$22)+IF(OR(47&lt;=('01_Вводные'!$B$15+'01_Вводные'!$B$311),47-('01_Вводные'!$B$15+'01_Вводные'!$B$311)&gt;60),0,INDEX('19_Расчет_аналитики'!$B$3374:$BI$3374,1,47-('01_Вводные'!$B$15+'01_Вводные'!$B$311)))*'01_Вводные'!$B$298*MAX(0,'01_Вводные'!$B$22-1)</f>
        <v/>
      </c>
      <c r="AW3399">
        <f>IF(OR(48&lt;='01_Вводные'!$B$15,48-'01_Вводные'!$B$15&gt;60),0,INDEX('19_Расчет_аналитики'!$B$3374:$BI$3374,1,48-'01_Вводные'!$B$15))*'01_Вводные'!$B$298*MIN(1,'01_Вводные'!$B$22)+IF(OR(48&lt;=('01_Вводные'!$B$15+'01_Вводные'!$B$311),48-('01_Вводные'!$B$15+'01_Вводные'!$B$311)&gt;60),0,INDEX('19_Расчет_аналитики'!$B$3374:$BI$3374,1,48-('01_Вводные'!$B$15+'01_Вводные'!$B$311)))*'01_Вводные'!$B$298*MAX(0,'01_Вводные'!$B$22-1)</f>
        <v/>
      </c>
      <c r="AX3399">
        <f>IF(OR(49&lt;='01_Вводные'!$B$15,49-'01_Вводные'!$B$15&gt;60),0,INDEX('19_Расчет_аналитики'!$B$3374:$BI$3374,1,49-'01_Вводные'!$B$15))*'01_Вводные'!$B$298*MIN(1,'01_Вводные'!$B$22)+IF(OR(49&lt;=('01_Вводные'!$B$15+'01_Вводные'!$B$311),49-('01_Вводные'!$B$15+'01_Вводные'!$B$311)&gt;60),0,INDEX('19_Расчет_аналитики'!$B$3374:$BI$3374,1,49-('01_Вводные'!$B$15+'01_Вводные'!$B$311)))*'01_Вводные'!$B$298*MAX(0,'01_Вводные'!$B$22-1)</f>
        <v/>
      </c>
      <c r="AY3399">
        <f>IF(OR(50&lt;='01_Вводные'!$B$15,50-'01_Вводные'!$B$15&gt;60),0,INDEX('19_Расчет_аналитики'!$B$3374:$BI$3374,1,50-'01_Вводные'!$B$15))*'01_Вводные'!$B$298*MIN(1,'01_Вводные'!$B$22)+IF(OR(50&lt;=('01_Вводные'!$B$15+'01_Вводные'!$B$311),50-('01_Вводные'!$B$15+'01_Вводные'!$B$311)&gt;60),0,INDEX('19_Расчет_аналитики'!$B$3374:$BI$3374,1,50-('01_Вводные'!$B$15+'01_Вводные'!$B$311)))*'01_Вводные'!$B$298*MAX(0,'01_Вводные'!$B$22-1)</f>
        <v/>
      </c>
      <c r="AZ3399">
        <f>IF(OR(51&lt;='01_Вводные'!$B$15,51-'01_Вводные'!$B$15&gt;60),0,INDEX('19_Расчет_аналитики'!$B$3374:$BI$3374,1,51-'01_Вводные'!$B$15))*'01_Вводные'!$B$298*MIN(1,'01_Вводные'!$B$22)+IF(OR(51&lt;=('01_Вводные'!$B$15+'01_Вводные'!$B$311),51-('01_Вводные'!$B$15+'01_Вводные'!$B$311)&gt;60),0,INDEX('19_Расчет_аналитики'!$B$3374:$BI$3374,1,51-('01_Вводные'!$B$15+'01_Вводные'!$B$311)))*'01_Вводные'!$B$298*MAX(0,'01_Вводные'!$B$22-1)</f>
        <v/>
      </c>
      <c r="BA3399">
        <f>IF(OR(52&lt;='01_Вводные'!$B$15,52-'01_Вводные'!$B$15&gt;60),0,INDEX('19_Расчет_аналитики'!$B$3374:$BI$3374,1,52-'01_Вводные'!$B$15))*'01_Вводные'!$B$298*MIN(1,'01_Вводные'!$B$22)+IF(OR(52&lt;=('01_Вводные'!$B$15+'01_Вводные'!$B$311),52-('01_Вводные'!$B$15+'01_Вводные'!$B$311)&gt;60),0,INDEX('19_Расчет_аналитики'!$B$3374:$BI$3374,1,52-('01_Вводные'!$B$15+'01_Вводные'!$B$311)))*'01_Вводные'!$B$298*MAX(0,'01_Вводные'!$B$22-1)</f>
        <v/>
      </c>
      <c r="BB3399">
        <f>IF(OR(53&lt;='01_Вводные'!$B$15,53-'01_Вводные'!$B$15&gt;60),0,INDEX('19_Расчет_аналитики'!$B$3374:$BI$3374,1,53-'01_Вводные'!$B$15))*'01_Вводные'!$B$298*MIN(1,'01_Вводные'!$B$22)+IF(OR(53&lt;=('01_Вводные'!$B$15+'01_Вводные'!$B$311),53-('01_Вводные'!$B$15+'01_Вводные'!$B$311)&gt;60),0,INDEX('19_Расчет_аналитики'!$B$3374:$BI$3374,1,53-('01_Вводные'!$B$15+'01_Вводные'!$B$311)))*'01_Вводные'!$B$298*MAX(0,'01_Вводные'!$B$22-1)</f>
        <v/>
      </c>
      <c r="BC3399">
        <f>IF(OR(54&lt;='01_Вводные'!$B$15,54-'01_Вводные'!$B$15&gt;60),0,INDEX('19_Расчет_аналитики'!$B$3374:$BI$3374,1,54-'01_Вводные'!$B$15))*'01_Вводные'!$B$298*MIN(1,'01_Вводные'!$B$22)+IF(OR(54&lt;=('01_Вводные'!$B$15+'01_Вводные'!$B$311),54-('01_Вводные'!$B$15+'01_Вводные'!$B$311)&gt;60),0,INDEX('19_Расчет_аналитики'!$B$3374:$BI$3374,1,54-('01_Вводные'!$B$15+'01_Вводные'!$B$311)))*'01_Вводные'!$B$298*MAX(0,'01_Вводные'!$B$22-1)</f>
        <v/>
      </c>
      <c r="BD3399">
        <f>IF(OR(55&lt;='01_Вводные'!$B$15,55-'01_Вводные'!$B$15&gt;60),0,INDEX('19_Расчет_аналитики'!$B$3374:$BI$3374,1,55-'01_Вводные'!$B$15))*'01_Вводные'!$B$298*MIN(1,'01_Вводные'!$B$22)+IF(OR(55&lt;=('01_Вводные'!$B$15+'01_Вводные'!$B$311),55-('01_Вводные'!$B$15+'01_Вводные'!$B$311)&gt;60),0,INDEX('19_Расчет_аналитики'!$B$3374:$BI$3374,1,55-('01_Вводные'!$B$15+'01_Вводные'!$B$311)))*'01_Вводные'!$B$298*MAX(0,'01_Вводные'!$B$22-1)</f>
        <v/>
      </c>
      <c r="BE3399">
        <f>IF(OR(56&lt;='01_Вводные'!$B$15,56-'01_Вводные'!$B$15&gt;60),0,INDEX('19_Расчет_аналитики'!$B$3374:$BI$3374,1,56-'01_Вводные'!$B$15))*'01_Вводные'!$B$298*MIN(1,'01_Вводные'!$B$22)+IF(OR(56&lt;=('01_Вводные'!$B$15+'01_Вводные'!$B$311),56-('01_Вводные'!$B$15+'01_Вводные'!$B$311)&gt;60),0,INDEX('19_Расчет_аналитики'!$B$3374:$BI$3374,1,56-('01_Вводные'!$B$15+'01_Вводные'!$B$311)))*'01_Вводные'!$B$298*MAX(0,'01_Вводные'!$B$22-1)</f>
        <v/>
      </c>
      <c r="BF3399">
        <f>IF(OR(57&lt;='01_Вводные'!$B$15,57-'01_Вводные'!$B$15&gt;60),0,INDEX('19_Расчет_аналитики'!$B$3374:$BI$3374,1,57-'01_Вводные'!$B$15))*'01_Вводные'!$B$298*MIN(1,'01_Вводные'!$B$22)+IF(OR(57&lt;=('01_Вводные'!$B$15+'01_Вводные'!$B$311),57-('01_Вводные'!$B$15+'01_Вводные'!$B$311)&gt;60),0,INDEX('19_Расчет_аналитики'!$B$3374:$BI$3374,1,57-('01_Вводные'!$B$15+'01_Вводные'!$B$311)))*'01_Вводные'!$B$298*MAX(0,'01_Вводные'!$B$22-1)</f>
        <v/>
      </c>
      <c r="BG3399">
        <f>IF(OR(58&lt;='01_Вводные'!$B$15,58-'01_Вводные'!$B$15&gt;60),0,INDEX('19_Расчет_аналитики'!$B$3374:$BI$3374,1,58-'01_Вводные'!$B$15))*'01_Вводные'!$B$298*MIN(1,'01_Вводные'!$B$22)+IF(OR(58&lt;=('01_Вводные'!$B$15+'01_Вводные'!$B$311),58-('01_Вводные'!$B$15+'01_Вводные'!$B$311)&gt;60),0,INDEX('19_Расчет_аналитики'!$B$3374:$BI$3374,1,58-('01_Вводные'!$B$15+'01_Вводные'!$B$311)))*'01_Вводные'!$B$298*MAX(0,'01_Вводные'!$B$22-1)</f>
        <v/>
      </c>
      <c r="BH3399">
        <f>IF(OR(59&lt;='01_Вводные'!$B$15,59-'01_Вводные'!$B$15&gt;60),0,INDEX('19_Расчет_аналитики'!$B$3374:$BI$3374,1,59-'01_Вводные'!$B$15))*'01_Вводные'!$B$298*MIN(1,'01_Вводные'!$B$22)+IF(OR(59&lt;=('01_Вводные'!$B$15+'01_Вводные'!$B$311),59-('01_Вводные'!$B$15+'01_Вводные'!$B$311)&gt;60),0,INDEX('19_Расчет_аналитики'!$B$3374:$BI$3374,1,59-('01_Вводные'!$B$15+'01_Вводные'!$B$311)))*'01_Вводные'!$B$298*MAX(0,'01_Вводные'!$B$22-1)</f>
        <v/>
      </c>
      <c r="BI3399">
        <f>IF(OR(60&lt;='01_Вводные'!$B$15,60-'01_Вводные'!$B$15&gt;60),0,INDEX('19_Расчет_аналитики'!$B$3374:$BI$3374,1,60-'01_Вводные'!$B$15))*'01_Вводные'!$B$298*MIN(1,'01_Вводные'!$B$22)+IF(OR(60&lt;=('01_Вводные'!$B$15+'01_Вводные'!$B$311),60-('01_Вводные'!$B$15+'01_Вводные'!$B$311)&gt;60),0,INDEX('19_Расчет_аналитики'!$B$3374:$BI$3374,1,60-('01_Вводные'!$B$15+'01_Вводные'!$B$311)))*'01_Вводные'!$B$298*MAX(0,'01_Вводные'!$B$22-1)</f>
        <v/>
      </c>
      <c r="BJ3399">
        <f>IF(OR(61&lt;='01_Вводные'!$B$15,61-'01_Вводные'!$B$15&gt;60),0,INDEX('19_Расчет_аналитики'!$B$3374:$BI$3374,1,61-'01_Вводные'!$B$15))*'01_Вводные'!$B$298*MIN(1,'01_Вводные'!$B$22)+IF(OR(61&lt;=('01_Вводные'!$B$15+'01_Вводные'!$B$311),61-('01_Вводные'!$B$15+'01_Вводные'!$B$311)&gt;60),0,INDEX('19_Расчет_аналитики'!$B$3374:$BI$3374,1,61-('01_Вводные'!$B$15+'01_Вводные'!$B$311)))*'01_Вводные'!$B$298*MAX(0,'01_Вводные'!$B$22-1)</f>
        <v/>
      </c>
      <c r="BK3399">
        <f>IF(OR(62&lt;='01_Вводные'!$B$15,62-'01_Вводные'!$B$15&gt;60),0,INDEX('19_Расчет_аналитики'!$B$3374:$BI$3374,1,62-'01_Вводные'!$B$15))*'01_Вводные'!$B$298*MIN(1,'01_Вводные'!$B$22)+IF(OR(62&lt;=('01_Вводные'!$B$15+'01_Вводные'!$B$311),62-('01_Вводные'!$B$15+'01_Вводные'!$B$311)&gt;60),0,INDEX('19_Расчет_аналитики'!$B$3374:$BI$3374,1,62-('01_Вводные'!$B$15+'01_Вводные'!$B$311)))*'01_Вводные'!$B$298*MAX(0,'01_Вводные'!$B$22-1)</f>
        <v/>
      </c>
      <c r="BL3399">
        <f>IF(OR(63&lt;='01_Вводные'!$B$15,63-'01_Вводные'!$B$15&gt;60),0,INDEX('19_Расчет_аналитики'!$B$3374:$BI$3374,1,63-'01_Вводные'!$B$15))*'01_Вводные'!$B$298*MIN(1,'01_Вводные'!$B$22)+IF(OR(63&lt;=('01_Вводные'!$B$15+'01_Вводные'!$B$311),63-('01_Вводные'!$B$15+'01_Вводные'!$B$311)&gt;60),0,INDEX('19_Расчет_аналитики'!$B$3374:$BI$3374,1,63-('01_Вводные'!$B$15+'01_Вводные'!$B$311)))*'01_Вводные'!$B$298*MAX(0,'01_Вводные'!$B$22-1)</f>
        <v/>
      </c>
      <c r="BM3399">
        <f>IF(OR(64&lt;='01_Вводные'!$B$15,64-'01_Вводные'!$B$15&gt;60),0,INDEX('19_Расчет_аналитики'!$B$3374:$BI$3374,1,64-'01_Вводные'!$B$15))*'01_Вводные'!$B$298*MIN(1,'01_Вводные'!$B$22)+IF(OR(64&lt;=('01_Вводные'!$B$15+'01_Вводные'!$B$311),64-('01_Вводные'!$B$15+'01_Вводные'!$B$311)&gt;60),0,INDEX('19_Расчет_аналитики'!$B$3374:$BI$3374,1,64-('01_Вводные'!$B$15+'01_Вводные'!$B$311)))*'01_Вводные'!$B$298*MAX(0,'01_Вводные'!$B$22-1)</f>
        <v/>
      </c>
      <c r="BN3399">
        <f>IF(OR(65&lt;='01_Вводные'!$B$15,65-'01_Вводные'!$B$15&gt;60),0,INDEX('19_Расчет_аналитики'!$B$3374:$BI$3374,1,65-'01_Вводные'!$B$15))*'01_Вводные'!$B$298*MIN(1,'01_Вводные'!$B$22)+IF(OR(65&lt;=('01_Вводные'!$B$15+'01_Вводные'!$B$311),65-('01_Вводные'!$B$15+'01_Вводные'!$B$311)&gt;60),0,INDEX('19_Расчет_аналитики'!$B$3374:$BI$3374,1,65-('01_Вводные'!$B$15+'01_Вводные'!$B$311)))*'01_Вводные'!$B$298*MAX(0,'01_Вводные'!$B$22-1)</f>
        <v/>
      </c>
      <c r="BO3399">
        <f>IF(OR(66&lt;='01_Вводные'!$B$15,66-'01_Вводные'!$B$15&gt;60),0,INDEX('19_Расчет_аналитики'!$B$3374:$BI$3374,1,66-'01_Вводные'!$B$15))*'01_Вводные'!$B$298*MIN(1,'01_Вводные'!$B$22)+IF(OR(66&lt;=('01_Вводные'!$B$15+'01_Вводные'!$B$311),66-('01_Вводные'!$B$15+'01_Вводные'!$B$311)&gt;60),0,INDEX('19_Расчет_аналитики'!$B$3374:$BI$3374,1,66-('01_Вводные'!$B$15+'01_Вводные'!$B$311)))*'01_Вводные'!$B$298*MAX(0,'01_Вводные'!$B$22-1)</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SUMPRODUCT(('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2),0)</f>
        <v/>
      </c>
      <c r="C3419">
        <f>IF('01_Вводные'!$B$234="Да",SUMPRODUCT(('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2),0)</f>
        <v/>
      </c>
      <c r="D3419">
        <f>IF('01_Вводные'!$B$234="Да",SUMPRODUCT(('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2),0)</f>
        <v/>
      </c>
      <c r="E3419">
        <f>IF('01_Вводные'!$B$234="Да",SUMPRODUCT(('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2),0)</f>
        <v/>
      </c>
      <c r="F3419">
        <f>IF('01_Вводные'!$B$234="Да",SUMPRODUCT(('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2),0)</f>
        <v/>
      </c>
      <c r="G3419">
        <f>IF('01_Вводные'!$B$234="Да",SUMPRODUCT(('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2),0)</f>
        <v/>
      </c>
      <c r="H3419">
        <f>IF('01_Вводные'!$B$234="Да",SUMPRODUCT(('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2),0)</f>
        <v/>
      </c>
      <c r="I3419">
        <f>IF('01_Вводные'!$B$234="Да",SUMPRODUCT(('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2),0)</f>
        <v/>
      </c>
      <c r="J3419">
        <f>IF('01_Вводные'!$B$234="Да",SUMPRODUCT(('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2),0)</f>
        <v/>
      </c>
      <c r="K3419">
        <f>IF('01_Вводные'!$B$234="Да",SUMPRODUCT(('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2),0)</f>
        <v/>
      </c>
      <c r="L3419">
        <f>IF('01_Вводные'!$B$234="Да",SUMPRODUCT(('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2),0)</f>
        <v/>
      </c>
      <c r="M3419">
        <f>IF('01_Вводные'!$B$234="Да",SUMPRODUCT(('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2),0)</f>
        <v/>
      </c>
      <c r="N3419">
        <f>IF('01_Вводные'!$B$234="Да",SUMPRODUCT(('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2),0)</f>
        <v/>
      </c>
      <c r="O3419">
        <f>IF('01_Вводные'!$B$234="Да",SUMPRODUCT(('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2),0)</f>
        <v/>
      </c>
      <c r="P3419">
        <f>IF('01_Вводные'!$B$234="Да",SUMPRODUCT(('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2),0)</f>
        <v/>
      </c>
      <c r="Q3419">
        <f>IF('01_Вводные'!$B$234="Да",SUMPRODUCT(('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2),0)</f>
        <v/>
      </c>
      <c r="R3419">
        <f>IF('01_Вводные'!$B$234="Да",SUMPRODUCT(('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2),0)</f>
        <v/>
      </c>
      <c r="S3419">
        <f>IF('01_Вводные'!$B$234="Да",SUMPRODUCT(('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2),0)</f>
        <v/>
      </c>
      <c r="T3419">
        <f>IF('01_Вводные'!$B$234="Да",SUMPRODUCT(('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2),0)</f>
        <v/>
      </c>
      <c r="U3419">
        <f>IF('01_Вводные'!$B$234="Да",SUMPRODUCT(('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2),0)</f>
        <v/>
      </c>
      <c r="V3419">
        <f>IF('01_Вводные'!$B$234="Да",SUMPRODUCT(('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2),0)</f>
        <v/>
      </c>
      <c r="W3419">
        <f>IF('01_Вводные'!$B$234="Да",SUMPRODUCT(('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2),0)</f>
        <v/>
      </c>
      <c r="X3419">
        <f>IF('01_Вводные'!$B$234="Да",SUMPRODUCT(('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2),0)</f>
        <v/>
      </c>
      <c r="Y3419">
        <f>IF('01_Вводные'!$B$234="Да",SUMPRODUCT(('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2),0)</f>
        <v/>
      </c>
      <c r="Z3419">
        <f>IF('01_Вводные'!$B$234="Да",SUMPRODUCT(('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2),0)</f>
        <v/>
      </c>
      <c r="AA3419">
        <f>IF('01_Вводные'!$B$234="Да",SUMPRODUCT(('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2),0)</f>
        <v/>
      </c>
      <c r="AB3419">
        <f>IF('01_Вводные'!$B$234="Да",SUMPRODUCT(('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2),0)</f>
        <v/>
      </c>
      <c r="AC3419">
        <f>IF('01_Вводные'!$B$234="Да",SUMPRODUCT(('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2),0)</f>
        <v/>
      </c>
      <c r="AD3419">
        <f>IF('01_Вводные'!$B$234="Да",SUMPRODUCT(('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2),0)</f>
        <v/>
      </c>
      <c r="AE3419">
        <f>IF('01_Вводные'!$B$234="Да",SUMPRODUCT(('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2),0)</f>
        <v/>
      </c>
      <c r="AF3419">
        <f>IF('01_Вводные'!$B$234="Да",SUMPRODUCT(('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2),0)</f>
        <v/>
      </c>
      <c r="AG3419">
        <f>IF('01_Вводные'!$B$234="Да",SUMPRODUCT(('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2),0)</f>
        <v/>
      </c>
      <c r="AH3419">
        <f>IF('01_Вводные'!$B$234="Да",SUMPRODUCT(('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2),0)</f>
        <v/>
      </c>
      <c r="AI3419">
        <f>IF('01_Вводные'!$B$234="Да",SUMPRODUCT(('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2),0)</f>
        <v/>
      </c>
      <c r="AJ3419">
        <f>IF('01_Вводные'!$B$234="Да",SUMPRODUCT(('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2),0)</f>
        <v/>
      </c>
      <c r="AK3419">
        <f>IF('01_Вводные'!$B$234="Да",SUMPRODUCT(('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2),0)</f>
        <v/>
      </c>
      <c r="AL3419">
        <f>IF('01_Вводные'!$B$234="Да",SUMPRODUCT(('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2),0)</f>
        <v/>
      </c>
      <c r="AM3419">
        <f>IF('01_Вводные'!$B$234="Да",SUMPRODUCT(('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2),0)</f>
        <v/>
      </c>
      <c r="AN3419">
        <f>IF('01_Вводные'!$B$234="Да",SUMPRODUCT(('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2),0)</f>
        <v/>
      </c>
      <c r="AO3419">
        <f>IF('01_Вводные'!$B$234="Да",SUMPRODUCT(('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2),0)</f>
        <v/>
      </c>
      <c r="AP3419">
        <f>IF('01_Вводные'!$B$234="Да",SUMPRODUCT(('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2),0)</f>
        <v/>
      </c>
      <c r="AQ3419">
        <f>IF('01_Вводные'!$B$234="Да",SUMPRODUCT(('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2),0)</f>
        <v/>
      </c>
      <c r="AR3419">
        <f>IF('01_Вводные'!$B$234="Да",SUMPRODUCT(('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2),0)</f>
        <v/>
      </c>
      <c r="AS3419">
        <f>IF('01_Вводные'!$B$234="Да",SUMPRODUCT(('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2),0)</f>
        <v/>
      </c>
      <c r="AT3419">
        <f>IF('01_Вводные'!$B$234="Да",SUMPRODUCT(('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2),0)</f>
        <v/>
      </c>
      <c r="AU3419">
        <f>IF('01_Вводные'!$B$234="Да",SUMPRODUCT(('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2),0)</f>
        <v/>
      </c>
      <c r="AV3419">
        <f>IF('01_Вводные'!$B$234="Да",SUMPRODUCT(('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2),0)</f>
        <v/>
      </c>
      <c r="AW3419">
        <f>IF('01_Вводные'!$B$234="Да",SUMPRODUCT(('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2),0)</f>
        <v/>
      </c>
      <c r="AX3419">
        <f>IF('01_Вводные'!$B$234="Да",SUMPRODUCT(('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2),0)</f>
        <v/>
      </c>
      <c r="AY3419">
        <f>IF('01_Вводные'!$B$234="Да",SUMPRODUCT(('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2),0)</f>
        <v/>
      </c>
      <c r="AZ3419">
        <f>IF('01_Вводные'!$B$234="Да",SUMPRODUCT(('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2),0)</f>
        <v/>
      </c>
      <c r="BA3419">
        <f>IF('01_Вводные'!$B$234="Да",SUMPRODUCT(('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2),0)</f>
        <v/>
      </c>
      <c r="BB3419">
        <f>IF('01_Вводные'!$B$234="Да",SUMPRODUCT(('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2),0)</f>
        <v/>
      </c>
      <c r="BC3419">
        <f>IF('01_Вводные'!$B$234="Да",SUMPRODUCT(('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2),0)</f>
        <v/>
      </c>
      <c r="BD3419">
        <f>IF('01_Вводные'!$B$234="Да",SUMPRODUCT(('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2),0)</f>
        <v/>
      </c>
      <c r="BE3419">
        <f>IF('01_Вводные'!$B$234="Да",SUMPRODUCT(('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2),0)</f>
        <v/>
      </c>
      <c r="BF3419">
        <f>IF('01_Вводные'!$B$234="Да",SUMPRODUCT(('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2),0)</f>
        <v/>
      </c>
      <c r="BG3419">
        <f>IF('01_Вводные'!$B$234="Да",SUMPRODUCT(('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2),0)</f>
        <v/>
      </c>
      <c r="BH3419">
        <f>IF('01_Вводные'!$B$234="Да",SUMPRODUCT(('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2),0)</f>
        <v/>
      </c>
      <c r="BI3419">
        <f>IF('01_Вводные'!$B$234="Да",SUMPRODUCT(('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2),0)</f>
        <v/>
      </c>
      <c r="BJ3419">
        <f>IF('01_Вводные'!$B$234="Да",SUMPRODUCT(('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2),0)</f>
        <v/>
      </c>
      <c r="BK3419">
        <f>IF('01_Вводные'!$B$234="Да",SUMPRODUCT(('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2),0)</f>
        <v/>
      </c>
      <c r="BL3419">
        <f>IF('01_Вводные'!$B$234="Да",SUMPRODUCT(('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2),0)</f>
        <v/>
      </c>
      <c r="BM3419">
        <f>IF('01_Вводные'!$B$234="Да",SUMPRODUCT(('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2),0)</f>
        <v/>
      </c>
      <c r="BN3419">
        <f>IF('01_Вводные'!$B$234="Да",SUMPRODUCT(('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2),0)</f>
        <v/>
      </c>
      <c r="BO3419">
        <f>IF('01_Вводные'!$B$234="Да",SUMPRODUCT(('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f>
        <v/>
      </c>
      <c r="C4386">
        <f>IF('01_Вводные'!$B$234="Да",'19_Расчет_аналитики'!$B$4096*INDEX('01_Вводные'!$C$36:$N$36,1,MOD(MONTH('06_Сеть_и_дети'!C$3)-9,12)+1)/(SUM('01_Вводные'!$C$36:$N$36)-INDEX('01_Вводные'!$C$36:$N$36,1,MOD(MONTH('01_Вводные'!$B$7)-9,12)+1)),0)</f>
        <v/>
      </c>
      <c r="D4386">
        <f>IF('01_Вводные'!$B$234="Да",'19_Расчет_аналитики'!$B$4096*INDEX('01_Вводные'!$C$36:$N$36,1,MOD(MONTH('06_Сеть_и_дети'!D$3)-9,12)+1)/(SUM('01_Вводные'!$C$36:$N$36)-INDEX('01_Вводные'!$C$36:$N$36,1,MOD(MONTH('01_Вводные'!$B$7)-9,12)+1)),0)</f>
        <v/>
      </c>
      <c r="E4386">
        <f>IF('01_Вводные'!$B$234="Да",'19_Расчет_аналитики'!$B$4096*INDEX('01_Вводные'!$C$36:$N$36,1,MOD(MONTH('06_Сеть_и_дети'!E$3)-9,12)+1)/(SUM('01_Вводные'!$C$36:$N$36)-INDEX('01_Вводные'!$C$36:$N$36,1,MOD(MONTH('01_Вводные'!$B$7)-9,12)+1)),0)</f>
        <v/>
      </c>
      <c r="F4386">
        <f>IF('01_Вводные'!$B$234="Да",'19_Расчет_аналитики'!$B$4096*INDEX('01_Вводные'!$C$36:$N$36,1,MOD(MONTH('06_Сеть_и_дети'!F$3)-9,12)+1)/(SUM('01_Вводные'!$C$36:$N$36)-INDEX('01_Вводные'!$C$36:$N$36,1,MOD(MONTH('01_Вводные'!$B$7)-9,12)+1)),0)</f>
        <v/>
      </c>
      <c r="G4386">
        <f>IF('01_Вводные'!$B$234="Да",'19_Расчет_аналитики'!$B$4096*INDEX('01_Вводные'!$C$36:$N$36,1,MOD(MONTH('06_Сеть_и_дети'!G$3)-9,12)+1)/(SUM('01_Вводные'!$C$36:$N$36)-INDEX('01_Вводные'!$C$36:$N$36,1,MOD(MONTH('01_Вводные'!$B$7)-9,12)+1)),0)</f>
        <v/>
      </c>
      <c r="H4386">
        <f>IF('01_Вводные'!$B$234="Да",'19_Расчет_аналитики'!$B$4096*INDEX('01_Вводные'!$C$36:$N$36,1,MOD(MONTH('06_Сеть_и_дети'!H$3)-9,12)+1)/(SUM('01_Вводные'!$C$36:$N$36)-INDEX('01_Вводные'!$C$36:$N$36,1,MOD(MONTH('01_Вводные'!$B$7)-9,12)+1)),0)</f>
        <v/>
      </c>
      <c r="I4386">
        <f>IF('01_Вводные'!$B$234="Да",'19_Расчет_аналитики'!$B$4096*INDEX('01_Вводные'!$C$36:$N$36,1,MOD(MONTH('06_Сеть_и_дети'!I$3)-9,12)+1)/(SUM('01_Вводные'!$C$36:$N$36)-INDEX('01_Вводные'!$C$36:$N$36,1,MOD(MONTH('01_Вводные'!$B$7)-9,12)+1)),0)</f>
        <v/>
      </c>
      <c r="J4386">
        <f>IF('01_Вводные'!$B$234="Да",'19_Расчет_аналитики'!$B$4096*INDEX('01_Вводные'!$C$36:$N$36,1,MOD(MONTH('06_Сеть_и_дети'!J$3)-9,12)+1)/(SUM('01_Вводные'!$C$36:$N$36)-INDEX('01_Вводные'!$C$36:$N$36,1,MOD(MONTH('01_Вводные'!$B$7)-9,12)+1)),0)</f>
        <v/>
      </c>
      <c r="K4386">
        <f>IF('01_Вводные'!$B$234="Да",'19_Расчет_аналитики'!$B$4096*INDEX('01_Вводные'!$C$36:$N$36,1,MOD(MONTH('06_Сеть_и_дети'!K$3)-9,12)+1)/(SUM('01_Вводные'!$C$36:$N$36)-INDEX('01_Вводные'!$C$36:$N$36,1,MOD(MONTH('01_Вводные'!$B$7)-9,12)+1)),0)</f>
        <v/>
      </c>
      <c r="L4386">
        <f>IF('01_Вводные'!$B$234="Да",'19_Расчет_аналитики'!$B$4096*INDEX('01_Вводные'!$C$36:$N$36,1,MOD(MONTH('06_Сеть_и_дети'!L$3)-9,12)+1)/(SUM('01_Вводные'!$C$36:$N$36)-INDEX('01_Вводные'!$C$36:$N$36,1,MOD(MONTH('01_Вводные'!$B$7)-9,12)+1)),0)</f>
        <v/>
      </c>
      <c r="M4386">
        <f>IF('01_Вводные'!$B$234="Да",'19_Расчет_аналитики'!$B$4096*INDEX('01_Вводные'!$C$36:$N$36,1,MOD(MONTH('06_Сеть_и_дети'!M$3)-9,12)+1)/(SUM('01_Вводные'!$C$36:$N$36)-INDEX('01_Вводные'!$C$36:$N$36,1,MOD(MONTH('01_Вводные'!$B$7)-9,12)+1)),0)</f>
        <v/>
      </c>
      <c r="N4386">
        <f>IF('01_Вводные'!$B$234="Да",'19_Расчет_аналитики'!$B$4097*INDEX('01_Вводные'!$C$37:$N$37,1,MOD(MONTH('06_Сеть_и_дети'!N$3)-9,12)+1)/SUM('01_Вводные'!$C$37:$N$37),0)</f>
        <v/>
      </c>
      <c r="O4386">
        <f>IF('01_Вводные'!$B$234="Да",'19_Расчет_аналитики'!$B$4097*INDEX('01_Вводные'!$C$37:$N$37,1,MOD(MONTH('06_Сеть_и_дети'!O$3)-9,12)+1)/SUM('01_Вводные'!$C$37:$N$37),0)</f>
        <v/>
      </c>
      <c r="P4386">
        <f>IF('01_Вводные'!$B$234="Да",'19_Расчет_аналитики'!$B$4097*INDEX('01_Вводные'!$C$37:$N$37,1,MOD(MONTH('06_Сеть_и_дети'!P$3)-9,12)+1)/SUM('01_Вводные'!$C$37:$N$37),0)</f>
        <v/>
      </c>
      <c r="Q4386">
        <f>IF('01_Вводные'!$B$234="Да",'19_Расчет_аналитики'!$B$4097*INDEX('01_Вводные'!$C$37:$N$37,1,MOD(MONTH('06_Сеть_и_дети'!Q$3)-9,12)+1)/SUM('01_Вводные'!$C$37:$N$37),0)</f>
        <v/>
      </c>
      <c r="R4386">
        <f>IF('01_Вводные'!$B$234="Да",'19_Расчет_аналитики'!$B$4097*INDEX('01_Вводные'!$C$37:$N$37,1,MOD(MONTH('06_Сеть_и_дети'!R$3)-9,12)+1)/SUM('01_Вводные'!$C$37:$N$37),0)</f>
        <v/>
      </c>
      <c r="S4386">
        <f>IF('01_Вводные'!$B$234="Да",'19_Расчет_аналитики'!$B$4097*INDEX('01_Вводные'!$C$37:$N$37,1,MOD(MONTH('06_Сеть_и_дети'!S$3)-9,12)+1)/SUM('01_Вводные'!$C$37:$N$37),0)</f>
        <v/>
      </c>
      <c r="T4386">
        <f>IF('01_Вводные'!$B$234="Да",'19_Расчет_аналитики'!$B$4097*INDEX('01_Вводные'!$C$37:$N$37,1,MOD(MONTH('06_Сеть_и_дети'!T$3)-9,12)+1)/SUM('01_Вводные'!$C$37:$N$37),0)</f>
        <v/>
      </c>
      <c r="U4386">
        <f>IF('01_Вводные'!$B$234="Да",'19_Расчет_аналитики'!$B$4097*INDEX('01_Вводные'!$C$37:$N$37,1,MOD(MONTH('06_Сеть_и_дети'!U$3)-9,12)+1)/SUM('01_Вводные'!$C$37:$N$37),0)</f>
        <v/>
      </c>
      <c r="V4386">
        <f>IF('01_Вводные'!$B$234="Да",'19_Расчет_аналитики'!$B$4097*INDEX('01_Вводные'!$C$37:$N$37,1,MOD(MONTH('06_Сеть_и_дети'!V$3)-9,12)+1)/SUM('01_Вводные'!$C$37:$N$37),0)</f>
        <v/>
      </c>
      <c r="W4386">
        <f>IF('01_Вводные'!$B$234="Да",'19_Расчет_аналитики'!$B$4097*INDEX('01_Вводные'!$C$37:$N$37,1,MOD(MONTH('06_Сеть_и_дети'!W$3)-9,12)+1)/SUM('01_Вводные'!$C$37:$N$37),0)</f>
        <v/>
      </c>
      <c r="X4386">
        <f>IF('01_Вводные'!$B$234="Да",'19_Расчет_аналитики'!$B$4097*INDEX('01_Вводные'!$C$37:$N$37,1,MOD(MONTH('06_Сеть_и_дети'!X$3)-9,12)+1)/SUM('01_Вводные'!$C$37:$N$37),0)</f>
        <v/>
      </c>
      <c r="Y4386">
        <f>IF('01_Вводные'!$B$234="Да",'19_Расчет_аналитики'!$B$4097*INDEX('01_Вводные'!$C$37:$N$37,1,MOD(MONTH('06_Сеть_и_дети'!Y$3)-9,12)+1)/SUM('01_Вводные'!$C$37:$N$37),0)</f>
        <v/>
      </c>
      <c r="Z4386">
        <f>IF('01_Вводные'!$B$234="Да",'19_Расчет_аналитики'!$B$4098*INDEX('01_Вводные'!$C$38:$N$38,1,MOD(MONTH('06_Сеть_и_дети'!Z$3)-9,12)+1)/SUM('01_Вводные'!$C$38:$N$38),0)</f>
        <v/>
      </c>
      <c r="AA4386">
        <f>IF('01_Вводные'!$B$234="Да",'19_Расчет_аналитики'!$B$4098*INDEX('01_Вводные'!$C$38:$N$38,1,MOD(MONTH('06_Сеть_и_дети'!AA$3)-9,12)+1)/SUM('01_Вводные'!$C$38:$N$38),0)</f>
        <v/>
      </c>
      <c r="AB4386">
        <f>IF('01_Вводные'!$B$234="Да",'19_Расчет_аналитики'!$B$4098*INDEX('01_Вводные'!$C$38:$N$38,1,MOD(MONTH('06_Сеть_и_дети'!AB$3)-9,12)+1)/SUM('01_Вводные'!$C$38:$N$38),0)</f>
        <v/>
      </c>
      <c r="AC4386">
        <f>IF('01_Вводные'!$B$234="Да",'19_Расчет_аналитики'!$B$4098*INDEX('01_Вводные'!$C$38:$N$38,1,MOD(MONTH('06_Сеть_и_дети'!AC$3)-9,12)+1)/SUM('01_Вводные'!$C$38:$N$38),0)</f>
        <v/>
      </c>
      <c r="AD4386">
        <f>IF('01_Вводные'!$B$234="Да",'19_Расчет_аналитики'!$B$4098*INDEX('01_Вводные'!$C$38:$N$38,1,MOD(MONTH('06_Сеть_и_дети'!AD$3)-9,12)+1)/SUM('01_Вводные'!$C$38:$N$38),0)</f>
        <v/>
      </c>
      <c r="AE4386">
        <f>IF('01_Вводные'!$B$234="Да",'19_Расчет_аналитики'!$B$4098*INDEX('01_Вводные'!$C$38:$N$38,1,MOD(MONTH('06_Сеть_и_дети'!AE$3)-9,12)+1)/SUM('01_Вводные'!$C$38:$N$38),0)</f>
        <v/>
      </c>
      <c r="AF4386">
        <f>IF('01_Вводные'!$B$234="Да",'19_Расчет_аналитики'!$B$4098*INDEX('01_Вводные'!$C$38:$N$38,1,MOD(MONTH('06_Сеть_и_дети'!AF$3)-9,12)+1)/SUM('01_Вводные'!$C$38:$N$38),0)</f>
        <v/>
      </c>
      <c r="AG4386">
        <f>IF('01_Вводные'!$B$234="Да",'19_Расчет_аналитики'!$B$4098*INDEX('01_Вводные'!$C$38:$N$38,1,MOD(MONTH('06_Сеть_и_дети'!AG$3)-9,12)+1)/SUM('01_Вводные'!$C$38:$N$38),0)</f>
        <v/>
      </c>
      <c r="AH4386">
        <f>IF('01_Вводные'!$B$234="Да",'19_Расчет_аналитики'!$B$4098*INDEX('01_Вводные'!$C$38:$N$38,1,MOD(MONTH('06_Сеть_и_дети'!AH$3)-9,12)+1)/SUM('01_Вводные'!$C$38:$N$38),0)</f>
        <v/>
      </c>
      <c r="AI4386">
        <f>IF('01_Вводные'!$B$234="Да",'19_Расчет_аналитики'!$B$4098*INDEX('01_Вводные'!$C$38:$N$38,1,MOD(MONTH('06_Сеть_и_дети'!AI$3)-9,12)+1)/SUM('01_Вводные'!$C$38:$N$38),0)</f>
        <v/>
      </c>
      <c r="AJ4386">
        <f>IF('01_Вводные'!$B$234="Да",'19_Расчет_аналитики'!$B$4098*INDEX('01_Вводные'!$C$38:$N$38,1,MOD(MONTH('06_Сеть_и_дети'!AJ$3)-9,12)+1)/SUM('01_Вводные'!$C$38:$N$38),0)</f>
        <v/>
      </c>
      <c r="AK4386">
        <f>IF('01_Вводные'!$B$234="Да",'19_Расчет_аналитики'!$B$4098*INDEX('01_Вводные'!$C$38:$N$38,1,MOD(MONTH('06_Сеть_и_дети'!AK$3)-9,12)+1)/SUM('01_Вводные'!$C$38:$N$38),0)</f>
        <v/>
      </c>
      <c r="AL4386">
        <f>IF('01_Вводные'!$B$234="Да",'19_Расчет_аналитики'!$B$4099*INDEX('01_Вводные'!$C$39:$N$39,1,MOD(MONTH('06_Сеть_и_дети'!AL$3)-9,12)+1)/SUM('01_Вводные'!$C$39:$N$39),0)</f>
        <v/>
      </c>
      <c r="AM4386">
        <f>IF('01_Вводные'!$B$234="Да",'19_Расчет_аналитики'!$B$4099*INDEX('01_Вводные'!$C$39:$N$39,1,MOD(MONTH('06_Сеть_и_дети'!AM$3)-9,12)+1)/SUM('01_Вводные'!$C$39:$N$39),0)</f>
        <v/>
      </c>
      <c r="AN4386">
        <f>IF('01_Вводные'!$B$234="Да",'19_Расчет_аналитики'!$B$4099*INDEX('01_Вводные'!$C$39:$N$39,1,MOD(MONTH('06_Сеть_и_дети'!AN$3)-9,12)+1)/SUM('01_Вводные'!$C$39:$N$39),0)</f>
        <v/>
      </c>
      <c r="AO4386">
        <f>IF('01_Вводные'!$B$234="Да",'19_Расчет_аналитики'!$B$4099*INDEX('01_Вводные'!$C$39:$N$39,1,MOD(MONTH('06_Сеть_и_дети'!AO$3)-9,12)+1)/SUM('01_Вводные'!$C$39:$N$39),0)</f>
        <v/>
      </c>
      <c r="AP4386">
        <f>IF('01_Вводные'!$B$234="Да",'19_Расчет_аналитики'!$B$4099*INDEX('01_Вводные'!$C$39:$N$39,1,MOD(MONTH('06_Сеть_и_дети'!AP$3)-9,12)+1)/SUM('01_Вводные'!$C$39:$N$39),0)</f>
        <v/>
      </c>
      <c r="AQ4386">
        <f>IF('01_Вводные'!$B$234="Да",'19_Расчет_аналитики'!$B$4099*INDEX('01_Вводные'!$C$39:$N$39,1,MOD(MONTH('06_Сеть_и_дети'!AQ$3)-9,12)+1)/SUM('01_Вводные'!$C$39:$N$39),0)</f>
        <v/>
      </c>
      <c r="AR4386">
        <f>IF('01_Вводные'!$B$234="Да",'19_Расчет_аналитики'!$B$4099*INDEX('01_Вводные'!$C$39:$N$39,1,MOD(MONTH('06_Сеть_и_дети'!AR$3)-9,12)+1)/SUM('01_Вводные'!$C$39:$N$39),0)</f>
        <v/>
      </c>
      <c r="AS4386">
        <f>IF('01_Вводные'!$B$234="Да",'19_Расчет_аналитики'!$B$4099*INDEX('01_Вводные'!$C$39:$N$39,1,MOD(MONTH('06_Сеть_и_дети'!AS$3)-9,12)+1)/SUM('01_Вводные'!$C$39:$N$39),0)</f>
        <v/>
      </c>
      <c r="AT4386">
        <f>IF('01_Вводные'!$B$234="Да",'19_Расчет_аналитики'!$B$4099*INDEX('01_Вводные'!$C$39:$N$39,1,MOD(MONTH('06_Сеть_и_дети'!AT$3)-9,12)+1)/SUM('01_Вводные'!$C$39:$N$39),0)</f>
        <v/>
      </c>
      <c r="AU4386">
        <f>IF('01_Вводные'!$B$234="Да",'19_Расчет_аналитики'!$B$4099*INDEX('01_Вводные'!$C$39:$N$39,1,MOD(MONTH('06_Сеть_и_дети'!AU$3)-9,12)+1)/SUM('01_Вводные'!$C$39:$N$39),0)</f>
        <v/>
      </c>
      <c r="AV4386">
        <f>IF('01_Вводные'!$B$234="Да",'19_Расчет_аналитики'!$B$4099*INDEX('01_Вводные'!$C$39:$N$39,1,MOD(MONTH('06_Сеть_и_дети'!AV$3)-9,12)+1)/SUM('01_Вводные'!$C$39:$N$39),0)</f>
        <v/>
      </c>
      <c r="AW4386">
        <f>IF('01_Вводные'!$B$234="Да",'19_Расчет_аналитики'!$B$4099*INDEX('01_Вводные'!$C$39:$N$39,1,MOD(MONTH('06_Сеть_и_дети'!AW$3)-9,12)+1)/SUM('01_Вводные'!$C$39:$N$39),0)</f>
        <v/>
      </c>
      <c r="AX4386">
        <f>IF('01_Вводные'!$B$234="Да",'19_Расчет_аналитики'!$B$4100*INDEX('01_Вводные'!$C$40:$N$40,1,MOD(MONTH('06_Сеть_и_дети'!AX$3)-9,12)+1)/SUM('01_Вводные'!$C$40:$N$40),0)</f>
        <v/>
      </c>
      <c r="AY4386">
        <f>IF('01_Вводные'!$B$234="Да",'19_Расчет_аналитики'!$B$4100*INDEX('01_Вводные'!$C$40:$N$40,1,MOD(MONTH('06_Сеть_и_дети'!AY$3)-9,12)+1)/SUM('01_Вводные'!$C$40:$N$40),0)</f>
        <v/>
      </c>
      <c r="AZ4386">
        <f>IF('01_Вводные'!$B$234="Да",'19_Расчет_аналитики'!$B$4100*INDEX('01_Вводные'!$C$40:$N$40,1,MOD(MONTH('06_Сеть_и_дети'!AZ$3)-9,12)+1)/SUM('01_Вводные'!$C$40:$N$40),0)</f>
        <v/>
      </c>
      <c r="BA4386">
        <f>IF('01_Вводные'!$B$234="Да",'19_Расчет_аналитики'!$B$4100*INDEX('01_Вводные'!$C$40:$N$40,1,MOD(MONTH('06_Сеть_и_дети'!BA$3)-9,12)+1)/SUM('01_Вводные'!$C$40:$N$40),0)</f>
        <v/>
      </c>
      <c r="BB4386">
        <f>IF('01_Вводные'!$B$234="Да",'19_Расчет_аналитики'!$B$4100*INDEX('01_Вводные'!$C$40:$N$40,1,MOD(MONTH('06_Сеть_и_дети'!BB$3)-9,12)+1)/SUM('01_Вводные'!$C$40:$N$40),0)</f>
        <v/>
      </c>
      <c r="BC4386">
        <f>IF('01_Вводные'!$B$234="Да",'19_Расчет_аналитики'!$B$4100*INDEX('01_Вводные'!$C$40:$N$40,1,MOD(MONTH('06_Сеть_и_дети'!BC$3)-9,12)+1)/SUM('01_Вводные'!$C$40:$N$40),0)</f>
        <v/>
      </c>
      <c r="BD4386">
        <f>IF('01_Вводные'!$B$234="Да",'19_Расчет_аналитики'!$B$4100*INDEX('01_Вводные'!$C$40:$N$40,1,MOD(MONTH('06_Сеть_и_дети'!BD$3)-9,12)+1)/SUM('01_Вводные'!$C$40:$N$40),0)</f>
        <v/>
      </c>
      <c r="BE4386">
        <f>IF('01_Вводные'!$B$234="Да",'19_Расчет_аналитики'!$B$4100*INDEX('01_Вводные'!$C$40:$N$40,1,MOD(MONTH('06_Сеть_и_дети'!BE$3)-9,12)+1)/SUM('01_Вводные'!$C$40:$N$40),0)</f>
        <v/>
      </c>
      <c r="BF4386">
        <f>IF('01_Вводные'!$B$234="Да",'19_Расчет_аналитики'!$B$4100*INDEX('01_Вводные'!$C$40:$N$40,1,MOD(MONTH('06_Сеть_и_дети'!BF$3)-9,12)+1)/SUM('01_Вводные'!$C$40:$N$40),0)</f>
        <v/>
      </c>
      <c r="BG4386">
        <f>IF('01_Вводные'!$B$234="Да",'19_Расчет_аналитики'!$B$4100*INDEX('01_Вводные'!$C$40:$N$40,1,MOD(MONTH('06_Сеть_и_дети'!BG$3)-9,12)+1)/SUM('01_Вводные'!$C$40:$N$40),0)</f>
        <v/>
      </c>
      <c r="BH4386">
        <f>IF('01_Вводные'!$B$234="Да",'19_Расчет_аналитики'!$B$4100*INDEX('01_Вводные'!$C$40:$N$40,1,MOD(MONTH('06_Сеть_и_дети'!BH$3)-9,12)+1)/SUM('01_Вводные'!$C$40:$N$40),0)</f>
        <v/>
      </c>
      <c r="BI4386">
        <f>IF('01_Вводные'!$B$234="Да",'19_Расчет_аналитики'!$B$4100*INDEX('01_Вводные'!$C$40:$N$40,1,MOD(MONTH('06_Сеть_и_дети'!BI$3)-9,12)+1)/SUM('01_Вводные'!$C$40:$N$40),0)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OR(1&lt;='01_Вводные'!$B$15,1-'01_Вводные'!$B$15&gt;60),0,INDEX('19_Расчет_аналитики'!$B$4386:$BI$4386,1,1-'01_Вводные'!$B$15))*'01_Вводные'!$B$298*MIN(1,'01_Вводные'!$B$22)+IF(OR(1&lt;=('01_Вводные'!$B$15+'01_Вводные'!$B$311),1-('01_Вводные'!$B$15+'01_Вводные'!$B$311)&gt;60),0,INDEX('19_Расчет_аналитики'!$B$4386:$BI$4386,1,1-('01_Вводные'!$B$15+'01_Вводные'!$B$311)))*'01_Вводные'!$B$298*MAX(0,'01_Вводные'!$B$22-1)</f>
        <v/>
      </c>
      <c r="C4411">
        <f>IF(OR(2&lt;='01_Вводные'!$B$15,2-'01_Вводные'!$B$15&gt;60),0,INDEX('19_Расчет_аналитики'!$B$4386:$BI$4386,1,2-'01_Вводные'!$B$15))*'01_Вводные'!$B$298*MIN(1,'01_Вводные'!$B$22)+IF(OR(2&lt;=('01_Вводные'!$B$15+'01_Вводные'!$B$311),2-('01_Вводные'!$B$15+'01_Вводные'!$B$311)&gt;60),0,INDEX('19_Расчет_аналитики'!$B$4386:$BI$4386,1,2-('01_Вводные'!$B$15+'01_Вводные'!$B$311)))*'01_Вводные'!$B$298*MAX(0,'01_Вводные'!$B$22-1)</f>
        <v/>
      </c>
      <c r="D4411">
        <f>IF(OR(3&lt;='01_Вводные'!$B$15,3-'01_Вводные'!$B$15&gt;60),0,INDEX('19_Расчет_аналитики'!$B$4386:$BI$4386,1,3-'01_Вводные'!$B$15))*'01_Вводные'!$B$298*MIN(1,'01_Вводные'!$B$22)+IF(OR(3&lt;=('01_Вводные'!$B$15+'01_Вводные'!$B$311),3-('01_Вводные'!$B$15+'01_Вводные'!$B$311)&gt;60),0,INDEX('19_Расчет_аналитики'!$B$4386:$BI$4386,1,3-('01_Вводные'!$B$15+'01_Вводные'!$B$311)))*'01_Вводные'!$B$298*MAX(0,'01_Вводные'!$B$22-1)</f>
        <v/>
      </c>
      <c r="E4411">
        <f>IF(OR(4&lt;='01_Вводные'!$B$15,4-'01_Вводные'!$B$15&gt;60),0,INDEX('19_Расчет_аналитики'!$B$4386:$BI$4386,1,4-'01_Вводные'!$B$15))*'01_Вводные'!$B$298*MIN(1,'01_Вводные'!$B$22)+IF(OR(4&lt;=('01_Вводные'!$B$15+'01_Вводные'!$B$311),4-('01_Вводные'!$B$15+'01_Вводные'!$B$311)&gt;60),0,INDEX('19_Расчет_аналитики'!$B$4386:$BI$4386,1,4-('01_Вводные'!$B$15+'01_Вводные'!$B$311)))*'01_Вводные'!$B$298*MAX(0,'01_Вводные'!$B$22-1)</f>
        <v/>
      </c>
      <c r="F4411">
        <f>IF(OR(5&lt;='01_Вводные'!$B$15,5-'01_Вводные'!$B$15&gt;60),0,INDEX('19_Расчет_аналитики'!$B$4386:$BI$4386,1,5-'01_Вводные'!$B$15))*'01_Вводные'!$B$298*MIN(1,'01_Вводные'!$B$22)+IF(OR(5&lt;=('01_Вводные'!$B$15+'01_Вводные'!$B$311),5-('01_Вводные'!$B$15+'01_Вводные'!$B$311)&gt;60),0,INDEX('19_Расчет_аналитики'!$B$4386:$BI$4386,1,5-('01_Вводные'!$B$15+'01_Вводные'!$B$311)))*'01_Вводные'!$B$298*MAX(0,'01_Вводные'!$B$22-1)</f>
        <v/>
      </c>
      <c r="G4411">
        <f>IF(OR(6&lt;='01_Вводные'!$B$15,6-'01_Вводные'!$B$15&gt;60),0,INDEX('19_Расчет_аналитики'!$B$4386:$BI$4386,1,6-'01_Вводные'!$B$15))*'01_Вводные'!$B$298*MIN(1,'01_Вводные'!$B$22)+IF(OR(6&lt;=('01_Вводные'!$B$15+'01_Вводные'!$B$311),6-('01_Вводные'!$B$15+'01_Вводные'!$B$311)&gt;60),0,INDEX('19_Расчет_аналитики'!$B$4386:$BI$4386,1,6-('01_Вводные'!$B$15+'01_Вводные'!$B$311)))*'01_Вводные'!$B$298*MAX(0,'01_Вводные'!$B$22-1)</f>
        <v/>
      </c>
      <c r="H4411">
        <f>IF(OR(7&lt;='01_Вводные'!$B$15,7-'01_Вводные'!$B$15&gt;60),0,INDEX('19_Расчет_аналитики'!$B$4386:$BI$4386,1,7-'01_Вводные'!$B$15))*'01_Вводные'!$B$298*MIN(1,'01_Вводные'!$B$22)+IF(OR(7&lt;=('01_Вводные'!$B$15+'01_Вводные'!$B$311),7-('01_Вводные'!$B$15+'01_Вводные'!$B$311)&gt;60),0,INDEX('19_Расчет_аналитики'!$B$4386:$BI$4386,1,7-('01_Вводные'!$B$15+'01_Вводные'!$B$311)))*'01_Вводные'!$B$298*MAX(0,'01_Вводные'!$B$22-1)</f>
        <v/>
      </c>
      <c r="I4411">
        <f>IF(OR(8&lt;='01_Вводные'!$B$15,8-'01_Вводные'!$B$15&gt;60),0,INDEX('19_Расчет_аналитики'!$B$4386:$BI$4386,1,8-'01_Вводные'!$B$15))*'01_Вводные'!$B$298*MIN(1,'01_Вводные'!$B$22)+IF(OR(8&lt;=('01_Вводные'!$B$15+'01_Вводные'!$B$311),8-('01_Вводные'!$B$15+'01_Вводные'!$B$311)&gt;60),0,INDEX('19_Расчет_аналитики'!$B$4386:$BI$4386,1,8-('01_Вводные'!$B$15+'01_Вводные'!$B$311)))*'01_Вводные'!$B$298*MAX(0,'01_Вводные'!$B$22-1)</f>
        <v/>
      </c>
      <c r="J4411">
        <f>IF(OR(9&lt;='01_Вводные'!$B$15,9-'01_Вводные'!$B$15&gt;60),0,INDEX('19_Расчет_аналитики'!$B$4386:$BI$4386,1,9-'01_Вводные'!$B$15))*'01_Вводные'!$B$298*MIN(1,'01_Вводные'!$B$22)+IF(OR(9&lt;=('01_Вводные'!$B$15+'01_Вводные'!$B$311),9-('01_Вводные'!$B$15+'01_Вводные'!$B$311)&gt;60),0,INDEX('19_Расчет_аналитики'!$B$4386:$BI$4386,1,9-('01_Вводные'!$B$15+'01_Вводные'!$B$311)))*'01_Вводные'!$B$298*MAX(0,'01_Вводные'!$B$22-1)</f>
        <v/>
      </c>
      <c r="K4411">
        <f>IF(OR(10&lt;='01_Вводные'!$B$15,10-'01_Вводные'!$B$15&gt;60),0,INDEX('19_Расчет_аналитики'!$B$4386:$BI$4386,1,10-'01_Вводные'!$B$15))*'01_Вводные'!$B$298*MIN(1,'01_Вводные'!$B$22)+IF(OR(10&lt;=('01_Вводные'!$B$15+'01_Вводные'!$B$311),10-('01_Вводные'!$B$15+'01_Вводные'!$B$311)&gt;60),0,INDEX('19_Расчет_аналитики'!$B$4386:$BI$4386,1,10-('01_Вводные'!$B$15+'01_Вводные'!$B$311)))*'01_Вводные'!$B$298*MAX(0,'01_Вводные'!$B$22-1)</f>
        <v/>
      </c>
      <c r="L4411">
        <f>IF(OR(11&lt;='01_Вводные'!$B$15,11-'01_Вводные'!$B$15&gt;60),0,INDEX('19_Расчет_аналитики'!$B$4386:$BI$4386,1,11-'01_Вводные'!$B$15))*'01_Вводные'!$B$298*MIN(1,'01_Вводные'!$B$22)+IF(OR(11&lt;=('01_Вводные'!$B$15+'01_Вводные'!$B$311),11-('01_Вводные'!$B$15+'01_Вводные'!$B$311)&gt;60),0,INDEX('19_Расчет_аналитики'!$B$4386:$BI$4386,1,11-('01_Вводные'!$B$15+'01_Вводные'!$B$311)))*'01_Вводные'!$B$298*MAX(0,'01_Вводные'!$B$22-1)</f>
        <v/>
      </c>
      <c r="M4411">
        <f>IF(OR(12&lt;='01_Вводные'!$B$15,12-'01_Вводные'!$B$15&gt;60),0,INDEX('19_Расчет_аналитики'!$B$4386:$BI$4386,1,12-'01_Вводные'!$B$15))*'01_Вводные'!$B$298*MIN(1,'01_Вводные'!$B$22)+IF(OR(12&lt;=('01_Вводные'!$B$15+'01_Вводные'!$B$311),12-('01_Вводные'!$B$15+'01_Вводные'!$B$311)&gt;60),0,INDEX('19_Расчет_аналитики'!$B$4386:$BI$4386,1,12-('01_Вводные'!$B$15+'01_Вводные'!$B$311)))*'01_Вводные'!$B$298*MAX(0,'01_Вводные'!$B$22-1)</f>
        <v/>
      </c>
      <c r="N4411">
        <f>IF(OR(13&lt;='01_Вводные'!$B$15,13-'01_Вводные'!$B$15&gt;60),0,INDEX('19_Расчет_аналитики'!$B$4386:$BI$4386,1,13-'01_Вводные'!$B$15))*'01_Вводные'!$B$298*MIN(1,'01_Вводные'!$B$22)+IF(OR(13&lt;=('01_Вводные'!$B$15+'01_Вводные'!$B$311),13-('01_Вводные'!$B$15+'01_Вводные'!$B$311)&gt;60),0,INDEX('19_Расчет_аналитики'!$B$4386:$BI$4386,1,13-('01_Вводные'!$B$15+'01_Вводные'!$B$311)))*'01_Вводные'!$B$298*MAX(0,'01_Вводные'!$B$22-1)</f>
        <v/>
      </c>
      <c r="O4411">
        <f>IF(OR(14&lt;='01_Вводные'!$B$15,14-'01_Вводные'!$B$15&gt;60),0,INDEX('19_Расчет_аналитики'!$B$4386:$BI$4386,1,14-'01_Вводные'!$B$15))*'01_Вводные'!$B$298*MIN(1,'01_Вводные'!$B$22)+IF(OR(14&lt;=('01_Вводные'!$B$15+'01_Вводные'!$B$311),14-('01_Вводные'!$B$15+'01_Вводные'!$B$311)&gt;60),0,INDEX('19_Расчет_аналитики'!$B$4386:$BI$4386,1,14-('01_Вводные'!$B$15+'01_Вводные'!$B$311)))*'01_Вводные'!$B$298*MAX(0,'01_Вводные'!$B$22-1)</f>
        <v/>
      </c>
      <c r="P4411">
        <f>IF(OR(15&lt;='01_Вводные'!$B$15,15-'01_Вводные'!$B$15&gt;60),0,INDEX('19_Расчет_аналитики'!$B$4386:$BI$4386,1,15-'01_Вводные'!$B$15))*'01_Вводные'!$B$298*MIN(1,'01_Вводные'!$B$22)+IF(OR(15&lt;=('01_Вводные'!$B$15+'01_Вводные'!$B$311),15-('01_Вводные'!$B$15+'01_Вводные'!$B$311)&gt;60),0,INDEX('19_Расчет_аналитики'!$B$4386:$BI$4386,1,15-('01_Вводные'!$B$15+'01_Вводные'!$B$311)))*'01_Вводные'!$B$298*MAX(0,'01_Вводные'!$B$22-1)</f>
        <v/>
      </c>
      <c r="Q4411">
        <f>IF(OR(16&lt;='01_Вводные'!$B$15,16-'01_Вводные'!$B$15&gt;60),0,INDEX('19_Расчет_аналитики'!$B$4386:$BI$4386,1,16-'01_Вводные'!$B$15))*'01_Вводные'!$B$298*MIN(1,'01_Вводные'!$B$22)+IF(OR(16&lt;=('01_Вводные'!$B$15+'01_Вводные'!$B$311),16-('01_Вводные'!$B$15+'01_Вводные'!$B$311)&gt;60),0,INDEX('19_Расчет_аналитики'!$B$4386:$BI$4386,1,16-('01_Вводные'!$B$15+'01_Вводные'!$B$311)))*'01_Вводные'!$B$298*MAX(0,'01_Вводные'!$B$22-1)</f>
        <v/>
      </c>
      <c r="R4411">
        <f>IF(OR(17&lt;='01_Вводные'!$B$15,17-'01_Вводные'!$B$15&gt;60),0,INDEX('19_Расчет_аналитики'!$B$4386:$BI$4386,1,17-'01_Вводные'!$B$15))*'01_Вводные'!$B$298*MIN(1,'01_Вводные'!$B$22)+IF(OR(17&lt;=('01_Вводные'!$B$15+'01_Вводные'!$B$311),17-('01_Вводные'!$B$15+'01_Вводные'!$B$311)&gt;60),0,INDEX('19_Расчет_аналитики'!$B$4386:$BI$4386,1,17-('01_Вводные'!$B$15+'01_Вводные'!$B$311)))*'01_Вводные'!$B$298*MAX(0,'01_Вводные'!$B$22-1)</f>
        <v/>
      </c>
      <c r="S4411">
        <f>IF(OR(18&lt;='01_Вводные'!$B$15,18-'01_Вводные'!$B$15&gt;60),0,INDEX('19_Расчет_аналитики'!$B$4386:$BI$4386,1,18-'01_Вводные'!$B$15))*'01_Вводные'!$B$298*MIN(1,'01_Вводные'!$B$22)+IF(OR(18&lt;=('01_Вводные'!$B$15+'01_Вводные'!$B$311),18-('01_Вводные'!$B$15+'01_Вводные'!$B$311)&gt;60),0,INDEX('19_Расчет_аналитики'!$B$4386:$BI$4386,1,18-('01_Вводные'!$B$15+'01_Вводные'!$B$311)))*'01_Вводные'!$B$298*MAX(0,'01_Вводные'!$B$22-1)</f>
        <v/>
      </c>
      <c r="T4411">
        <f>IF(OR(19&lt;='01_Вводные'!$B$15,19-'01_Вводные'!$B$15&gt;60),0,INDEX('19_Расчет_аналитики'!$B$4386:$BI$4386,1,19-'01_Вводные'!$B$15))*'01_Вводные'!$B$298*MIN(1,'01_Вводные'!$B$22)+IF(OR(19&lt;=('01_Вводные'!$B$15+'01_Вводные'!$B$311),19-('01_Вводные'!$B$15+'01_Вводные'!$B$311)&gt;60),0,INDEX('19_Расчет_аналитики'!$B$4386:$BI$4386,1,19-('01_Вводные'!$B$15+'01_Вводные'!$B$311)))*'01_Вводные'!$B$298*MAX(0,'01_Вводные'!$B$22-1)</f>
        <v/>
      </c>
      <c r="U4411">
        <f>IF(OR(20&lt;='01_Вводные'!$B$15,20-'01_Вводные'!$B$15&gt;60),0,INDEX('19_Расчет_аналитики'!$B$4386:$BI$4386,1,20-'01_Вводные'!$B$15))*'01_Вводные'!$B$298*MIN(1,'01_Вводные'!$B$22)+IF(OR(20&lt;=('01_Вводные'!$B$15+'01_Вводные'!$B$311),20-('01_Вводные'!$B$15+'01_Вводные'!$B$311)&gt;60),0,INDEX('19_Расчет_аналитики'!$B$4386:$BI$4386,1,20-('01_Вводные'!$B$15+'01_Вводные'!$B$311)))*'01_Вводные'!$B$298*MAX(0,'01_Вводные'!$B$22-1)</f>
        <v/>
      </c>
      <c r="V4411">
        <f>IF(OR(21&lt;='01_Вводные'!$B$15,21-'01_Вводные'!$B$15&gt;60),0,INDEX('19_Расчет_аналитики'!$B$4386:$BI$4386,1,21-'01_Вводные'!$B$15))*'01_Вводные'!$B$298*MIN(1,'01_Вводные'!$B$22)+IF(OR(21&lt;=('01_Вводные'!$B$15+'01_Вводные'!$B$311),21-('01_Вводные'!$B$15+'01_Вводные'!$B$311)&gt;60),0,INDEX('19_Расчет_аналитики'!$B$4386:$BI$4386,1,21-('01_Вводные'!$B$15+'01_Вводные'!$B$311)))*'01_Вводные'!$B$298*MAX(0,'01_Вводные'!$B$22-1)</f>
        <v/>
      </c>
      <c r="W4411">
        <f>IF(OR(22&lt;='01_Вводные'!$B$15,22-'01_Вводные'!$B$15&gt;60),0,INDEX('19_Расчет_аналитики'!$B$4386:$BI$4386,1,22-'01_Вводные'!$B$15))*'01_Вводные'!$B$298*MIN(1,'01_Вводные'!$B$22)+IF(OR(22&lt;=('01_Вводные'!$B$15+'01_Вводные'!$B$311),22-('01_Вводные'!$B$15+'01_Вводные'!$B$311)&gt;60),0,INDEX('19_Расчет_аналитики'!$B$4386:$BI$4386,1,22-('01_Вводные'!$B$15+'01_Вводные'!$B$311)))*'01_Вводные'!$B$298*MAX(0,'01_Вводные'!$B$22-1)</f>
        <v/>
      </c>
      <c r="X4411">
        <f>IF(OR(23&lt;='01_Вводные'!$B$15,23-'01_Вводные'!$B$15&gt;60),0,INDEX('19_Расчет_аналитики'!$B$4386:$BI$4386,1,23-'01_Вводные'!$B$15))*'01_Вводные'!$B$298*MIN(1,'01_Вводные'!$B$22)+IF(OR(23&lt;=('01_Вводные'!$B$15+'01_Вводные'!$B$311),23-('01_Вводные'!$B$15+'01_Вводные'!$B$311)&gt;60),0,INDEX('19_Расчет_аналитики'!$B$4386:$BI$4386,1,23-('01_Вводные'!$B$15+'01_Вводные'!$B$311)))*'01_Вводные'!$B$298*MAX(0,'01_Вводные'!$B$22-1)</f>
        <v/>
      </c>
      <c r="Y4411">
        <f>IF(OR(24&lt;='01_Вводные'!$B$15,24-'01_Вводные'!$B$15&gt;60),0,INDEX('19_Расчет_аналитики'!$B$4386:$BI$4386,1,24-'01_Вводные'!$B$15))*'01_Вводные'!$B$298*MIN(1,'01_Вводные'!$B$22)+IF(OR(24&lt;=('01_Вводные'!$B$15+'01_Вводные'!$B$311),24-('01_Вводные'!$B$15+'01_Вводные'!$B$311)&gt;60),0,INDEX('19_Расчет_аналитики'!$B$4386:$BI$4386,1,24-('01_Вводные'!$B$15+'01_Вводные'!$B$311)))*'01_Вводные'!$B$298*MAX(0,'01_Вводные'!$B$22-1)</f>
        <v/>
      </c>
      <c r="Z4411">
        <f>IF(OR(25&lt;='01_Вводные'!$B$15,25-'01_Вводные'!$B$15&gt;60),0,INDEX('19_Расчет_аналитики'!$B$4386:$BI$4386,1,25-'01_Вводные'!$B$15))*'01_Вводные'!$B$298*MIN(1,'01_Вводные'!$B$22)+IF(OR(25&lt;=('01_Вводные'!$B$15+'01_Вводные'!$B$311),25-('01_Вводные'!$B$15+'01_Вводные'!$B$311)&gt;60),0,INDEX('19_Расчет_аналитики'!$B$4386:$BI$4386,1,25-('01_Вводные'!$B$15+'01_Вводные'!$B$311)))*'01_Вводные'!$B$298*MAX(0,'01_Вводные'!$B$22-1)</f>
        <v/>
      </c>
      <c r="AA4411">
        <f>IF(OR(26&lt;='01_Вводные'!$B$15,26-'01_Вводные'!$B$15&gt;60),0,INDEX('19_Расчет_аналитики'!$B$4386:$BI$4386,1,26-'01_Вводные'!$B$15))*'01_Вводные'!$B$298*MIN(1,'01_Вводные'!$B$22)+IF(OR(26&lt;=('01_Вводные'!$B$15+'01_Вводные'!$B$311),26-('01_Вводные'!$B$15+'01_Вводные'!$B$311)&gt;60),0,INDEX('19_Расчет_аналитики'!$B$4386:$BI$4386,1,26-('01_Вводные'!$B$15+'01_Вводные'!$B$311)))*'01_Вводные'!$B$298*MAX(0,'01_Вводные'!$B$22-1)</f>
        <v/>
      </c>
      <c r="AB4411">
        <f>IF(OR(27&lt;='01_Вводные'!$B$15,27-'01_Вводные'!$B$15&gt;60),0,INDEX('19_Расчет_аналитики'!$B$4386:$BI$4386,1,27-'01_Вводные'!$B$15))*'01_Вводные'!$B$298*MIN(1,'01_Вводные'!$B$22)+IF(OR(27&lt;=('01_Вводные'!$B$15+'01_Вводные'!$B$311),27-('01_Вводные'!$B$15+'01_Вводные'!$B$311)&gt;60),0,INDEX('19_Расчет_аналитики'!$B$4386:$BI$4386,1,27-('01_Вводные'!$B$15+'01_Вводные'!$B$311)))*'01_Вводные'!$B$298*MAX(0,'01_Вводные'!$B$22-1)</f>
        <v/>
      </c>
      <c r="AC4411">
        <f>IF(OR(28&lt;='01_Вводные'!$B$15,28-'01_Вводные'!$B$15&gt;60),0,INDEX('19_Расчет_аналитики'!$B$4386:$BI$4386,1,28-'01_Вводные'!$B$15))*'01_Вводные'!$B$298*MIN(1,'01_Вводные'!$B$22)+IF(OR(28&lt;=('01_Вводные'!$B$15+'01_Вводные'!$B$311),28-('01_Вводные'!$B$15+'01_Вводные'!$B$311)&gt;60),0,INDEX('19_Расчет_аналитики'!$B$4386:$BI$4386,1,28-('01_Вводные'!$B$15+'01_Вводные'!$B$311)))*'01_Вводные'!$B$298*MAX(0,'01_Вводные'!$B$22-1)</f>
        <v/>
      </c>
      <c r="AD4411">
        <f>IF(OR(29&lt;='01_Вводные'!$B$15,29-'01_Вводные'!$B$15&gt;60),0,INDEX('19_Расчет_аналитики'!$B$4386:$BI$4386,1,29-'01_Вводные'!$B$15))*'01_Вводные'!$B$298*MIN(1,'01_Вводные'!$B$22)+IF(OR(29&lt;=('01_Вводные'!$B$15+'01_Вводные'!$B$311),29-('01_Вводные'!$B$15+'01_Вводные'!$B$311)&gt;60),0,INDEX('19_Расчет_аналитики'!$B$4386:$BI$4386,1,29-('01_Вводные'!$B$15+'01_Вводные'!$B$311)))*'01_Вводные'!$B$298*MAX(0,'01_Вводные'!$B$22-1)</f>
        <v/>
      </c>
      <c r="AE4411">
        <f>IF(OR(30&lt;='01_Вводные'!$B$15,30-'01_Вводные'!$B$15&gt;60),0,INDEX('19_Расчет_аналитики'!$B$4386:$BI$4386,1,30-'01_Вводные'!$B$15))*'01_Вводные'!$B$298*MIN(1,'01_Вводные'!$B$22)+IF(OR(30&lt;=('01_Вводные'!$B$15+'01_Вводные'!$B$311),30-('01_Вводные'!$B$15+'01_Вводные'!$B$311)&gt;60),0,INDEX('19_Расчет_аналитики'!$B$4386:$BI$4386,1,30-('01_Вводные'!$B$15+'01_Вводные'!$B$311)))*'01_Вводные'!$B$298*MAX(0,'01_Вводные'!$B$22-1)</f>
        <v/>
      </c>
      <c r="AF4411">
        <f>IF(OR(31&lt;='01_Вводные'!$B$15,31-'01_Вводные'!$B$15&gt;60),0,INDEX('19_Расчет_аналитики'!$B$4386:$BI$4386,1,31-'01_Вводные'!$B$15))*'01_Вводные'!$B$298*MIN(1,'01_Вводные'!$B$22)+IF(OR(31&lt;=('01_Вводные'!$B$15+'01_Вводные'!$B$311),31-('01_Вводные'!$B$15+'01_Вводные'!$B$311)&gt;60),0,INDEX('19_Расчет_аналитики'!$B$4386:$BI$4386,1,31-('01_Вводные'!$B$15+'01_Вводные'!$B$311)))*'01_Вводные'!$B$298*MAX(0,'01_Вводные'!$B$22-1)</f>
        <v/>
      </c>
      <c r="AG4411">
        <f>IF(OR(32&lt;='01_Вводные'!$B$15,32-'01_Вводные'!$B$15&gt;60),0,INDEX('19_Расчет_аналитики'!$B$4386:$BI$4386,1,32-'01_Вводные'!$B$15))*'01_Вводные'!$B$298*MIN(1,'01_Вводные'!$B$22)+IF(OR(32&lt;=('01_Вводные'!$B$15+'01_Вводные'!$B$311),32-('01_Вводные'!$B$15+'01_Вводные'!$B$311)&gt;60),0,INDEX('19_Расчет_аналитики'!$B$4386:$BI$4386,1,32-('01_Вводные'!$B$15+'01_Вводные'!$B$311)))*'01_Вводные'!$B$298*MAX(0,'01_Вводные'!$B$22-1)</f>
        <v/>
      </c>
      <c r="AH4411">
        <f>IF(OR(33&lt;='01_Вводные'!$B$15,33-'01_Вводные'!$B$15&gt;60),0,INDEX('19_Расчет_аналитики'!$B$4386:$BI$4386,1,33-'01_Вводные'!$B$15))*'01_Вводные'!$B$298*MIN(1,'01_Вводные'!$B$22)+IF(OR(33&lt;=('01_Вводные'!$B$15+'01_Вводные'!$B$311),33-('01_Вводные'!$B$15+'01_Вводные'!$B$311)&gt;60),0,INDEX('19_Расчет_аналитики'!$B$4386:$BI$4386,1,33-('01_Вводные'!$B$15+'01_Вводные'!$B$311)))*'01_Вводные'!$B$298*MAX(0,'01_Вводные'!$B$22-1)</f>
        <v/>
      </c>
      <c r="AI4411">
        <f>IF(OR(34&lt;='01_Вводные'!$B$15,34-'01_Вводные'!$B$15&gt;60),0,INDEX('19_Расчет_аналитики'!$B$4386:$BI$4386,1,34-'01_Вводные'!$B$15))*'01_Вводные'!$B$298*MIN(1,'01_Вводные'!$B$22)+IF(OR(34&lt;=('01_Вводные'!$B$15+'01_Вводные'!$B$311),34-('01_Вводные'!$B$15+'01_Вводные'!$B$311)&gt;60),0,INDEX('19_Расчет_аналитики'!$B$4386:$BI$4386,1,34-('01_Вводные'!$B$15+'01_Вводные'!$B$311)))*'01_Вводные'!$B$298*MAX(0,'01_Вводные'!$B$22-1)</f>
        <v/>
      </c>
      <c r="AJ4411">
        <f>IF(OR(35&lt;='01_Вводные'!$B$15,35-'01_Вводные'!$B$15&gt;60),0,INDEX('19_Расчет_аналитики'!$B$4386:$BI$4386,1,35-'01_Вводные'!$B$15))*'01_Вводные'!$B$298*MIN(1,'01_Вводные'!$B$22)+IF(OR(35&lt;=('01_Вводные'!$B$15+'01_Вводные'!$B$311),35-('01_Вводные'!$B$15+'01_Вводные'!$B$311)&gt;60),0,INDEX('19_Расчет_аналитики'!$B$4386:$BI$4386,1,35-('01_Вводные'!$B$15+'01_Вводные'!$B$311)))*'01_Вводные'!$B$298*MAX(0,'01_Вводные'!$B$22-1)</f>
        <v/>
      </c>
      <c r="AK4411">
        <f>IF(OR(36&lt;='01_Вводные'!$B$15,36-'01_Вводные'!$B$15&gt;60),0,INDEX('19_Расчет_аналитики'!$B$4386:$BI$4386,1,36-'01_Вводные'!$B$15))*'01_Вводные'!$B$298*MIN(1,'01_Вводные'!$B$22)+IF(OR(36&lt;=('01_Вводные'!$B$15+'01_Вводные'!$B$311),36-('01_Вводные'!$B$15+'01_Вводные'!$B$311)&gt;60),0,INDEX('19_Расчет_аналитики'!$B$4386:$BI$4386,1,36-('01_Вводные'!$B$15+'01_Вводные'!$B$311)))*'01_Вводные'!$B$298*MAX(0,'01_Вводные'!$B$22-1)</f>
        <v/>
      </c>
      <c r="AL4411">
        <f>IF(OR(37&lt;='01_Вводные'!$B$15,37-'01_Вводные'!$B$15&gt;60),0,INDEX('19_Расчет_аналитики'!$B$4386:$BI$4386,1,37-'01_Вводные'!$B$15))*'01_Вводные'!$B$298*MIN(1,'01_Вводные'!$B$22)+IF(OR(37&lt;=('01_Вводные'!$B$15+'01_Вводные'!$B$311),37-('01_Вводные'!$B$15+'01_Вводные'!$B$311)&gt;60),0,INDEX('19_Расчет_аналитики'!$B$4386:$BI$4386,1,37-('01_Вводные'!$B$15+'01_Вводные'!$B$311)))*'01_Вводные'!$B$298*MAX(0,'01_Вводные'!$B$22-1)</f>
        <v/>
      </c>
      <c r="AM4411">
        <f>IF(OR(38&lt;='01_Вводные'!$B$15,38-'01_Вводные'!$B$15&gt;60),0,INDEX('19_Расчет_аналитики'!$B$4386:$BI$4386,1,38-'01_Вводные'!$B$15))*'01_Вводные'!$B$298*MIN(1,'01_Вводные'!$B$22)+IF(OR(38&lt;=('01_Вводные'!$B$15+'01_Вводные'!$B$311),38-('01_Вводные'!$B$15+'01_Вводные'!$B$311)&gt;60),0,INDEX('19_Расчет_аналитики'!$B$4386:$BI$4386,1,38-('01_Вводные'!$B$15+'01_Вводные'!$B$311)))*'01_Вводные'!$B$298*MAX(0,'01_Вводные'!$B$22-1)</f>
        <v/>
      </c>
      <c r="AN4411">
        <f>IF(OR(39&lt;='01_Вводные'!$B$15,39-'01_Вводные'!$B$15&gt;60),0,INDEX('19_Расчет_аналитики'!$B$4386:$BI$4386,1,39-'01_Вводные'!$B$15))*'01_Вводные'!$B$298*MIN(1,'01_Вводные'!$B$22)+IF(OR(39&lt;=('01_Вводные'!$B$15+'01_Вводные'!$B$311),39-('01_Вводные'!$B$15+'01_Вводные'!$B$311)&gt;60),0,INDEX('19_Расчет_аналитики'!$B$4386:$BI$4386,1,39-('01_Вводные'!$B$15+'01_Вводные'!$B$311)))*'01_Вводные'!$B$298*MAX(0,'01_Вводные'!$B$22-1)</f>
        <v/>
      </c>
      <c r="AO4411">
        <f>IF(OR(40&lt;='01_Вводные'!$B$15,40-'01_Вводные'!$B$15&gt;60),0,INDEX('19_Расчет_аналитики'!$B$4386:$BI$4386,1,40-'01_Вводные'!$B$15))*'01_Вводные'!$B$298*MIN(1,'01_Вводные'!$B$22)+IF(OR(40&lt;=('01_Вводные'!$B$15+'01_Вводные'!$B$311),40-('01_Вводные'!$B$15+'01_Вводные'!$B$311)&gt;60),0,INDEX('19_Расчет_аналитики'!$B$4386:$BI$4386,1,40-('01_Вводные'!$B$15+'01_Вводные'!$B$311)))*'01_Вводные'!$B$298*MAX(0,'01_Вводные'!$B$22-1)</f>
        <v/>
      </c>
      <c r="AP4411">
        <f>IF(OR(41&lt;='01_Вводные'!$B$15,41-'01_Вводные'!$B$15&gt;60),0,INDEX('19_Расчет_аналитики'!$B$4386:$BI$4386,1,41-'01_Вводные'!$B$15))*'01_Вводные'!$B$298*MIN(1,'01_Вводные'!$B$22)+IF(OR(41&lt;=('01_Вводные'!$B$15+'01_Вводные'!$B$311),41-('01_Вводные'!$B$15+'01_Вводные'!$B$311)&gt;60),0,INDEX('19_Расчет_аналитики'!$B$4386:$BI$4386,1,41-('01_Вводные'!$B$15+'01_Вводные'!$B$311)))*'01_Вводные'!$B$298*MAX(0,'01_Вводные'!$B$22-1)</f>
        <v/>
      </c>
      <c r="AQ4411">
        <f>IF(OR(42&lt;='01_Вводные'!$B$15,42-'01_Вводные'!$B$15&gt;60),0,INDEX('19_Расчет_аналитики'!$B$4386:$BI$4386,1,42-'01_Вводные'!$B$15))*'01_Вводные'!$B$298*MIN(1,'01_Вводные'!$B$22)+IF(OR(42&lt;=('01_Вводные'!$B$15+'01_Вводные'!$B$311),42-('01_Вводные'!$B$15+'01_Вводные'!$B$311)&gt;60),0,INDEX('19_Расчет_аналитики'!$B$4386:$BI$4386,1,42-('01_Вводные'!$B$15+'01_Вводные'!$B$311)))*'01_Вводные'!$B$298*MAX(0,'01_Вводные'!$B$22-1)</f>
        <v/>
      </c>
      <c r="AR4411">
        <f>IF(OR(43&lt;='01_Вводные'!$B$15,43-'01_Вводные'!$B$15&gt;60),0,INDEX('19_Расчет_аналитики'!$B$4386:$BI$4386,1,43-'01_Вводные'!$B$15))*'01_Вводные'!$B$298*MIN(1,'01_Вводные'!$B$22)+IF(OR(43&lt;=('01_Вводные'!$B$15+'01_Вводные'!$B$311),43-('01_Вводные'!$B$15+'01_Вводные'!$B$311)&gt;60),0,INDEX('19_Расчет_аналитики'!$B$4386:$BI$4386,1,43-('01_Вводные'!$B$15+'01_Вводные'!$B$311)))*'01_Вводные'!$B$298*MAX(0,'01_Вводные'!$B$22-1)</f>
        <v/>
      </c>
      <c r="AS4411">
        <f>IF(OR(44&lt;='01_Вводные'!$B$15,44-'01_Вводные'!$B$15&gt;60),0,INDEX('19_Расчет_аналитики'!$B$4386:$BI$4386,1,44-'01_Вводные'!$B$15))*'01_Вводные'!$B$298*MIN(1,'01_Вводные'!$B$22)+IF(OR(44&lt;=('01_Вводные'!$B$15+'01_Вводные'!$B$311),44-('01_Вводные'!$B$15+'01_Вводные'!$B$311)&gt;60),0,INDEX('19_Расчет_аналитики'!$B$4386:$BI$4386,1,44-('01_Вводные'!$B$15+'01_Вводные'!$B$311)))*'01_Вводные'!$B$298*MAX(0,'01_Вводные'!$B$22-1)</f>
        <v/>
      </c>
      <c r="AT4411">
        <f>IF(OR(45&lt;='01_Вводные'!$B$15,45-'01_Вводные'!$B$15&gt;60),0,INDEX('19_Расчет_аналитики'!$B$4386:$BI$4386,1,45-'01_Вводные'!$B$15))*'01_Вводные'!$B$298*MIN(1,'01_Вводные'!$B$22)+IF(OR(45&lt;=('01_Вводные'!$B$15+'01_Вводные'!$B$311),45-('01_Вводные'!$B$15+'01_Вводные'!$B$311)&gt;60),0,INDEX('19_Расчет_аналитики'!$B$4386:$BI$4386,1,45-('01_Вводные'!$B$15+'01_Вводные'!$B$311)))*'01_Вводные'!$B$298*MAX(0,'01_Вводные'!$B$22-1)</f>
        <v/>
      </c>
      <c r="AU4411">
        <f>IF(OR(46&lt;='01_Вводные'!$B$15,46-'01_Вводные'!$B$15&gt;60),0,INDEX('19_Расчет_аналитики'!$B$4386:$BI$4386,1,46-'01_Вводные'!$B$15))*'01_Вводные'!$B$298*MIN(1,'01_Вводные'!$B$22)+IF(OR(46&lt;=('01_Вводные'!$B$15+'01_Вводные'!$B$311),46-('01_Вводные'!$B$15+'01_Вводные'!$B$311)&gt;60),0,INDEX('19_Расчет_аналитики'!$B$4386:$BI$4386,1,46-('01_Вводные'!$B$15+'01_Вводные'!$B$311)))*'01_Вводные'!$B$298*MAX(0,'01_Вводные'!$B$22-1)</f>
        <v/>
      </c>
      <c r="AV4411">
        <f>IF(OR(47&lt;='01_Вводные'!$B$15,47-'01_Вводные'!$B$15&gt;60),0,INDEX('19_Расчет_аналитики'!$B$4386:$BI$4386,1,47-'01_Вводные'!$B$15))*'01_Вводные'!$B$298*MIN(1,'01_Вводные'!$B$22)+IF(OR(47&lt;=('01_Вводные'!$B$15+'01_Вводные'!$B$311),47-('01_Вводные'!$B$15+'01_Вводные'!$B$311)&gt;60),0,INDEX('19_Расчет_аналитики'!$B$4386:$BI$4386,1,47-('01_Вводные'!$B$15+'01_Вводные'!$B$311)))*'01_Вводные'!$B$298*MAX(0,'01_Вводные'!$B$22-1)</f>
        <v/>
      </c>
      <c r="AW4411">
        <f>IF(OR(48&lt;='01_Вводные'!$B$15,48-'01_Вводные'!$B$15&gt;60),0,INDEX('19_Расчет_аналитики'!$B$4386:$BI$4386,1,48-'01_Вводные'!$B$15))*'01_Вводные'!$B$298*MIN(1,'01_Вводные'!$B$22)+IF(OR(48&lt;=('01_Вводные'!$B$15+'01_Вводные'!$B$311),48-('01_Вводные'!$B$15+'01_Вводные'!$B$311)&gt;60),0,INDEX('19_Расчет_аналитики'!$B$4386:$BI$4386,1,48-('01_Вводные'!$B$15+'01_Вводные'!$B$311)))*'01_Вводные'!$B$298*MAX(0,'01_Вводные'!$B$22-1)</f>
        <v/>
      </c>
      <c r="AX4411">
        <f>IF(OR(49&lt;='01_Вводные'!$B$15,49-'01_Вводные'!$B$15&gt;60),0,INDEX('19_Расчет_аналитики'!$B$4386:$BI$4386,1,49-'01_Вводные'!$B$15))*'01_Вводные'!$B$298*MIN(1,'01_Вводные'!$B$22)+IF(OR(49&lt;=('01_Вводные'!$B$15+'01_Вводные'!$B$311),49-('01_Вводные'!$B$15+'01_Вводные'!$B$311)&gt;60),0,INDEX('19_Расчет_аналитики'!$B$4386:$BI$4386,1,49-('01_Вводные'!$B$15+'01_Вводные'!$B$311)))*'01_Вводные'!$B$298*MAX(0,'01_Вводные'!$B$22-1)</f>
        <v/>
      </c>
      <c r="AY4411">
        <f>IF(OR(50&lt;='01_Вводные'!$B$15,50-'01_Вводные'!$B$15&gt;60),0,INDEX('19_Расчет_аналитики'!$B$4386:$BI$4386,1,50-'01_Вводные'!$B$15))*'01_Вводные'!$B$298*MIN(1,'01_Вводные'!$B$22)+IF(OR(50&lt;=('01_Вводные'!$B$15+'01_Вводные'!$B$311),50-('01_Вводные'!$B$15+'01_Вводные'!$B$311)&gt;60),0,INDEX('19_Расчет_аналитики'!$B$4386:$BI$4386,1,50-('01_Вводные'!$B$15+'01_Вводные'!$B$311)))*'01_Вводные'!$B$298*MAX(0,'01_Вводные'!$B$22-1)</f>
        <v/>
      </c>
      <c r="AZ4411">
        <f>IF(OR(51&lt;='01_Вводные'!$B$15,51-'01_Вводные'!$B$15&gt;60),0,INDEX('19_Расчет_аналитики'!$B$4386:$BI$4386,1,51-'01_Вводные'!$B$15))*'01_Вводные'!$B$298*MIN(1,'01_Вводные'!$B$22)+IF(OR(51&lt;=('01_Вводные'!$B$15+'01_Вводные'!$B$311),51-('01_Вводные'!$B$15+'01_Вводные'!$B$311)&gt;60),0,INDEX('19_Расчет_аналитики'!$B$4386:$BI$4386,1,51-('01_Вводные'!$B$15+'01_Вводные'!$B$311)))*'01_Вводные'!$B$298*MAX(0,'01_Вводные'!$B$22-1)</f>
        <v/>
      </c>
      <c r="BA4411">
        <f>IF(OR(52&lt;='01_Вводные'!$B$15,52-'01_Вводные'!$B$15&gt;60),0,INDEX('19_Расчет_аналитики'!$B$4386:$BI$4386,1,52-'01_Вводные'!$B$15))*'01_Вводные'!$B$298*MIN(1,'01_Вводные'!$B$22)+IF(OR(52&lt;=('01_Вводные'!$B$15+'01_Вводные'!$B$311),52-('01_Вводные'!$B$15+'01_Вводные'!$B$311)&gt;60),0,INDEX('19_Расчет_аналитики'!$B$4386:$BI$4386,1,52-('01_Вводные'!$B$15+'01_Вводные'!$B$311)))*'01_Вводные'!$B$298*MAX(0,'01_Вводные'!$B$22-1)</f>
        <v/>
      </c>
      <c r="BB4411">
        <f>IF(OR(53&lt;='01_Вводные'!$B$15,53-'01_Вводные'!$B$15&gt;60),0,INDEX('19_Расчет_аналитики'!$B$4386:$BI$4386,1,53-'01_Вводные'!$B$15))*'01_Вводные'!$B$298*MIN(1,'01_Вводные'!$B$22)+IF(OR(53&lt;=('01_Вводные'!$B$15+'01_Вводные'!$B$311),53-('01_Вводные'!$B$15+'01_Вводные'!$B$311)&gt;60),0,INDEX('19_Расчет_аналитики'!$B$4386:$BI$4386,1,53-('01_Вводные'!$B$15+'01_Вводные'!$B$311)))*'01_Вводные'!$B$298*MAX(0,'01_Вводные'!$B$22-1)</f>
        <v/>
      </c>
      <c r="BC4411">
        <f>IF(OR(54&lt;='01_Вводные'!$B$15,54-'01_Вводные'!$B$15&gt;60),0,INDEX('19_Расчет_аналитики'!$B$4386:$BI$4386,1,54-'01_Вводные'!$B$15))*'01_Вводные'!$B$298*MIN(1,'01_Вводные'!$B$22)+IF(OR(54&lt;=('01_Вводные'!$B$15+'01_Вводные'!$B$311),54-('01_Вводные'!$B$15+'01_Вводные'!$B$311)&gt;60),0,INDEX('19_Расчет_аналитики'!$B$4386:$BI$4386,1,54-('01_Вводные'!$B$15+'01_Вводные'!$B$311)))*'01_Вводные'!$B$298*MAX(0,'01_Вводные'!$B$22-1)</f>
        <v/>
      </c>
      <c r="BD4411">
        <f>IF(OR(55&lt;='01_Вводные'!$B$15,55-'01_Вводные'!$B$15&gt;60),0,INDEX('19_Расчет_аналитики'!$B$4386:$BI$4386,1,55-'01_Вводные'!$B$15))*'01_Вводные'!$B$298*MIN(1,'01_Вводные'!$B$22)+IF(OR(55&lt;=('01_Вводные'!$B$15+'01_Вводные'!$B$311),55-('01_Вводные'!$B$15+'01_Вводные'!$B$311)&gt;60),0,INDEX('19_Расчет_аналитики'!$B$4386:$BI$4386,1,55-('01_Вводные'!$B$15+'01_Вводные'!$B$311)))*'01_Вводные'!$B$298*MAX(0,'01_Вводные'!$B$22-1)</f>
        <v/>
      </c>
      <c r="BE4411">
        <f>IF(OR(56&lt;='01_Вводные'!$B$15,56-'01_Вводные'!$B$15&gt;60),0,INDEX('19_Расчет_аналитики'!$B$4386:$BI$4386,1,56-'01_Вводные'!$B$15))*'01_Вводные'!$B$298*MIN(1,'01_Вводные'!$B$22)+IF(OR(56&lt;=('01_Вводные'!$B$15+'01_Вводные'!$B$311),56-('01_Вводные'!$B$15+'01_Вводные'!$B$311)&gt;60),0,INDEX('19_Расчет_аналитики'!$B$4386:$BI$4386,1,56-('01_Вводные'!$B$15+'01_Вводные'!$B$311)))*'01_Вводные'!$B$298*MAX(0,'01_Вводные'!$B$22-1)</f>
        <v/>
      </c>
      <c r="BF4411">
        <f>IF(OR(57&lt;='01_Вводные'!$B$15,57-'01_Вводные'!$B$15&gt;60),0,INDEX('19_Расчет_аналитики'!$B$4386:$BI$4386,1,57-'01_Вводные'!$B$15))*'01_Вводные'!$B$298*MIN(1,'01_Вводные'!$B$22)+IF(OR(57&lt;=('01_Вводные'!$B$15+'01_Вводные'!$B$311),57-('01_Вводные'!$B$15+'01_Вводные'!$B$311)&gt;60),0,INDEX('19_Расчет_аналитики'!$B$4386:$BI$4386,1,57-('01_Вводные'!$B$15+'01_Вводные'!$B$311)))*'01_Вводные'!$B$298*MAX(0,'01_Вводные'!$B$22-1)</f>
        <v/>
      </c>
      <c r="BG4411">
        <f>IF(OR(58&lt;='01_Вводные'!$B$15,58-'01_Вводные'!$B$15&gt;60),0,INDEX('19_Расчет_аналитики'!$B$4386:$BI$4386,1,58-'01_Вводные'!$B$15))*'01_Вводные'!$B$298*MIN(1,'01_Вводные'!$B$22)+IF(OR(58&lt;=('01_Вводные'!$B$15+'01_Вводные'!$B$311),58-('01_Вводные'!$B$15+'01_Вводные'!$B$311)&gt;60),0,INDEX('19_Расчет_аналитики'!$B$4386:$BI$4386,1,58-('01_Вводные'!$B$15+'01_Вводные'!$B$311)))*'01_Вводные'!$B$298*MAX(0,'01_Вводные'!$B$22-1)</f>
        <v/>
      </c>
      <c r="BH4411">
        <f>IF(OR(59&lt;='01_Вводные'!$B$15,59-'01_Вводные'!$B$15&gt;60),0,INDEX('19_Расчет_аналитики'!$B$4386:$BI$4386,1,59-'01_Вводные'!$B$15))*'01_Вводные'!$B$298*MIN(1,'01_Вводные'!$B$22)+IF(OR(59&lt;=('01_Вводные'!$B$15+'01_Вводные'!$B$311),59-('01_Вводные'!$B$15+'01_Вводные'!$B$311)&gt;60),0,INDEX('19_Расчет_аналитики'!$B$4386:$BI$4386,1,59-('01_Вводные'!$B$15+'01_Вводные'!$B$311)))*'01_Вводные'!$B$298*MAX(0,'01_Вводные'!$B$22-1)</f>
        <v/>
      </c>
      <c r="BI4411">
        <f>IF(OR(60&lt;='01_Вводные'!$B$15,60-'01_Вводные'!$B$15&gt;60),0,INDEX('19_Расчет_аналитики'!$B$4386:$BI$4386,1,60-'01_Вводные'!$B$15))*'01_Вводные'!$B$298*MIN(1,'01_Вводные'!$B$22)+IF(OR(60&lt;=('01_Вводные'!$B$15+'01_Вводные'!$B$311),60-('01_Вводные'!$B$15+'01_Вводные'!$B$311)&gt;60),0,INDEX('19_Расчет_аналитики'!$B$4386:$BI$4386,1,60-('01_Вводные'!$B$15+'01_Вводные'!$B$311)))*'01_Вводные'!$B$298*MAX(0,'01_Вводные'!$B$22-1)</f>
        <v/>
      </c>
      <c r="BJ4411">
        <f>IF(OR(61&lt;='01_Вводные'!$B$15,61-'01_Вводные'!$B$15&gt;60),0,INDEX('19_Расчет_аналитики'!$B$4386:$BI$4386,1,61-'01_Вводные'!$B$15))*'01_Вводные'!$B$298*MIN(1,'01_Вводные'!$B$22)+IF(OR(61&lt;=('01_Вводные'!$B$15+'01_Вводные'!$B$311),61-('01_Вводные'!$B$15+'01_Вводные'!$B$311)&gt;60),0,INDEX('19_Расчет_аналитики'!$B$4386:$BI$4386,1,61-('01_Вводные'!$B$15+'01_Вводные'!$B$311)))*'01_Вводные'!$B$298*MAX(0,'01_Вводные'!$B$22-1)</f>
        <v/>
      </c>
      <c r="BK4411">
        <f>IF(OR(62&lt;='01_Вводные'!$B$15,62-'01_Вводные'!$B$15&gt;60),0,INDEX('19_Расчет_аналитики'!$B$4386:$BI$4386,1,62-'01_Вводные'!$B$15))*'01_Вводные'!$B$298*MIN(1,'01_Вводные'!$B$22)+IF(OR(62&lt;=('01_Вводные'!$B$15+'01_Вводные'!$B$311),62-('01_Вводные'!$B$15+'01_Вводные'!$B$311)&gt;60),0,INDEX('19_Расчет_аналитики'!$B$4386:$BI$4386,1,62-('01_Вводные'!$B$15+'01_Вводные'!$B$311)))*'01_Вводные'!$B$298*MAX(0,'01_Вводные'!$B$22-1)</f>
        <v/>
      </c>
      <c r="BL4411">
        <f>IF(OR(63&lt;='01_Вводные'!$B$15,63-'01_Вводные'!$B$15&gt;60),0,INDEX('19_Расчет_аналитики'!$B$4386:$BI$4386,1,63-'01_Вводные'!$B$15))*'01_Вводные'!$B$298*MIN(1,'01_Вводные'!$B$22)+IF(OR(63&lt;=('01_Вводные'!$B$15+'01_Вводные'!$B$311),63-('01_Вводные'!$B$15+'01_Вводные'!$B$311)&gt;60),0,INDEX('19_Расчет_аналитики'!$B$4386:$BI$4386,1,63-('01_Вводные'!$B$15+'01_Вводные'!$B$311)))*'01_Вводные'!$B$298*MAX(0,'01_Вводные'!$B$22-1)</f>
        <v/>
      </c>
      <c r="BM4411">
        <f>IF(OR(64&lt;='01_Вводные'!$B$15,64-'01_Вводные'!$B$15&gt;60),0,INDEX('19_Расчет_аналитики'!$B$4386:$BI$4386,1,64-'01_Вводные'!$B$15))*'01_Вводные'!$B$298*MIN(1,'01_Вводные'!$B$22)+IF(OR(64&lt;=('01_Вводные'!$B$15+'01_Вводные'!$B$311),64-('01_Вводные'!$B$15+'01_Вводные'!$B$311)&gt;60),0,INDEX('19_Расчет_аналитики'!$B$4386:$BI$4386,1,64-('01_Вводные'!$B$15+'01_Вводные'!$B$311)))*'01_Вводные'!$B$298*MAX(0,'01_Вводные'!$B$22-1)</f>
        <v/>
      </c>
      <c r="BN4411">
        <f>IF(OR(65&lt;='01_Вводные'!$B$15,65-'01_Вводные'!$B$15&gt;60),0,INDEX('19_Расчет_аналитики'!$B$4386:$BI$4386,1,65-'01_Вводные'!$B$15))*'01_Вводные'!$B$298*MIN(1,'01_Вводные'!$B$22)+IF(OR(65&lt;=('01_Вводные'!$B$15+'01_Вводные'!$B$311),65-('01_Вводные'!$B$15+'01_Вводные'!$B$311)&gt;60),0,INDEX('19_Расчет_аналитики'!$B$4386:$BI$4386,1,65-('01_Вводные'!$B$15+'01_Вводные'!$B$311)))*'01_Вводные'!$B$298*MAX(0,'01_Вводные'!$B$22-1)</f>
        <v/>
      </c>
      <c r="BO4411">
        <f>IF(OR(66&lt;='01_Вводные'!$B$15,66-'01_Вводные'!$B$15&gt;60),0,INDEX('19_Расчет_аналитики'!$B$4386:$BI$4386,1,66-'01_Вводные'!$B$15))*'01_Вводные'!$B$298*MIN(1,'01_Вводные'!$B$22)+IF(OR(66&lt;=('01_Вводные'!$B$15+'01_Вводные'!$B$311),66-('01_Вводные'!$B$15+'01_Вводные'!$B$311)&gt;60),0,INDEX('19_Расчет_аналитики'!$B$4386:$BI$4386,1,66-('01_Вводные'!$B$15+'01_Вводные'!$B$311)))*'01_Вводные'!$B$298*MAX(0,'01_Вводные'!$B$22-1)</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SUMPRODUCT(('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2),0)</f>
        <v/>
      </c>
      <c r="C4431">
        <f>IF('01_Вводные'!$B$234="Да",SUMPRODUCT(('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2),0)</f>
        <v/>
      </c>
      <c r="D4431">
        <f>IF('01_Вводные'!$B$234="Да",SUMPRODUCT(('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2),0)</f>
        <v/>
      </c>
      <c r="E4431">
        <f>IF('01_Вводные'!$B$234="Да",SUMPRODUCT(('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2),0)</f>
        <v/>
      </c>
      <c r="F4431">
        <f>IF('01_Вводные'!$B$234="Да",SUMPRODUCT(('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2),0)</f>
        <v/>
      </c>
      <c r="G4431">
        <f>IF('01_Вводные'!$B$234="Да",SUMPRODUCT(('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2),0)</f>
        <v/>
      </c>
      <c r="H4431">
        <f>IF('01_Вводные'!$B$234="Да",SUMPRODUCT(('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2),0)</f>
        <v/>
      </c>
      <c r="I4431">
        <f>IF('01_Вводные'!$B$234="Да",SUMPRODUCT(('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2),0)</f>
        <v/>
      </c>
      <c r="J4431">
        <f>IF('01_Вводные'!$B$234="Да",SUMPRODUCT(('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2),0)</f>
        <v/>
      </c>
      <c r="K4431">
        <f>IF('01_Вводные'!$B$234="Да",SUMPRODUCT(('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2),0)</f>
        <v/>
      </c>
      <c r="L4431">
        <f>IF('01_Вводные'!$B$234="Да",SUMPRODUCT(('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2),0)</f>
        <v/>
      </c>
      <c r="M4431">
        <f>IF('01_Вводные'!$B$234="Да",SUMPRODUCT(('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2),0)</f>
        <v/>
      </c>
      <c r="N4431">
        <f>IF('01_Вводные'!$B$234="Да",SUMPRODUCT(('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2),0)</f>
        <v/>
      </c>
      <c r="O4431">
        <f>IF('01_Вводные'!$B$234="Да",SUMPRODUCT(('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2),0)</f>
        <v/>
      </c>
      <c r="P4431">
        <f>IF('01_Вводные'!$B$234="Да",SUMPRODUCT(('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2),0)</f>
        <v/>
      </c>
      <c r="Q4431">
        <f>IF('01_Вводные'!$B$234="Да",SUMPRODUCT(('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2),0)</f>
        <v/>
      </c>
      <c r="R4431">
        <f>IF('01_Вводные'!$B$234="Да",SUMPRODUCT(('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2),0)</f>
        <v/>
      </c>
      <c r="S4431">
        <f>IF('01_Вводные'!$B$234="Да",SUMPRODUCT(('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2),0)</f>
        <v/>
      </c>
      <c r="T4431">
        <f>IF('01_Вводные'!$B$234="Да",SUMPRODUCT(('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2),0)</f>
        <v/>
      </c>
      <c r="U4431">
        <f>IF('01_Вводные'!$B$234="Да",SUMPRODUCT(('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2),0)</f>
        <v/>
      </c>
      <c r="V4431">
        <f>IF('01_Вводные'!$B$234="Да",SUMPRODUCT(('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2),0)</f>
        <v/>
      </c>
      <c r="W4431">
        <f>IF('01_Вводные'!$B$234="Да",SUMPRODUCT(('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2),0)</f>
        <v/>
      </c>
      <c r="X4431">
        <f>IF('01_Вводные'!$B$234="Да",SUMPRODUCT(('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2),0)</f>
        <v/>
      </c>
      <c r="Y4431">
        <f>IF('01_Вводные'!$B$234="Да",SUMPRODUCT(('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2),0)</f>
        <v/>
      </c>
      <c r="Z4431">
        <f>IF('01_Вводные'!$B$234="Да",SUMPRODUCT(('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2),0)</f>
        <v/>
      </c>
      <c r="AA4431">
        <f>IF('01_Вводные'!$B$234="Да",SUMPRODUCT(('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2),0)</f>
        <v/>
      </c>
      <c r="AB4431">
        <f>IF('01_Вводные'!$B$234="Да",SUMPRODUCT(('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2),0)</f>
        <v/>
      </c>
      <c r="AC4431">
        <f>IF('01_Вводные'!$B$234="Да",SUMPRODUCT(('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2),0)</f>
        <v/>
      </c>
      <c r="AD4431">
        <f>IF('01_Вводные'!$B$234="Да",SUMPRODUCT(('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2),0)</f>
        <v/>
      </c>
      <c r="AE4431">
        <f>IF('01_Вводные'!$B$234="Да",SUMPRODUCT(('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2),0)</f>
        <v/>
      </c>
      <c r="AF4431">
        <f>IF('01_Вводные'!$B$234="Да",SUMPRODUCT(('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2),0)</f>
        <v/>
      </c>
      <c r="AG4431">
        <f>IF('01_Вводные'!$B$234="Да",SUMPRODUCT(('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2),0)</f>
        <v/>
      </c>
      <c r="AH4431">
        <f>IF('01_Вводные'!$B$234="Да",SUMPRODUCT(('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2),0)</f>
        <v/>
      </c>
      <c r="AI4431">
        <f>IF('01_Вводные'!$B$234="Да",SUMPRODUCT(('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2),0)</f>
        <v/>
      </c>
      <c r="AJ4431">
        <f>IF('01_Вводные'!$B$234="Да",SUMPRODUCT(('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2),0)</f>
        <v/>
      </c>
      <c r="AK4431">
        <f>IF('01_Вводные'!$B$234="Да",SUMPRODUCT(('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2),0)</f>
        <v/>
      </c>
      <c r="AL4431">
        <f>IF('01_Вводные'!$B$234="Да",SUMPRODUCT(('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2),0)</f>
        <v/>
      </c>
      <c r="AM4431">
        <f>IF('01_Вводные'!$B$234="Да",SUMPRODUCT(('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2),0)</f>
        <v/>
      </c>
      <c r="AN4431">
        <f>IF('01_Вводные'!$B$234="Да",SUMPRODUCT(('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2),0)</f>
        <v/>
      </c>
      <c r="AO4431">
        <f>IF('01_Вводные'!$B$234="Да",SUMPRODUCT(('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2),0)</f>
        <v/>
      </c>
      <c r="AP4431">
        <f>IF('01_Вводные'!$B$234="Да",SUMPRODUCT(('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2),0)</f>
        <v/>
      </c>
      <c r="AQ4431">
        <f>IF('01_Вводные'!$B$234="Да",SUMPRODUCT(('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2),0)</f>
        <v/>
      </c>
      <c r="AR4431">
        <f>IF('01_Вводные'!$B$234="Да",SUMPRODUCT(('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2),0)</f>
        <v/>
      </c>
      <c r="AS4431">
        <f>IF('01_Вводные'!$B$234="Да",SUMPRODUCT(('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2),0)</f>
        <v/>
      </c>
      <c r="AT4431">
        <f>IF('01_Вводные'!$B$234="Да",SUMPRODUCT(('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2),0)</f>
        <v/>
      </c>
      <c r="AU4431">
        <f>IF('01_Вводные'!$B$234="Да",SUMPRODUCT(('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2),0)</f>
        <v/>
      </c>
      <c r="AV4431">
        <f>IF('01_Вводные'!$B$234="Да",SUMPRODUCT(('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2),0)</f>
        <v/>
      </c>
      <c r="AW4431">
        <f>IF('01_Вводные'!$B$234="Да",SUMPRODUCT(('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2),0)</f>
        <v/>
      </c>
      <c r="AX4431">
        <f>IF('01_Вводные'!$B$234="Да",SUMPRODUCT(('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2),0)</f>
        <v/>
      </c>
      <c r="AY4431">
        <f>IF('01_Вводные'!$B$234="Да",SUMPRODUCT(('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2),0)</f>
        <v/>
      </c>
      <c r="AZ4431">
        <f>IF('01_Вводные'!$B$234="Да",SUMPRODUCT(('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2),0)</f>
        <v/>
      </c>
      <c r="BA4431">
        <f>IF('01_Вводные'!$B$234="Да",SUMPRODUCT(('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2),0)</f>
        <v/>
      </c>
      <c r="BB4431">
        <f>IF('01_Вводные'!$B$234="Да",SUMPRODUCT(('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2),0)</f>
        <v/>
      </c>
      <c r="BC4431">
        <f>IF('01_Вводные'!$B$234="Да",SUMPRODUCT(('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2),0)</f>
        <v/>
      </c>
      <c r="BD4431">
        <f>IF('01_Вводные'!$B$234="Да",SUMPRODUCT(('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2),0)</f>
        <v/>
      </c>
      <c r="BE4431">
        <f>IF('01_Вводные'!$B$234="Да",SUMPRODUCT(('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2),0)</f>
        <v/>
      </c>
      <c r="BF4431">
        <f>IF('01_Вводные'!$B$234="Да",SUMPRODUCT(('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2),0)</f>
        <v/>
      </c>
      <c r="BG4431">
        <f>IF('01_Вводные'!$B$234="Да",SUMPRODUCT(('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2),0)</f>
        <v/>
      </c>
      <c r="BH4431">
        <f>IF('01_Вводные'!$B$234="Да",SUMPRODUCT(('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2),0)</f>
        <v/>
      </c>
      <c r="BI4431">
        <f>IF('01_Вводные'!$B$234="Да",SUMPRODUCT(('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2),0)</f>
        <v/>
      </c>
      <c r="BJ4431">
        <f>IF('01_Вводные'!$B$234="Да",SUMPRODUCT(('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2),0)</f>
        <v/>
      </c>
      <c r="BK4431">
        <f>IF('01_Вводные'!$B$234="Да",SUMPRODUCT(('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2),0)</f>
        <v/>
      </c>
      <c r="BL4431">
        <f>IF('01_Вводные'!$B$234="Да",SUMPRODUCT(('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2),0)</f>
        <v/>
      </c>
      <c r="BM4431">
        <f>IF('01_Вводные'!$B$234="Да",SUMPRODUCT(('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2),0)</f>
        <v/>
      </c>
      <c r="BN4431">
        <f>IF('01_Вводные'!$B$234="Да",SUMPRODUCT(('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2),0)</f>
        <v/>
      </c>
      <c r="BO4431">
        <f>IF('01_Вводные'!$B$234="Да",SUMPRODUCT(('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29" t="n"/>
      <c r="D5" s="329" t="n"/>
      <c r="E5" s="329" t="n"/>
    </row>
    <row r="6" ht="34" customHeight="1">
      <c r="A6" s="330" t="inlineStr">
        <is>
          <t>1</t>
        </is>
      </c>
      <c r="B6" s="331" t="inlineStr">
        <is>
          <t>Лиды</t>
        </is>
      </c>
      <c r="C6" s="254" t="inlineStr">
        <is>
          <t>04_Продажи</t>
        </is>
      </c>
      <c r="D6" s="332" t="inlineStr">
        <is>
          <t>План продаж ÷ конверсия лид→продажа, округление вверх</t>
        </is>
      </c>
      <c r="E6" s="333" t="inlineStr">
        <is>
          <t>01_Вводные!B25 (3%), план продаж B36:B40</t>
        </is>
      </c>
    </row>
    <row r="7" ht="34" customHeight="1">
      <c r="A7" s="330" t="inlineStr">
        <is>
          <t>2</t>
        </is>
      </c>
      <c r="B7" s="331" t="inlineStr">
        <is>
          <t>Продажи франшиз</t>
        </is>
      </c>
      <c r="C7" s="254" t="inlineStr">
        <is>
          <t>04_Продажи</t>
        </is>
      </c>
      <c r="D7" s="332" t="inlineStr">
        <is>
          <t>Годовой план сезона × месячная доля сезонности. Годовой план = база (B210:B214) × множитель сценария (F198)</t>
        </is>
      </c>
      <c r="E7" s="333" t="inlineStr">
        <is>
          <t>01_Вводные!B36:B40 и C36:N40</t>
        </is>
      </c>
    </row>
    <row r="8" ht="34" customHeight="1">
      <c r="A8" s="330" t="inlineStr">
        <is>
          <t>3</t>
        </is>
      </c>
      <c r="B8" s="331" t="inlineStr">
        <is>
          <t>Открытия школ</t>
        </is>
      </c>
      <c r="C8" s="254" t="inlineStr">
        <is>
          <t>04_Продажи</t>
        </is>
      </c>
      <c r="D8" s="332" t="inlineStr">
        <is>
          <t>Продажи, сдвинутые на лаг «продажа → открытие», × конверсия в открытие</t>
        </is>
      </c>
      <c r="E8" s="333" t="inlineStr">
        <is>
          <t>01_Вводные!B15 (2 мес.), B298 (100%)</t>
        </is>
      </c>
    </row>
    <row r="9" ht="34" customHeight="1">
      <c r="A9" s="330" t="inlineStr">
        <is>
          <t>4</t>
        </is>
      </c>
      <c r="B9" s="331" t="inlineStr">
        <is>
          <t>Новые юрлица и школы</t>
        </is>
      </c>
      <c r="C9" s="254" t="inlineStr">
        <is>
          <t>06_Сеть_и_дети</t>
        </is>
      </c>
      <c r="D9" s="332" t="inlineStr">
        <is>
          <t>Продажи × коэффициент юрлиц; отдельно продажи × коэффициент школ</t>
        </is>
      </c>
      <c r="E9" s="333" t="inlineStr">
        <is>
          <t>01_Вводные!B16, B22</t>
        </is>
      </c>
    </row>
    <row r="10" ht="34" customHeight="1">
      <c r="A10" s="330" t="inlineStr">
        <is>
          <t>5</t>
        </is>
      </c>
      <c r="B10" s="331" t="inlineStr">
        <is>
          <t>Маркетинг привлечения</t>
        </is>
      </c>
      <c r="C10" s="254" t="inlineStr">
        <is>
          <t>04_Продажи</t>
        </is>
      </c>
      <c r="D10" s="332" t="inlineStr">
        <is>
          <t>Таргет платится за 2 месяца до продажи (для октября 2026 — за 1); плюс БИБОСС / TopFranchise / Forbes раз в год</t>
        </is>
      </c>
      <c r="E10" s="333" t="inlineStr">
        <is>
          <t>01_Вводные!B26:B33, B242:B243</t>
        </is>
      </c>
    </row>
    <row r="11">
      <c r="A11" s="257" t="inlineStr">
        <is>
          <t>B</t>
        </is>
      </c>
      <c r="B11" s="257" t="inlineStr">
        <is>
          <t>Сеть и дети</t>
        </is>
      </c>
      <c r="C11" s="329" t="n"/>
      <c r="D11" s="329" t="n"/>
      <c r="E11" s="329" t="n"/>
    </row>
    <row r="12" ht="34" customHeight="1">
      <c r="A12" s="330" t="inlineStr">
        <is>
          <t>6</t>
        </is>
      </c>
      <c r="B12" s="331" t="inlineStr">
        <is>
          <t>Действующая сеть</t>
        </is>
      </c>
      <c r="C12" s="254" t="inlineStr">
        <is>
          <t>06_Сеть_и_дети</t>
        </is>
      </c>
      <c r="D12" s="332" t="inlineStr">
        <is>
          <t>104 школы × коэффициент сохранения; дети = 5 200 × рост 10% в год, пересчёт каждый сентябрь</t>
        </is>
      </c>
      <c r="E12" s="333" t="inlineStr">
        <is>
          <t>01_Вводные!B9, B11, B12, B13</t>
        </is>
      </c>
    </row>
    <row r="13" ht="34" customHeight="1">
      <c r="A13" s="330" t="inlineStr">
        <is>
          <t>7</t>
        </is>
      </c>
      <c r="B13" s="331" t="inlineStr">
        <is>
          <t>Новые школы по возрасту</t>
        </is>
      </c>
      <c r="C13" s="254" t="inlineStr">
        <is>
          <t>06_Сеть_и_дети</t>
        </is>
      </c>
      <c r="D13" s="332" t="inlineStr">
        <is>
          <t>Каждая открытая школа живёт в своей когорте: месяцы 1–12, 13–24, зрелая. Это и есть постепенный набор</t>
        </is>
      </c>
      <c r="E13" s="333" t="inlineStr">
        <is>
          <t>01_Вводные!B295, 18_Календарь_тарифы</t>
        </is>
      </c>
    </row>
    <row r="14" ht="34" customHeight="1">
      <c r="A14" s="330" t="inlineStr">
        <is>
          <t>8</t>
        </is>
      </c>
      <c r="B14" s="331" t="inlineStr">
        <is>
          <t>Дети новых школ</t>
        </is>
      </c>
      <c r="C14" s="254" t="inlineStr">
        <is>
          <t>06_Сеть_и_дети</t>
        </is>
      </c>
      <c r="D14" s="332" t="inlineStr">
        <is>
          <t>Сумма по когортам: школы возраста N × норматив детей возраста N × множитель сценария × сезонность посещаемости</t>
        </is>
      </c>
      <c r="E14" s="333" t="inlineStr">
        <is>
          <t>01_Вводные!B46 (75,05 к 12-му мес.), B47 (165,125 к 24-му), B44</t>
        </is>
      </c>
    </row>
    <row r="15" ht="34" customHeight="1">
      <c r="A15" s="330" t="inlineStr">
        <is>
          <t>9</t>
        </is>
      </c>
      <c r="B15" s="331" t="inlineStr">
        <is>
          <t>Сезонность посещаемости</t>
        </is>
      </c>
      <c r="C15" s="254" t="inlineStr">
        <is>
          <t>01_Вводные</t>
        </is>
      </c>
      <c r="D15" s="332" t="inlineStr">
        <is>
          <t>Индекс от 5,9% (август) до 100% (февраль). Умножается на детей, а не на цену: летом платящих меньше</t>
        </is>
      </c>
      <c r="E15" s="333" t="inlineStr">
        <is>
          <t>01_Вводные!B44:M44</t>
        </is>
      </c>
    </row>
    <row r="16">
      <c r="A16" s="257" t="inlineStr">
        <is>
          <t>C</t>
        </is>
      </c>
      <c r="B16" s="257" t="inlineStr">
        <is>
          <t>Выручка</t>
        </is>
      </c>
      <c r="C16" s="329" t="n"/>
      <c r="D16" s="329" t="n"/>
      <c r="E16" s="329" t="n"/>
    </row>
    <row r="17" ht="34" customHeight="1">
      <c r="A17" s="330" t="inlineStr">
        <is>
          <t>10</t>
        </is>
      </c>
      <c r="B17" s="331" t="inlineStr">
        <is>
          <t>Паушальные взносы</t>
        </is>
      </c>
      <c r="C17" s="254" t="inlineStr">
        <is>
          <t>02_Модель</t>
        </is>
      </c>
      <c r="D17" s="332" t="inlineStr">
        <is>
          <t>Продажи × средний паушальный по тарифному миксу (937 767 ₽ с НДС), затем ÷ (1 + НДС)</t>
        </is>
      </c>
      <c r="E17" s="333" t="inlineStr">
        <is>
          <t>01_Вводные!B63:B67, тарифы B263:D282</t>
        </is>
      </c>
    </row>
    <row r="18" ht="34" customHeight="1">
      <c r="A18" s="330" t="inlineStr">
        <is>
          <t>11</t>
        </is>
      </c>
      <c r="B18" s="331" t="inlineStr">
        <is>
          <t>Роялти действующей сети</t>
        </is>
      </c>
      <c r="C18" s="254" t="inlineStr">
        <is>
          <t>06_Сеть_и_дети</t>
        </is>
      </c>
      <c r="D18" s="332" t="inlineStr">
        <is>
          <t>MAX(% от оборота; 104 школы × минимум). Оборот = активные дети × абонемент. Ставка 6,5% → 10% с 01.01.2030</t>
        </is>
      </c>
      <c r="E18" s="333" t="inlineStr">
        <is>
          <t>01_Вводные!B51, B52, B55:B57, B245</t>
        </is>
      </c>
    </row>
    <row r="19" ht="34" customHeight="1">
      <c r="A19" s="330" t="inlineStr">
        <is>
          <t>12</t>
        </is>
      </c>
      <c r="B19" s="331" t="inlineStr">
        <is>
          <t>Роялти новых школ</t>
        </is>
      </c>
      <c r="C19" s="254" t="inlineStr">
        <is>
          <t>06_Сеть_и_дети</t>
        </is>
      </c>
      <c r="D19" s="332" t="inlineStr">
        <is>
          <t>Минимум проверяется ПО КАЖДОЙ школе своей тарифной группы, и только потом суммируется. Ставка 6,5% для договоров до 31.12.2026, 8,5% для новых, 10% с 2030</t>
        </is>
      </c>
      <c r="E19" s="333" t="inlineStr">
        <is>
          <t>01_Вводные!B53, B54, B239, B244</t>
        </is>
      </c>
    </row>
    <row r="20" ht="34" customHeight="1">
      <c r="A20" s="330" t="inlineStr">
        <is>
          <t>13</t>
        </is>
      </c>
      <c r="B20" s="331" t="inlineStr">
        <is>
          <t>Мерч</t>
        </is>
      </c>
      <c r="C20" s="254" t="inlineStr">
        <is>
          <t>07_Мерч</t>
        </is>
      </c>
      <c r="D20" s="332"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3" t="inlineStr">
        <is>
          <t>01_Вводные!B71:B74, B87:B89, B94:M94, B99:E101</t>
        </is>
      </c>
    </row>
    <row r="21" ht="34" customHeight="1">
      <c r="A21" s="330" t="inlineStr">
        <is>
          <t>14</t>
        </is>
      </c>
      <c r="B21" s="331" t="inlineStr">
        <is>
          <t>Лагеря</t>
        </is>
      </c>
      <c r="C21" s="254" t="inlineStr">
        <is>
          <t>09_Лагеря</t>
        </is>
      </c>
      <c r="D21" s="332" t="inlineStr">
        <is>
          <t>2 смены в июне × (50 без проживания × 80 000 + 50 с проживанием × 120 000). Начисление в июне, деньги — аванс 40% при продаже и 60% в мае</t>
        </is>
      </c>
      <c r="E21" s="333" t="inlineStr">
        <is>
          <t>01_Вводные!B161:B177, B241</t>
        </is>
      </c>
    </row>
    <row r="22">
      <c r="A22" s="257" t="inlineStr">
        <is>
          <t>D</t>
        </is>
      </c>
      <c r="B22" s="257" t="inlineStr">
        <is>
          <t>Расходы и прибыль</t>
        </is>
      </c>
      <c r="C22" s="329" t="n"/>
      <c r="D22" s="329" t="n"/>
      <c r="E22" s="329" t="n"/>
    </row>
    <row r="23" ht="34" customHeight="1">
      <c r="A23" s="330" t="inlineStr">
        <is>
          <t>15</t>
        </is>
      </c>
      <c r="B23" s="331" t="inlineStr">
        <is>
          <t>Прямые расходы</t>
        </is>
      </c>
      <c r="C23" s="254" t="inlineStr">
        <is>
          <t>02_Модель</t>
        </is>
      </c>
      <c r="D23" s="332" t="inlineStr">
        <is>
          <t>COGS мерча + логистика 2% + доли ФК (35% паушального, 10% роялти, 35% прибыли мерча) + расходы лагеря и доля партнёра</t>
        </is>
      </c>
      <c r="E23" s="333" t="inlineStr">
        <is>
          <t>01_Вводные!B59, B60, B75, B76</t>
        </is>
      </c>
    </row>
    <row r="24" ht="34" customHeight="1">
      <c r="A24" s="330" t="inlineStr">
        <is>
          <t>16</t>
        </is>
      </c>
      <c r="B24" s="331" t="inlineStr">
        <is>
          <t>OPEX</t>
        </is>
      </c>
      <c r="C24" s="254" t="inlineStr">
        <is>
          <t>02_Модель</t>
        </is>
      </c>
      <c r="D24" s="332" t="inlineStr">
        <is>
          <t>ФОТ и кадры + ERP (80 000 базовых на 104 школы, +3 000 за каждую новую) + офис + юристы + IT + SMM + маркетинг привлечения</t>
        </is>
      </c>
      <c r="E24" s="333" t="inlineStr">
        <is>
          <t>01_Вводные!B105:B112, лист 08_ФОТ</t>
        </is>
      </c>
    </row>
    <row r="25" ht="34" customHeight="1">
      <c r="A25" s="330" t="inlineStr">
        <is>
          <t>17</t>
        </is>
      </c>
      <c r="B25" s="331" t="inlineStr">
        <is>
          <t>ФОТ</t>
        </is>
      </c>
      <c r="C25" s="254" t="inlineStr">
        <is>
          <t>08_ФОТ</t>
        </is>
      </c>
      <c r="D25" s="332"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3" t="inlineStr">
        <is>
          <t>01_Вводные!B116:B152, B246:B251</t>
        </is>
      </c>
    </row>
    <row r="26" ht="34" customHeight="1">
      <c r="A26" s="330" t="inlineStr">
        <is>
          <t>18</t>
        </is>
      </c>
      <c r="B26" s="331" t="inlineStr">
        <is>
          <t>EBITDA</t>
        </is>
      </c>
      <c r="C26" s="254" t="inlineStr">
        <is>
          <t>02_Модель</t>
        </is>
      </c>
      <c r="D26" s="332" t="inlineStr">
        <is>
          <t>Выручка без НДС − прямые расходы − OPEX. До налога, CAPEX и займа</t>
        </is>
      </c>
      <c r="E26" s="333" t="inlineStr">
        <is>
          <t>—</t>
        </is>
      </c>
    </row>
    <row r="27" ht="34" customHeight="1">
      <c r="A27" s="330" t="inlineStr">
        <is>
          <t>19</t>
        </is>
      </c>
      <c r="B27" s="331" t="inlineStr">
        <is>
          <t>Налог</t>
        </is>
      </c>
      <c r="C27" s="254" t="inlineStr">
        <is>
          <t>02_Модель</t>
        </is>
      </c>
      <c r="D27" s="332" t="inlineStr">
        <is>
          <t>УСН «доходы минус расходы»: MAX(1% от выручки; 15% от прибыли). Считается помесячно</t>
        </is>
      </c>
      <c r="E27" s="333" t="inlineStr">
        <is>
          <t>01_Вводные!B156, B157</t>
        </is>
      </c>
    </row>
    <row r="28">
      <c r="A28" s="257" t="inlineStr">
        <is>
          <t>E</t>
        </is>
      </c>
      <c r="B28" s="257" t="inlineStr">
        <is>
          <t>Деньги</t>
        </is>
      </c>
      <c r="C28" s="329" t="n"/>
      <c r="D28" s="329" t="n"/>
      <c r="E28" s="329" t="n"/>
    </row>
    <row r="29" ht="34" customHeight="1">
      <c r="A29" s="330" t="inlineStr">
        <is>
          <t>20</t>
        </is>
      </c>
      <c r="B29" s="331" t="inlineStr">
        <is>
          <t>Поступления</t>
        </is>
      </c>
      <c r="C29" s="254" t="inlineStr">
        <is>
          <t>02_Модель</t>
        </is>
      </c>
      <c r="D29" s="332" t="inlineStr">
        <is>
          <t>Паушальные — в месяц продажи. Роялти — по дебиторке (15 дней ≈ 50% текущий / 50% следующий месяц). Мерч и лагеря — по своим графикам</t>
        </is>
      </c>
      <c r="E29" s="333" t="inlineStr">
        <is>
          <t>01_Вводные!B18, B20</t>
        </is>
      </c>
    </row>
    <row r="30" ht="34" customHeight="1">
      <c r="A30" s="330" t="inlineStr">
        <is>
          <t>21</t>
        </is>
      </c>
      <c r="B30" s="331" t="inlineStr">
        <is>
          <t>Выплаты</t>
        </is>
      </c>
      <c r="C30" s="254" t="inlineStr">
        <is>
          <t>02_Модель</t>
        </is>
      </c>
      <c r="D30" s="332" t="inlineStr">
        <is>
          <t>Поставщики — по кредиторке 15 дней. ФОТ, НДС, УСН, лагеря, CAPEX — в месяце начисления</t>
        </is>
      </c>
      <c r="E30" s="333" t="inlineStr">
        <is>
          <t>01_Вводные!B19, B21</t>
        </is>
      </c>
    </row>
    <row r="31" ht="34" customHeight="1">
      <c r="A31" s="330" t="inlineStr">
        <is>
          <t>22</t>
        </is>
      </c>
      <c r="B31" s="331" t="inlineStr">
        <is>
          <t>Склад и закупки</t>
        </is>
      </c>
      <c r="C31" s="254" t="inlineStr">
        <is>
          <t>07_Мерч</t>
        </is>
      </c>
      <c r="D31" s="332"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3" t="inlineStr">
        <is>
          <t>01_Вводные!B77, B80:B85</t>
        </is>
      </c>
    </row>
    <row r="32" ht="34" customHeight="1">
      <c r="A32" s="330" t="inlineStr">
        <is>
          <t>23</t>
        </is>
      </c>
      <c r="B32" s="331" t="inlineStr">
        <is>
          <t>Возврат займа ФК</t>
        </is>
      </c>
      <c r="C32" s="254" t="inlineStr">
        <is>
          <t>07_Мерч</t>
        </is>
      </c>
      <c r="D32" s="332" t="inlineStr">
        <is>
          <t>60% от COGS проданной формы, но не больше доступных денег и только если склад не ниже цели. Тело займа — отдельно от операционных выплат</t>
        </is>
      </c>
      <c r="E32" s="333" t="inlineStr">
        <is>
          <t>01_Вводные!B78, B79, B237, B238</t>
        </is>
      </c>
    </row>
    <row r="33" ht="34" customHeight="1">
      <c r="A33" s="330" t="inlineStr">
        <is>
          <t>24</t>
        </is>
      </c>
      <c r="B33" s="331" t="inlineStr">
        <is>
          <t>CAPEX</t>
        </is>
      </c>
      <c r="C33" s="254" t="inlineStr">
        <is>
          <t>02_Модель</t>
        </is>
      </c>
      <c r="D33" s="332" t="inlineStr">
        <is>
          <t>Правило v4: 1% от выручки с НДС + разовый CAPEX в первом месяце. Вычитается из денег ДО погашения займа, в EBITDA не входит</t>
        </is>
      </c>
      <c r="E33" s="333" t="inlineStr">
        <is>
          <t>01_Вводные!B286:B290</t>
        </is>
      </c>
    </row>
    <row r="34" ht="34" customHeight="1">
      <c r="A34" s="330" t="inlineStr">
        <is>
          <t>25</t>
        </is>
      </c>
      <c r="B34" s="331" t="inlineStr">
        <is>
          <t>Итог по деньгам</t>
        </is>
      </c>
      <c r="C34" s="254" t="inlineStr">
        <is>
          <t>02_Модель</t>
        </is>
      </c>
      <c r="D34" s="332"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3" t="inlineStr">
        <is>
          <t>00_Дашборд!H38</t>
        </is>
      </c>
    </row>
    <row r="35">
      <c r="A35" s="257" t="inlineStr">
        <is>
          <t>F</t>
        </is>
      </c>
      <c r="B35" s="257" t="inlineStr">
        <is>
          <t>Контроль</t>
        </is>
      </c>
      <c r="C35" s="329" t="n"/>
      <c r="D35" s="329" t="n"/>
      <c r="E35" s="329" t="n"/>
    </row>
    <row r="36" ht="34" customHeight="1">
      <c r="A36" s="330" t="inlineStr">
        <is>
          <t>26</t>
        </is>
      </c>
      <c r="B36" s="331" t="inlineStr">
        <is>
          <t>Мост БДР → БДДС</t>
        </is>
      </c>
      <c r="C36" s="254" t="inlineStr">
        <is>
          <t>02_Модель</t>
        </is>
      </c>
      <c r="D36" s="332" t="inlineStr">
        <is>
          <t>EBITDA − налог − Δдебиторка + Δкредиторка + Δавансы − Δсклад − займ + Δдолг перед ФК − CAPEX. Строка 86 должна быть 0</t>
        </is>
      </c>
      <c r="E36" s="333" t="inlineStr">
        <is>
          <t>13_Проверки!A29</t>
        </is>
      </c>
    </row>
    <row r="37" ht="34" customHeight="1">
      <c r="A37" s="330" t="inlineStr">
        <is>
          <t>27</t>
        </is>
      </c>
      <c r="B37" s="331" t="inlineStr">
        <is>
          <t>Баланс склада и займа</t>
        </is>
      </c>
      <c r="C37" s="254" t="inlineStr">
        <is>
          <t>02_Модель</t>
        </is>
      </c>
      <c r="D37" s="332" t="inlineStr">
        <is>
          <t>Склад начало + закупка − списание = склад конец. Займ начало − погашения = займ конец</t>
        </is>
      </c>
      <c r="E37" s="333"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4"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4"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4"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4"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4"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5"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5"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5" t="n">
        <v>3</v>
      </c>
      <c r="C17" s="255" t="n"/>
      <c r="D17" s="234" t="inlineStr">
        <is>
          <t>Тольятти; «Наше будущее» (Екатеринбург); Дианов (Кемерово)</t>
        </is>
      </c>
    </row>
    <row r="18" ht="30" customHeight="1">
      <c r="A18" s="231" t="inlineStr">
        <is>
          <t>Конкуренция</t>
        </is>
      </c>
      <c r="B18" s="335"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5" t="n">
        <v>1</v>
      </c>
      <c r="C19" s="255" t="n"/>
      <c r="D19" s="234" t="inlineStr">
        <is>
          <t>Алборов (Екатеринбург) — хотел переехать в Москву без взноса</t>
        </is>
      </c>
    </row>
    <row r="20" ht="30" customHeight="1">
      <c r="A20" s="331" t="inlineStr">
        <is>
          <t>Итого</t>
        </is>
      </c>
      <c r="B20" s="336" t="n">
        <v>18</v>
      </c>
      <c r="C20" s="255" t="n"/>
      <c r="D20" s="337"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8"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39" t="n">
        <v>0.9631999999999999</v>
      </c>
      <c r="C26" s="340" t="n">
        <v>1953441</v>
      </c>
      <c r="D26" s="341" t="n">
        <v>1860420</v>
      </c>
      <c r="E26" s="261" t="n">
        <v>1849872</v>
      </c>
      <c r="F26" s="255" t="n"/>
    </row>
    <row r="27">
      <c r="A27" s="231" t="inlineStr">
        <is>
          <t>Февраль</t>
        </is>
      </c>
      <c r="B27" s="339" t="n">
        <v>1</v>
      </c>
      <c r="C27" s="340" t="n">
        <v>2028000</v>
      </c>
      <c r="D27" s="341" t="n">
        <v>1931429</v>
      </c>
      <c r="E27" s="261" t="n">
        <v>2208620</v>
      </c>
      <c r="F27" s="255" t="n"/>
    </row>
    <row r="28">
      <c r="A28" s="231" t="inlineStr">
        <is>
          <t>Март</t>
        </is>
      </c>
      <c r="B28" s="339" t="n">
        <v>0.9926</v>
      </c>
      <c r="C28" s="340" t="n">
        <v>2013088</v>
      </c>
      <c r="D28" s="341" t="n">
        <v>1917227</v>
      </c>
      <c r="E28" s="342" t="n">
        <v>2336206</v>
      </c>
      <c r="F28" s="255" t="n"/>
    </row>
    <row r="29">
      <c r="A29" s="231" t="inlineStr">
        <is>
          <t>Апрель</t>
        </is>
      </c>
      <c r="B29" s="339" t="n">
        <v>0.9265</v>
      </c>
      <c r="C29" s="340" t="n">
        <v>1878882</v>
      </c>
      <c r="D29" s="341" t="n">
        <v>1789412</v>
      </c>
      <c r="E29" s="342" t="n">
        <v>2456244</v>
      </c>
      <c r="F29" s="255" t="n"/>
    </row>
    <row r="30">
      <c r="A30" s="231" t="inlineStr">
        <is>
          <t>Май</t>
        </is>
      </c>
      <c r="B30" s="339" t="n">
        <v>0.8235</v>
      </c>
      <c r="C30" s="340" t="n">
        <v>1670118</v>
      </c>
      <c r="D30" s="341" t="n">
        <v>1590588</v>
      </c>
      <c r="E30" s="342" t="n">
        <v>2454376</v>
      </c>
      <c r="F30" s="255" t="n"/>
    </row>
    <row r="31">
      <c r="A31" s="231" t="inlineStr">
        <is>
          <t>Июнь</t>
        </is>
      </c>
      <c r="B31" s="339" t="n">
        <v>0.3162</v>
      </c>
      <c r="C31" s="340" t="n">
        <v>641206</v>
      </c>
      <c r="D31" s="341" t="n">
        <v>1485714</v>
      </c>
      <c r="E31" s="342" t="n">
        <v>2866564</v>
      </c>
      <c r="F31" s="342" t="n">
        <v>2452155</v>
      </c>
    </row>
    <row r="32">
      <c r="A32" s="231" t="inlineStr">
        <is>
          <t>Июль</t>
        </is>
      </c>
      <c r="B32" s="339" t="n">
        <v>0.1397</v>
      </c>
      <c r="C32" s="340" t="n">
        <v>283324</v>
      </c>
      <c r="D32" s="341" t="n">
        <v>1485714</v>
      </c>
      <c r="E32" s="255" t="n"/>
      <c r="F32" s="342" t="n">
        <v>3070178</v>
      </c>
    </row>
    <row r="33">
      <c r="A33" s="343" t="inlineStr">
        <is>
          <t>Итого январь–июнь</t>
        </is>
      </c>
      <c r="D33" s="261">
        <f>SUM(D26:D31)</f>
        <v/>
      </c>
      <c r="E33" s="261">
        <f>SUM(E26:E31)</f>
        <v/>
      </c>
    </row>
    <row r="34">
      <c r="A34" s="324" t="inlineStr">
        <is>
          <t>Модель к факту</t>
        </is>
      </c>
      <c r="D34" s="344">
        <f>D33/E33-1</f>
        <v/>
      </c>
      <c r="E34" s="345"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6" t="inlineStr">
        <is>
          <t>?</t>
        </is>
      </c>
      <c r="B38" s="347"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6" t="inlineStr">
        <is>
          <t>?</t>
        </is>
      </c>
      <c r="B39" s="347"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6" t="inlineStr">
        <is>
          <t>?</t>
        </is>
      </c>
      <c r="B40" s="347"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6" t="inlineStr">
        <is>
          <t>?</t>
        </is>
      </c>
      <c r="B41" s="347"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7"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29" t="n"/>
      <c r="D6" s="329" t="n"/>
      <c r="E6" s="329" t="n"/>
    </row>
    <row r="7" ht="32" customHeight="1">
      <c r="A7" s="330" t="inlineStr">
        <is>
          <t>5.1</t>
        </is>
      </c>
      <c r="B7" s="332" t="inlineStr">
        <is>
          <t>Старт модели 01.09.2026</t>
        </is>
      </c>
      <c r="C7" s="332" t="inlineStr">
        <is>
          <t>01.09.2026</t>
        </is>
      </c>
      <c r="D7" s="254" t="inlineStr">
        <is>
          <t>01_Вводные!B7</t>
        </is>
      </c>
      <c r="E7" s="348" t="inlineStr">
        <is>
          <t>Соответствует</t>
        </is>
      </c>
    </row>
    <row r="8" ht="32" customHeight="1">
      <c r="A8" s="330" t="inlineStr">
        <is>
          <t>5.1</t>
        </is>
      </c>
      <c r="B8" s="332" t="inlineStr">
        <is>
          <t>Сезон = сентябрь–август, одна временная ось</t>
        </is>
      </c>
      <c r="C8" s="332" t="inlineStr">
        <is>
          <t>Все листы строят ось от B7; сезон = INT((n)/12)+1</t>
        </is>
      </c>
      <c r="D8" s="254" t="inlineStr">
        <is>
          <t>02_Модель!B3</t>
        </is>
      </c>
      <c r="E8" s="348" t="inlineStr">
        <is>
          <t>Соответствует</t>
        </is>
      </c>
    </row>
    <row r="9" ht="32" customHeight="1">
      <c r="A9" s="330" t="inlineStr">
        <is>
          <t>5.1</t>
        </is>
      </c>
      <c r="B9" s="332" t="inlineStr">
        <is>
          <t>Сентябрь 2026 — 0 продаж франшиз</t>
        </is>
      </c>
      <c r="C9" s="332" t="inlineStr">
        <is>
          <t>Первый месяц жёстко = 0; есть автотест</t>
        </is>
      </c>
      <c r="D9" s="254" t="inlineStr">
        <is>
          <t>04_Продажи!B15</t>
        </is>
      </c>
      <c r="E9" s="348" t="inlineStr">
        <is>
          <t>Соответствует</t>
        </is>
      </c>
    </row>
    <row r="10">
      <c r="A10" s="257" t="inlineStr">
        <is>
          <t>5.2</t>
        </is>
      </c>
      <c r="B10" s="257" t="inlineStr">
        <is>
          <t>Продажи франшиз</t>
        </is>
      </c>
      <c r="C10" s="329" t="n"/>
      <c r="D10" s="329" t="n"/>
      <c r="E10" s="329" t="n"/>
    </row>
    <row r="11" ht="32" customHeight="1">
      <c r="A11" s="330" t="inlineStr">
        <is>
          <t>5.2</t>
        </is>
      </c>
      <c r="B11" s="332" t="inlineStr">
        <is>
          <t>Планы 66 / 72 / 72 / 60 / 50</t>
        </is>
      </c>
      <c r="C11" s="332" t="inlineStr">
        <is>
          <t>66, 72, 72, 60, 50 — базы сценарных драйверов</t>
        </is>
      </c>
      <c r="D11" s="254" t="inlineStr">
        <is>
          <t>01_Вводные!B210</t>
        </is>
      </c>
      <c r="E11" s="348" t="inlineStr">
        <is>
          <t>Соответствует</t>
        </is>
      </c>
    </row>
    <row r="12" ht="32" customHeight="1">
      <c r="A12" s="330" t="inlineStr">
        <is>
          <t>5.2</t>
        </is>
      </c>
      <c r="B12" s="332" t="inlineStr">
        <is>
          <t>Сезонность нормировать так, чтобы сумма = годовому плану</t>
        </is>
      </c>
      <c r="C12" s="332" t="inlineStr">
        <is>
          <t>Строка контроля O36:O40 = 100%; 15 автотестов по сезонам</t>
        </is>
      </c>
      <c r="D12" s="254" t="inlineStr">
        <is>
          <t>13_Проверки!A4</t>
        </is>
      </c>
      <c r="E12" s="348" t="inlineStr">
        <is>
          <t>Соответствует</t>
        </is>
      </c>
    </row>
    <row r="13" ht="32" customHeight="1">
      <c r="A13" s="330" t="inlineStr">
        <is>
          <t>5.2</t>
        </is>
      </c>
      <c r="B13" s="332" t="inlineStr">
        <is>
          <t>Дробные продажи в финплане + округлённое целое в опплане</t>
        </is>
      </c>
      <c r="C13" s="332" t="inlineStr">
        <is>
          <t>Строка 15 — дробная, строка 16 — ROUND(...,0)</t>
        </is>
      </c>
      <c r="D13" s="254" t="inlineStr">
        <is>
          <t>04_Продажи!A16</t>
        </is>
      </c>
      <c r="E13" s="348" t="inlineStr">
        <is>
          <t>Соответствует</t>
        </is>
      </c>
    </row>
    <row r="14" ht="32" customHeight="1">
      <c r="A14" s="330" t="inlineStr">
        <is>
          <t>5.2</t>
        </is>
      </c>
      <c r="B14" s="332" t="inlineStr">
        <is>
          <t>Продажа, открытие и ERP — разные события; лаг 2 мес.</t>
        </is>
      </c>
      <c r="C14" s="332" t="inlineStr">
        <is>
          <t>Лаг продажа→открытие 2 мес.; лаг ERP отдельным параметром (сейчас 0)</t>
        </is>
      </c>
      <c r="D14" s="254" t="inlineStr">
        <is>
          <t>01_Вводные!B15</t>
        </is>
      </c>
      <c r="E14" s="348" t="inlineStr">
        <is>
          <t>Соответствует</t>
        </is>
      </c>
    </row>
    <row r="15" ht="32" customHeight="1">
      <c r="A15" s="330" t="inlineStr">
        <is>
          <t>5.2</t>
        </is>
      </c>
      <c r="B15" s="332" t="inlineStr">
        <is>
          <t>Сезонность из «План_продаж», строки 18-22</t>
        </is>
      </c>
      <c r="C15" s="332" t="inlineStr">
        <is>
          <t>Вектор C36:N40 задан числами; исходный лист «План_продаж» в присланных файлах отсутствует — сверить не с чем</t>
        </is>
      </c>
      <c r="D15" s="254" t="inlineStr">
        <is>
          <t>01_Вводные!C36</t>
        </is>
      </c>
      <c r="E15" s="349" t="inlineStr">
        <is>
          <t>Нет источника</t>
        </is>
      </c>
    </row>
    <row r="16">
      <c r="A16" s="257" t="inlineStr">
        <is>
          <t>5.3</t>
        </is>
      </c>
      <c r="B16" s="257" t="inlineStr">
        <is>
          <t>Партнёры, юрлица, школы и дети</t>
        </is>
      </c>
      <c r="C16" s="329" t="n"/>
      <c r="D16" s="329" t="n"/>
      <c r="E16" s="329" t="n"/>
    </row>
    <row r="17" ht="32" customHeight="1">
      <c r="A17" s="330" t="inlineStr">
        <is>
          <t>5.3</t>
        </is>
      </c>
      <c r="B17" s="332" t="inlineStr">
        <is>
          <t>Стартовое количество юрлиц 49</t>
        </is>
      </c>
      <c r="C17" s="332"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8" t="inlineStr">
        <is>
          <t>Соответствует</t>
        </is>
      </c>
    </row>
    <row r="18" ht="32" customHeight="1">
      <c r="A18" s="330" t="inlineStr">
        <is>
          <t>5.3</t>
        </is>
      </c>
      <c r="B18" s="332" t="inlineStr">
        <is>
          <t>Стартовые дети действующей сети 5 200</t>
        </is>
      </c>
      <c r="C18" s="332" t="inlineStr">
        <is>
          <t>5 200</t>
        </is>
      </c>
      <c r="D18" s="254" t="inlineStr">
        <is>
          <t>01_Вводные!B11</t>
        </is>
      </c>
      <c r="E18" s="348" t="inlineStr">
        <is>
          <t>Соответствует</t>
        </is>
      </c>
    </row>
    <row r="19" ht="32" customHeight="1">
      <c r="A19" s="330" t="inlineStr">
        <is>
          <t>5.3</t>
        </is>
      </c>
      <c r="B19" s="332" t="inlineStr">
        <is>
          <t>Рост детей 10% г/г, сложный, пересчёт на начало сезона</t>
        </is>
      </c>
      <c r="C19" s="332" t="inlineStr">
        <is>
          <t>5200 × (1+10%)^(сезон−1), пересчёт каждый сентябрь</t>
        </is>
      </c>
      <c r="D19" s="254" t="inlineStr">
        <is>
          <t>06_Сеть_и_дети!A19</t>
        </is>
      </c>
      <c r="E19" s="348" t="inlineStr">
        <is>
          <t>Соответствует</t>
        </is>
      </c>
    </row>
    <row r="20" ht="32" customHeight="1">
      <c r="A20" s="330" t="inlineStr">
        <is>
          <t>5.3</t>
        </is>
      </c>
      <c r="B20" s="332" t="inlineStr">
        <is>
          <t>Внутри сезона — отдельный индекс посещаемости</t>
        </is>
      </c>
      <c r="C20" s="332" t="inlineStr">
        <is>
          <t>Индекс 5,9% (авг) … 100% (фев), применяется к детям</t>
        </is>
      </c>
      <c r="D20" s="254" t="inlineStr">
        <is>
          <t>01_Вводные!B44</t>
        </is>
      </c>
      <c r="E20" s="348" t="inlineStr">
        <is>
          <t>Соответствует</t>
        </is>
      </c>
    </row>
    <row r="21" ht="32" customHeight="1">
      <c r="A21" s="330" t="inlineStr">
        <is>
          <t>5.3</t>
        </is>
      </c>
      <c r="B21" s="332" t="inlineStr">
        <is>
          <t>1-й сезон ≈ 75 детей («Микс_продаж!N44»)</t>
        </is>
      </c>
      <c r="C21" s="332" t="inlineStr">
        <is>
          <t>75,05 — взвешенное среднее по 20 тарифным группам</t>
        </is>
      </c>
      <c r="D21" s="254" t="inlineStr">
        <is>
          <t>01_Вводные!B46</t>
        </is>
      </c>
      <c r="E21" s="348" t="inlineStr">
        <is>
          <t>Соответствует</t>
        </is>
      </c>
    </row>
    <row r="22" ht="32" customHeight="1">
      <c r="A22" s="330" t="inlineStr">
        <is>
          <t>5.3</t>
        </is>
      </c>
      <c r="B22" s="332" t="inlineStr">
        <is>
          <t>2-й год ≈ 165 детей («O44») — только после подтверждения</t>
        </is>
      </c>
      <c r="C22" s="332" t="inlineStr">
        <is>
          <t>165,125 применяется. Подтверждение смысла показателя в присланных файлах не зафиксировано</t>
        </is>
      </c>
      <c r="D22" s="254" t="inlineStr">
        <is>
          <t>01_Вводные!B47</t>
        </is>
      </c>
      <c r="E22" s="349" t="inlineStr">
        <is>
          <t>Нет источника</t>
        </is>
      </c>
    </row>
    <row r="23" ht="32" customHeight="1">
      <c r="A23" s="330" t="inlineStr">
        <is>
          <t>5.3</t>
        </is>
      </c>
      <c r="B23" s="332" t="inlineStr">
        <is>
          <t>Рост когорт по возрасту: 1-12, 13-24, зрелая</t>
        </is>
      </c>
      <c r="C23" s="332" t="inlineStr">
        <is>
          <t>Когорты по месяцам жизни, 25 возрастных групп</t>
        </is>
      </c>
      <c r="D23" s="254" t="inlineStr">
        <is>
          <t>06_Сеть_и_дети!A52</t>
        </is>
      </c>
      <c r="E23" s="348" t="inlineStr">
        <is>
          <t>Соответствует</t>
        </is>
      </c>
    </row>
    <row r="24" ht="32" customHeight="1">
      <c r="A24" s="330" t="inlineStr">
        <is>
          <t>5.3</t>
        </is>
      </c>
      <c r="B24" s="332" t="inlineStr">
        <is>
          <t>Закрытие школы уменьшает детей, ERP, роялти, нагрузку</t>
        </is>
      </c>
      <c r="C24" s="332"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50" t="inlineStr">
        <is>
          <t>Отклонение</t>
        </is>
      </c>
    </row>
    <row r="25">
      <c r="A25" s="257" t="inlineStr">
        <is>
          <t>5.4</t>
        </is>
      </c>
      <c r="B25" s="257" t="inlineStr">
        <is>
          <t>Паушальные взносы и роялти</t>
        </is>
      </c>
      <c r="C25" s="329" t="n"/>
      <c r="D25" s="329" t="n"/>
      <c r="E25" s="329" t="n"/>
    </row>
    <row r="26" ht="32" customHeight="1">
      <c r="A26" s="330" t="inlineStr">
        <is>
          <t>5.4</t>
        </is>
      </c>
      <c r="B26" s="332" t="inlineStr">
        <is>
          <t>Средний паушальный — через взвешенный микс продуктов</t>
        </is>
      </c>
      <c r="C26" s="332" t="inlineStr">
        <is>
          <t>SUMPRODUCT(веса; паушальный) / сумма весов = 937 767 ₽ с НДС</t>
        </is>
      </c>
      <c r="D26" s="254" t="inlineStr">
        <is>
          <t>01_Вводные!B63</t>
        </is>
      </c>
      <c r="E26" s="348" t="inlineStr">
        <is>
          <t>Соответствует</t>
        </is>
      </c>
    </row>
    <row r="27" ht="32" customHeight="1">
      <c r="A27" s="330" t="inlineStr">
        <is>
          <t>5.4</t>
        </is>
      </c>
      <c r="B27" s="332" t="inlineStr">
        <is>
          <t>Роялти 6,5% для действующих на 31.12.2026 и продаж до этой даты</t>
        </is>
      </c>
      <c r="C27" s="332" t="inlineStr">
        <is>
          <t>6,5% по договорам с датой ≤ 31.12.2026</t>
        </is>
      </c>
      <c r="D27" s="254" t="inlineStr">
        <is>
          <t>01_Вводные!B55</t>
        </is>
      </c>
      <c r="E27" s="348" t="inlineStr">
        <is>
          <t>Соответствует</t>
        </is>
      </c>
    </row>
    <row r="28" ht="32" customHeight="1">
      <c r="A28" s="330" t="inlineStr">
        <is>
          <t>5.4</t>
        </is>
      </c>
      <c r="B28" s="332" t="inlineStr">
        <is>
          <t>Роялти 8,5% для новых с 01.01.2027</t>
        </is>
      </c>
      <c r="C28" s="332" t="inlineStr">
        <is>
          <t>8,5%</t>
        </is>
      </c>
      <c r="D28" s="254" t="inlineStr">
        <is>
          <t>01_Вводные!B56</t>
        </is>
      </c>
      <c r="E28" s="348" t="inlineStr">
        <is>
          <t>Соответствует</t>
        </is>
      </c>
    </row>
    <row r="29" ht="32" customHeight="1">
      <c r="A29" s="330" t="inlineStr">
        <is>
          <t>5.4</t>
        </is>
      </c>
      <c r="B29" s="332" t="inlineStr">
        <is>
          <t>С 01.01.2030 все переходят на 10%</t>
        </is>
      </c>
      <c r="C29" s="332" t="inlineStr">
        <is>
          <t>10% с 01.01.2030 для всех</t>
        </is>
      </c>
      <c r="D29" s="254" t="inlineStr">
        <is>
          <t>01_Вводные!B57</t>
        </is>
      </c>
      <c r="E29" s="348" t="inlineStr">
        <is>
          <t>Соответствует</t>
        </is>
      </c>
    </row>
    <row r="30" ht="32" customHeight="1">
      <c r="A30" s="330" t="inlineStr">
        <is>
          <t>5.4</t>
        </is>
      </c>
      <c r="B30" s="332" t="inlineStr">
        <is>
          <t>Сохранить минимальный роялти</t>
        </is>
      </c>
      <c r="C30" s="332" t="inlineStr">
        <is>
          <t>Минимум по каждой школе своей тарифной группы (новые) и MAX(% с оборота; 104 × минимум) для действующей сети</t>
        </is>
      </c>
      <c r="D30" s="254" t="inlineStr">
        <is>
          <t>01_Вводные!B53</t>
        </is>
      </c>
      <c r="E30" s="348" t="inlineStr">
        <is>
          <t>Соответствует</t>
        </is>
      </c>
    </row>
    <row r="31">
      <c r="A31" s="257" t="inlineStr">
        <is>
          <t>5.5</t>
        </is>
      </c>
      <c r="B31" s="257" t="inlineStr">
        <is>
          <t>Экипировка</t>
        </is>
      </c>
      <c r="C31" s="329" t="n"/>
      <c r="D31" s="329" t="n"/>
      <c r="E31" s="329" t="n"/>
    </row>
    <row r="32" ht="32" customHeight="1">
      <c r="A32" s="330" t="inlineStr">
        <is>
          <t>5.5</t>
        </is>
      </c>
      <c r="B32" s="332" t="inlineStr">
        <is>
          <t>Действующая сеть, сен–дек 2026 — согласованные значения</t>
        </is>
      </c>
      <c r="C32" s="332" t="inlineStr">
        <is>
          <t>5 070 / 2 550 / 1 260 / 720 комплектов, выручка и COGS заданы числами; есть автотест «мерч 2026 не менялся»</t>
        </is>
      </c>
      <c r="D32" s="254" t="inlineStr">
        <is>
          <t>01_Вводные!B99</t>
        </is>
      </c>
      <c r="E32" s="348" t="inlineStr">
        <is>
          <t>Соответствует</t>
        </is>
      </c>
    </row>
    <row r="33" ht="32" customHeight="1">
      <c r="A33" s="330" t="inlineStr">
        <is>
          <t>5.5</t>
        </is>
      </c>
      <c r="B33" s="332" t="inlineStr">
        <is>
          <t>С января 2027 — сезонность из строки 77 листа «Допущения»</t>
        </is>
      </c>
      <c r="C33" s="332" t="inlineStr">
        <is>
          <t>Вектор B94:M94 (авг 25%, сен 40%, окт 25%, ноя 10%). Лист «Допущения» в присланных файлах отсутствует — сверить не с чем</t>
        </is>
      </c>
      <c r="D33" s="254" t="inlineStr">
        <is>
          <t>01_Вводные!B94</t>
        </is>
      </c>
      <c r="E33" s="349" t="inlineStr">
        <is>
          <t>Нет источника</t>
        </is>
      </c>
    </row>
    <row r="34" ht="32" customHeight="1">
      <c r="A34" s="330" t="inlineStr">
        <is>
          <t>5.5</t>
        </is>
      </c>
      <c r="B34" s="332" t="inlineStr">
        <is>
          <t>Новые партнёры: 50% / 30% / 20% за первые три месяца</t>
        </is>
      </c>
      <c r="C34" s="332" t="inlineStr">
        <is>
          <t>0,5 / 0,3 / 0,2, контроль суммы = 100%</t>
        </is>
      </c>
      <c r="D34" s="254" t="inlineStr">
        <is>
          <t>01_Вводные!B87</t>
        </is>
      </c>
      <c r="E34" s="348" t="inlineStr">
        <is>
          <t>Соответствует</t>
        </is>
      </c>
    </row>
    <row r="35" ht="32" customHeight="1">
      <c r="A35" s="330" t="inlineStr">
        <is>
          <t>5.5</t>
        </is>
      </c>
      <c r="B35" s="332" t="inlineStr">
        <is>
          <t>Когорта не должна одновременно быть в первичной и повторной закупке</t>
        </is>
      </c>
      <c r="C35" s="332"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8" t="inlineStr">
        <is>
          <t>Соответствует</t>
        </is>
      </c>
    </row>
    <row r="36" ht="32" customHeight="1">
      <c r="A36" s="330" t="inlineStr">
        <is>
          <t>5.5</t>
        </is>
      </c>
      <c r="B36" s="332" t="inlineStr">
        <is>
          <t>COGS 2 100 ₽, наценка 85%, цена 3 885 ₽</t>
        </is>
      </c>
      <c r="C36" s="332" t="inlineStr">
        <is>
          <t>2 100 × 1,85 = 3 885 ₽ (цена — формула, не константа)</t>
        </is>
      </c>
      <c r="D36" s="254" t="inlineStr">
        <is>
          <t>01_Вводные!B73</t>
        </is>
      </c>
      <c r="E36" s="348" t="inlineStr">
        <is>
          <t>Соответствует</t>
        </is>
      </c>
    </row>
    <row r="37">
      <c r="A37" s="257" t="inlineStr">
        <is>
          <t>5.6</t>
        </is>
      </c>
      <c r="B37" s="257" t="inlineStr">
        <is>
          <t>Склад и возврат займа</t>
        </is>
      </c>
      <c r="C37" s="329" t="n"/>
      <c r="D37" s="329" t="n"/>
      <c r="E37" s="329" t="n"/>
    </row>
    <row r="38" ht="32" customHeight="1">
      <c r="A38" s="330" t="inlineStr">
        <is>
          <t>5.6</t>
        </is>
      </c>
      <c r="B38" s="332" t="inlineStr">
        <is>
          <t>Стартовый запас 50 млн ₽, займ 50 млн ₽ беспроцентный</t>
        </is>
      </c>
      <c r="C38" s="332" t="inlineStr">
        <is>
          <t>50 000 000 и 50 000 000; проценты не начисляются</t>
        </is>
      </c>
      <c r="D38" s="254" t="inlineStr">
        <is>
          <t>01_Вводные!B77</t>
        </is>
      </c>
      <c r="E38" s="348" t="inlineStr">
        <is>
          <t>Соответствует</t>
        </is>
      </c>
    </row>
    <row r="39" ht="32" customHeight="1">
      <c r="A39" s="330" t="inlineStr">
        <is>
          <t>5.6</t>
        </is>
      </c>
      <c r="B39" s="332" t="inlineStr">
        <is>
          <t>60% себестоимости реализованного мерча — на возврат займа</t>
        </is>
      </c>
      <c r="C39" s="332" t="inlineStr">
        <is>
          <t>MIN(остаток займа; COGS × 60%)</t>
        </is>
      </c>
      <c r="D39" s="254" t="inlineStr">
        <is>
          <t>07_Мерч!A30</t>
        </is>
      </c>
      <c r="E39" s="348" t="inlineStr">
        <is>
          <t>Соответствует</t>
        </is>
      </c>
    </row>
    <row r="40" ht="32" customHeight="1">
      <c r="A40" s="330" t="inlineStr">
        <is>
          <t>5.6</t>
        </is>
      </c>
      <c r="B40" s="332" t="inlineStr">
        <is>
          <t>Платёж ограничен остатком займа, деньгами и запасом на 6 мес.</t>
        </is>
      </c>
      <c r="C40" s="332" t="inlineStr">
        <is>
          <t>Три ограничения одновременно; переключатель B238</t>
        </is>
      </c>
      <c r="D40" s="254" t="inlineStr">
        <is>
          <t>07_Мерч!A31</t>
        </is>
      </c>
      <c r="E40" s="348" t="inlineStr">
        <is>
          <t>Соответствует</t>
        </is>
      </c>
    </row>
    <row r="41" ht="32" customHeight="1">
      <c r="A41" s="330" t="inlineStr">
        <is>
          <t>5.6</t>
        </is>
      </c>
      <c r="B41" s="332" t="inlineStr">
        <is>
          <t>Пополнение на 6 мес. вперёд не чаще 4 раз в год</t>
        </is>
      </c>
      <c r="C41" s="332" t="inlineStr">
        <is>
          <t>4 окна закупки: февраль / май / август / ноябрь; автотест на неповторяемость месяцев</t>
        </is>
      </c>
      <c r="D41" s="254" t="inlineStr">
        <is>
          <t>01_Вводные!B82</t>
        </is>
      </c>
      <c r="E41" s="348" t="inlineStr">
        <is>
          <t>Соответствует</t>
        </is>
      </c>
    </row>
    <row r="42" ht="32" customHeight="1">
      <c r="A42" s="330" t="inlineStr">
        <is>
          <t>5.6</t>
        </is>
      </c>
      <c r="B42" s="332" t="inlineStr">
        <is>
          <t>Показать склад на начало, списание, закупки, склад на конец, целевой запас, займ на начало / погашение / конец</t>
        </is>
      </c>
      <c r="C42" s="332" t="inlineStr">
        <is>
          <t>Все восемь строк раскрыты отдельно</t>
        </is>
      </c>
      <c r="D42" s="254" t="inlineStr">
        <is>
          <t>07_Мерч!A21</t>
        </is>
      </c>
      <c r="E42" s="348" t="inlineStr">
        <is>
          <t>Соответствует</t>
        </is>
      </c>
    </row>
    <row r="43">
      <c r="A43" s="257" t="inlineStr">
        <is>
          <t>5.7</t>
        </is>
      </c>
      <c r="B43" s="257" t="inlineStr">
        <is>
          <t>ERP и операционные расходы</t>
        </is>
      </c>
      <c r="C43" s="329" t="n"/>
      <c r="D43" s="329" t="n"/>
      <c r="E43" s="329" t="n"/>
    </row>
    <row r="44" ht="32" customHeight="1">
      <c r="A44" s="330" t="inlineStr">
        <is>
          <t>5.7</t>
        </is>
      </c>
      <c r="B44" s="332" t="inlineStr">
        <is>
          <t>ERP 80 тыс. ₽ база + 3 тыс. ₽ за новую активную школу</t>
        </is>
      </c>
      <c r="C44" s="332" t="inlineStr">
        <is>
          <t>80 000 + 3 000 × (школы сверх базы)</t>
        </is>
      </c>
      <c r="D44" s="254" t="inlineStr">
        <is>
          <t>02_Модель!A37</t>
        </is>
      </c>
      <c r="E44" s="348" t="inlineStr">
        <is>
          <t>Соответствует</t>
        </is>
      </c>
    </row>
    <row r="45" ht="32" customHeight="1">
      <c r="A45" s="330" t="inlineStr">
        <is>
          <t>5.7</t>
        </is>
      </c>
      <c r="B45" s="332" t="inlineStr">
        <is>
          <t>Базовое число школ в 80 тыс. ₽ — активные на 01.09.2026</t>
        </is>
      </c>
      <c r="C45" s="332" t="inlineStr">
        <is>
          <t>104 школы, отдельным допущением</t>
        </is>
      </c>
      <c r="D45" s="254" t="inlineStr">
        <is>
          <t>01_Вводные!B106</t>
        </is>
      </c>
      <c r="E45" s="348" t="inlineStr">
        <is>
          <t>Соответствует</t>
        </is>
      </c>
    </row>
    <row r="46" ht="32" customHeight="1">
      <c r="A46" s="330" t="inlineStr">
        <is>
          <t>5.7</t>
        </is>
      </c>
      <c r="B46" s="332" t="inlineStr">
        <is>
          <t>Офис, аренда, уборка, парковка — без изменений до переезда</t>
        </is>
      </c>
      <c r="C46" s="332" t="inlineStr">
        <is>
          <t>390 000 ₽/мес. фиксировано, из индексации исключено; есть автотест</t>
        </is>
      </c>
      <c r="D46" s="254" t="inlineStr">
        <is>
          <t>13_Проверки!A59</t>
        </is>
      </c>
      <c r="E46" s="348" t="inlineStr">
        <is>
          <t>Соответствует</t>
        </is>
      </c>
    </row>
    <row r="47" ht="32" customHeight="1">
      <c r="A47" s="330" t="inlineStr">
        <is>
          <t>5.7</t>
        </is>
      </c>
      <c r="B47" s="332" t="inlineStr">
        <is>
          <t>Юристы/аудит/бухгалтерия 40 тыс.; IT 80 тыс. отдельной строкой</t>
        </is>
      </c>
      <c r="C47" s="332" t="inlineStr">
        <is>
          <t>40 000 и 80 000, отдельными строками БДР</t>
        </is>
      </c>
      <c r="D47" s="254" t="inlineStr">
        <is>
          <t>01_Вводные!B109</t>
        </is>
      </c>
      <c r="E47" s="348" t="inlineStr">
        <is>
          <t>Соответствует</t>
        </is>
      </c>
    </row>
    <row r="48" ht="32" customHeight="1">
      <c r="A48" s="330" t="inlineStr">
        <is>
          <t>5.7</t>
        </is>
      </c>
      <c r="B48" s="332" t="inlineStr">
        <is>
          <t>Маркетинг/SMM 100 тыс. до 31.08.2027, далее штатный SMM 100 тыс. на руки + подрядчики 40 тыс.</t>
        </is>
      </c>
      <c r="C48" s="332" t="inlineStr">
        <is>
          <t>100 000 → 40 000 с 01.09.2027; штатный SMM выходит 01.09.2027</t>
        </is>
      </c>
      <c r="D48" s="254" t="inlineStr">
        <is>
          <t>01_Вводные!B111</t>
        </is>
      </c>
      <c r="E48" s="348" t="inlineStr">
        <is>
          <t>Соответствует</t>
        </is>
      </c>
    </row>
    <row r="49">
      <c r="A49" s="257" t="inlineStr">
        <is>
          <t>6.1</t>
        </is>
      </c>
      <c r="B49" s="257" t="inlineStr">
        <is>
          <t>Ядро и новые роли</t>
        </is>
      </c>
      <c r="C49" s="329" t="n"/>
      <c r="D49" s="329" t="n"/>
      <c r="E49" s="329" t="n"/>
    </row>
    <row r="50" ht="32" customHeight="1">
      <c r="A50" s="330" t="inlineStr">
        <is>
          <t>6.1</t>
        </is>
      </c>
      <c r="B50" s="332" t="inlineStr">
        <is>
          <t>Ядро и оклады как в v5; Левон — проектный менеджер, оклад сохранён</t>
        </is>
      </c>
      <c r="C50" s="332" t="inlineStr">
        <is>
          <t>13 человек, Левон в роли проектного менеджера с окладом 126 436 ₽</t>
        </is>
      </c>
      <c r="D50" s="254" t="inlineStr">
        <is>
          <t>01_Вводные!B141</t>
        </is>
      </c>
      <c r="E50" s="348" t="inlineStr">
        <is>
          <t>Соответствует</t>
        </is>
      </c>
    </row>
    <row r="51" ht="32" customHeight="1">
      <c r="A51" s="330" t="inlineStr">
        <is>
          <t>6.1</t>
        </is>
      </c>
      <c r="B51" s="332" t="inlineStr">
        <is>
          <t>Офис-менеджер 70 тыс. на руки с 01.01.2027</t>
        </is>
      </c>
      <c r="C51" s="332" t="inlineStr">
        <is>
          <t>70 000 net, дата выхода 01.01.2027</t>
        </is>
      </c>
      <c r="D51" s="254" t="inlineStr">
        <is>
          <t>01_Вводные!B133</t>
        </is>
      </c>
      <c r="E51" s="348" t="inlineStr">
        <is>
          <t>Соответствует</t>
        </is>
      </c>
    </row>
    <row r="52" ht="32" customHeight="1">
      <c r="A52" s="330" t="inlineStr">
        <is>
          <t>6.1</t>
        </is>
      </c>
      <c r="B52" s="332" t="inlineStr">
        <is>
          <t>SMM 100 тыс. на руки с 01.09.2027</t>
        </is>
      </c>
      <c r="C52" s="332" t="inlineStr">
        <is>
          <t>100 000 net, дата выхода 01.09.2027</t>
        </is>
      </c>
      <c r="D52" s="254" t="inlineStr">
        <is>
          <t>01_Вводные!B134</t>
        </is>
      </c>
      <c r="E52" s="348" t="inlineStr">
        <is>
          <t>Соответствует</t>
        </is>
      </c>
    </row>
    <row r="53" ht="32" customHeight="1">
      <c r="A53" s="330" t="inlineStr">
        <is>
          <t>6.1</t>
        </is>
      </c>
      <c r="B53" s="332" t="inlineStr">
        <is>
          <t>Оклад ГД +100 тыс. на руки с 01.01.2028</t>
        </is>
      </c>
      <c r="C53" s="332" t="inlineStr">
        <is>
          <t>100 000 net с 01.01.2028</t>
        </is>
      </c>
      <c r="D53" s="254" t="inlineStr">
        <is>
          <t>01_Вводные!B135</t>
        </is>
      </c>
      <c r="E53" s="348" t="inlineStr">
        <is>
          <t>Соответствует</t>
        </is>
      </c>
    </row>
    <row r="54" ht="32" customHeight="1">
      <c r="A54" s="330" t="inlineStr">
        <is>
          <t>6.1</t>
        </is>
      </c>
      <c r="B54" s="332" t="inlineStr">
        <is>
          <t>Индексация окладов 1 сентября с 01.09.2027, ежегодно</t>
        </is>
      </c>
      <c r="C54" s="332" t="inlineStr">
        <is>
          <t>Первая 01.09.2027, далее каждый сентябрь, 7%</t>
        </is>
      </c>
      <c r="D54" s="254" t="inlineStr">
        <is>
          <t>01_Вводные!B251</t>
        </is>
      </c>
      <c r="E54" s="348" t="inlineStr">
        <is>
          <t>Соответствует</t>
        </is>
      </c>
    </row>
    <row r="55">
      <c r="A55" s="257" t="inlineStr">
        <is>
          <t>6.2</t>
        </is>
      </c>
      <c r="B55" s="257" t="inlineStr">
        <is>
          <t>Менеджеры развития</t>
        </is>
      </c>
      <c r="C55" s="329" t="n"/>
      <c r="D55" s="329" t="n"/>
      <c r="E55" s="329" t="n"/>
    </row>
    <row r="56" ht="32" customHeight="1">
      <c r="A56" s="330" t="inlineStr">
        <is>
          <t>6.2</t>
        </is>
      </c>
      <c r="B56" s="332" t="inlineStr">
        <is>
          <t>Один менеджер на 35 активных юрлиц</t>
        </is>
      </c>
      <c r="C56" s="332" t="inlineStr">
        <is>
          <t>35 юрлиц на менеджера</t>
        </is>
      </c>
      <c r="D56" s="254" t="inlineStr">
        <is>
          <t>01_Вводные!B117</t>
        </is>
      </c>
      <c r="E56" s="348" t="inlineStr">
        <is>
          <t>Соответствует</t>
        </is>
      </c>
    </row>
    <row r="57" ht="32" customHeight="1">
      <c r="A57" s="330" t="inlineStr">
        <is>
          <t>6.2</t>
        </is>
      </c>
      <c r="B57" s="332" t="inlineStr">
        <is>
          <t>После перевода Левона остаются два менеджера развития</t>
        </is>
      </c>
      <c r="C57" s="332" t="inlineStr">
        <is>
          <t>База 2 менеджера</t>
        </is>
      </c>
      <c r="D57" s="254" t="inlineStr">
        <is>
          <t>01_Вводные!B118</t>
        </is>
      </c>
      <c r="E57" s="348" t="inlineStr">
        <is>
          <t>Соответствует</t>
        </is>
      </c>
    </row>
    <row r="58" ht="32" customHeight="1">
      <c r="A58" s="330" t="inlineStr">
        <is>
          <t>6.2</t>
        </is>
      </c>
      <c r="B58" s="332" t="inlineStr">
        <is>
          <t>Найм на 70, 105, 140 юрлиц — опережающий на границе загрузки</t>
        </is>
      </c>
      <c r="C58" s="332" t="inlineStr">
        <is>
          <t>INT(юрлица / 35) + 1: найм ровно в месяц достижения 70, 105, 140</t>
        </is>
      </c>
      <c r="D58" s="254" t="inlineStr">
        <is>
          <t>08_ФОТ!A10</t>
        </is>
      </c>
      <c r="E58" s="348" t="inlineStr">
        <is>
          <t>Соответствует</t>
        </is>
      </c>
    </row>
    <row r="59" ht="32" customHeight="1">
      <c r="A59" s="330" t="inlineStr">
        <is>
          <t>6.2</t>
        </is>
      </c>
      <c r="B59" s="332" t="inlineStr">
        <is>
          <t>Комиссия агентства = один месячный оклад gross</t>
        </is>
      </c>
      <c r="C59" s="332" t="inlineStr">
        <is>
          <t>Коэффициент 1,00× gross</t>
        </is>
      </c>
      <c r="D59" s="254" t="inlineStr">
        <is>
          <t>01_Вводные!B120</t>
        </is>
      </c>
      <c r="E59" s="348" t="inlineStr">
        <is>
          <t>Соответствует</t>
        </is>
      </c>
    </row>
    <row r="60">
      <c r="A60" s="257" t="inlineStr">
        <is>
          <t>6.3</t>
        </is>
      </c>
      <c r="B60" s="257" t="inlineStr">
        <is>
          <t>Разовые кадровые расходы</t>
        </is>
      </c>
      <c r="C60" s="329" t="n"/>
      <c r="D60" s="329" t="n"/>
      <c r="E60" s="329" t="n"/>
    </row>
    <row r="61" ht="32" customHeight="1">
      <c r="A61" s="330" t="inlineStr">
        <is>
          <t>6.3</t>
        </is>
      </c>
      <c r="B61" s="332" t="inlineStr">
        <is>
          <t>240 тыс. ₽ в октябре 2026 на замену директора по маркетингу</t>
        </is>
      </c>
      <c r="C61" s="332" t="inlineStr">
        <is>
          <t>240 000 ₽, дата 01.10.2026</t>
        </is>
      </c>
      <c r="D61" s="254" t="inlineStr">
        <is>
          <t>01_Вводные!B121</t>
        </is>
      </c>
      <c r="E61" s="348" t="inlineStr">
        <is>
          <t>Соответствует</t>
        </is>
      </c>
    </row>
    <row r="62" ht="32" customHeight="1">
      <c r="A62" s="330" t="inlineStr">
        <is>
          <t>6.3</t>
        </is>
      </c>
      <c r="B62" s="332" t="inlineStr">
        <is>
          <t>Резерв на ротацию 350 тыс. ₽ в год</t>
        </is>
      </c>
      <c r="C62" s="332" t="inlineStr">
        <is>
          <t>350 000 ₽ раз в год, в сентябре</t>
        </is>
      </c>
      <c r="D62" s="254" t="inlineStr">
        <is>
          <t>01_Вводные!B122</t>
        </is>
      </c>
      <c r="E62" s="348" t="inlineStr">
        <is>
          <t>Соответствует</t>
        </is>
      </c>
    </row>
    <row r="63">
      <c r="A63" s="257" t="inlineStr">
        <is>
          <t>6.4</t>
        </is>
      </c>
      <c r="B63" s="257" t="inlineStr">
        <is>
          <t>Премии</t>
        </is>
      </c>
      <c r="C63" s="329" t="n"/>
      <c r="D63" s="329" t="n"/>
      <c r="E63" s="329" t="n"/>
    </row>
    <row r="64" ht="32" customHeight="1">
      <c r="A64" s="330" t="inlineStr">
        <is>
          <t>6.4</t>
        </is>
      </c>
      <c r="B64" s="332" t="inlineStr">
        <is>
          <t>Менеджеры развития: 25 тыс. на руки до 31.12.2026, далее 30 тыс.; НДФЛ и взносы учитывать. Левон входит</t>
        </is>
      </c>
      <c r="C64" s="332" t="inlineStr">
        <is>
          <t>net → gross через 0,87, взносы 30% сверху; в базе (2 + новые + Левон)</t>
        </is>
      </c>
      <c r="D64" s="254" t="inlineStr">
        <is>
          <t>08_ФОТ!A15</t>
        </is>
      </c>
      <c r="E64" s="348" t="inlineStr">
        <is>
          <t>Соответствует</t>
        </is>
      </c>
    </row>
    <row r="65" ht="32" customHeight="1">
      <c r="A65" s="330" t="inlineStr">
        <is>
          <t>6.4</t>
        </is>
      </c>
      <c r="B65" s="332" t="inlineStr">
        <is>
          <t>Евгений: при 2+ продажах 4% паушальных за вычетом НДС; «на руки получит 4% минус все налоги»</t>
        </is>
      </c>
      <c r="C65" s="332" t="inlineStr">
        <is>
          <t>4% считается как gross, взносы 30% начисляются СВЕРХУ. Стоимость компании 5,2% базы вместо 4,0% по ТЗ</t>
        </is>
      </c>
      <c r="D65" s="254" t="inlineStr">
        <is>
          <t>08_ФОТ!A17</t>
        </is>
      </c>
      <c r="E65" s="350" t="inlineStr">
        <is>
          <t>Отклонение</t>
        </is>
      </c>
    </row>
    <row r="66" ht="32" customHeight="1">
      <c r="A66" s="330" t="inlineStr">
        <is>
          <t>6.4</t>
        </is>
      </c>
      <c r="B66" s="332" t="inlineStr">
        <is>
          <t>Отдельные схемы не должны давать двойную премию за одни и те же продажи</t>
        </is>
      </c>
      <c r="C66" s="332"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50" t="inlineStr">
        <is>
          <t>Отклонение</t>
        </is>
      </c>
    </row>
    <row r="67" ht="32" customHeight="1">
      <c r="A67" s="330" t="inlineStr">
        <is>
          <t>6.4</t>
        </is>
      </c>
      <c r="B67" s="332" t="inlineStr">
        <is>
          <t>При 5+ продажах временный продавец: 80 тыс. на руки + 5%, налоги аналогично. Временный подрядчик</t>
        </is>
      </c>
      <c r="C67" s="332"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8" t="inlineStr">
        <is>
          <t>Соответствует</t>
        </is>
      </c>
    </row>
    <row r="68" ht="32" customHeight="1">
      <c r="A68" s="330" t="inlineStr">
        <is>
          <t>6.4</t>
        </is>
      </c>
      <c r="B68" s="332" t="inlineStr">
        <is>
          <t>Квартальные премии 60% месячного оклада с 01.10.2027, первая выплата за IV кв. 2027 в декабре 2027</t>
        </is>
      </c>
      <c r="C68" s="332" t="inlineStr">
        <is>
          <t>0,60× месячного gross, первая выплата 01.12.2027, далее раз в квартал</t>
        </is>
      </c>
      <c r="D68" s="254" t="inlineStr">
        <is>
          <t>01_Вводные!B130</t>
        </is>
      </c>
      <c r="E68" s="348" t="inlineStr">
        <is>
          <t>Соответствует</t>
        </is>
      </c>
    </row>
    <row r="69" ht="32" customHeight="1">
      <c r="A69" s="330" t="inlineStr">
        <is>
          <t>6.4</t>
        </is>
      </c>
      <c r="B69" s="332" t="inlineStr">
        <is>
          <t>Отдельные схемы не должны получать двойную премию</t>
        </is>
      </c>
      <c r="C69" s="332" t="inlineStr">
        <is>
          <t>У Левона, двух менеджеров развития и Евгения квартальная премия «Нет»; есть автотест</t>
        </is>
      </c>
      <c r="D69" s="254" t="inlineStr">
        <is>
          <t>13_Проверки!A43</t>
        </is>
      </c>
      <c r="E69" s="348" t="inlineStr">
        <is>
          <t>Соответствует</t>
        </is>
      </c>
    </row>
    <row r="70">
      <c r="A70" s="257" t="inlineStr">
        <is>
          <t>7</t>
        </is>
      </c>
      <c r="B70" s="257" t="inlineStr">
        <is>
          <t>Маркетинг и воронка</t>
        </is>
      </c>
      <c r="C70" s="329" t="n"/>
      <c r="D70" s="329" t="n"/>
      <c r="E70" s="329" t="n"/>
    </row>
    <row r="71" ht="32" customHeight="1">
      <c r="A71" s="330" t="inlineStr">
        <is>
          <t>7</t>
        </is>
      </c>
      <c r="B71" s="332" t="inlineStr">
        <is>
          <t>Таргет за два месяца до продажи, 160 тыс. ₽ на продажу</t>
        </is>
      </c>
      <c r="C71" s="332" t="inlineStr">
        <is>
          <t>160 000 ₽ × продажи месяца M, расход в M−2. Для октября 2026 модель добавила исключение M−1 (в ТЗ этого нет)</t>
        </is>
      </c>
      <c r="D71" s="254" t="inlineStr">
        <is>
          <t>01_Вводные!B26</t>
        </is>
      </c>
      <c r="E71" s="351" t="inlineStr">
        <is>
          <t>Нет в ТЗ</t>
        </is>
      </c>
    </row>
    <row r="72" ht="32" customHeight="1">
      <c r="A72" s="330" t="inlineStr">
        <is>
          <t>7</t>
        </is>
      </c>
      <c r="B72" s="332" t="inlineStr">
        <is>
          <t>БИБОСС 250 тыс. октябрь, TopFranchise 250 тыс. ноябрь, Forbes 250 тыс. декабрь, ежегодно</t>
        </is>
      </c>
      <c r="C72" s="332" t="inlineStr">
        <is>
          <t>250 000 × 3, месяцы 10 / 11 / 12, каждый год</t>
        </is>
      </c>
      <c r="D72" s="254" t="inlineStr">
        <is>
          <t>01_Вводные!B28</t>
        </is>
      </c>
      <c r="E72" s="348" t="inlineStr">
        <is>
          <t>Соответствует</t>
        </is>
      </c>
    </row>
    <row r="73" ht="32" customHeight="1">
      <c r="A73" s="330" t="inlineStr">
        <is>
          <t>7</t>
        </is>
      </c>
      <c r="B73" s="332" t="inlineStr">
        <is>
          <t>Конверсия лид→продажа 3%; лиды = продажи / 3%, округление вверх</t>
        </is>
      </c>
      <c r="C73" s="332" t="inlineStr">
        <is>
          <t>3%, ROUNDUP; лиды показаны и помесячно, и в воронке</t>
        </is>
      </c>
      <c r="D73" s="254" t="inlineStr">
        <is>
          <t>04_Продажи!A17</t>
        </is>
      </c>
      <c r="E73" s="348" t="inlineStr">
        <is>
          <t>Соответствует</t>
        </is>
      </c>
    </row>
    <row r="74">
      <c r="A74" s="257" t="inlineStr">
        <is>
          <t>8</t>
        </is>
      </c>
      <c r="B74" s="257" t="inlineStr">
        <is>
          <t>Дебиторка, кредиторка, налоги</t>
        </is>
      </c>
      <c r="C74" s="329" t="n"/>
      <c r="D74" s="329" t="n"/>
      <c r="E74" s="329" t="n"/>
    </row>
    <row r="75" ht="32" customHeight="1">
      <c r="A75" s="330" t="inlineStr">
        <is>
          <t>8</t>
        </is>
      </c>
      <c r="B75" s="332" t="inlineStr">
        <is>
          <t>Разделять начисление (БДР) и движение денег (БДДС)</t>
        </is>
      </c>
      <c r="C75" s="332" t="inlineStr">
        <is>
          <t>Два блока на одном листе + мост БДР→БДДС со сверкой в ноль</t>
        </is>
      </c>
      <c r="D75" s="254" t="inlineStr">
        <is>
          <t>02_Модель!A85</t>
        </is>
      </c>
      <c r="E75" s="348" t="inlineStr">
        <is>
          <t>Соответствует</t>
        </is>
      </c>
    </row>
    <row r="76" ht="32" customHeight="1">
      <c r="A76" s="330" t="inlineStr">
        <is>
          <t>8</t>
        </is>
      </c>
      <c r="B76" s="332" t="inlineStr">
        <is>
          <t>Дебиторка и кредиторка базово 15 дней</t>
        </is>
      </c>
      <c r="C76" s="332" t="inlineStr">
        <is>
          <t>15 дней обе; распределение между текущим и следующим месяцем</t>
        </is>
      </c>
      <c r="D76" s="254" t="inlineStr">
        <is>
          <t>01_Вводные!B19</t>
        </is>
      </c>
      <c r="E76" s="348" t="inlineStr">
        <is>
          <t>Соответствует</t>
        </is>
      </c>
    </row>
    <row r="77" ht="32" customHeight="1">
      <c r="A77" s="330" t="inlineStr">
        <is>
          <t>8</t>
        </is>
      </c>
      <c r="B77" s="332" t="inlineStr">
        <is>
          <t>Паушальный взнос поступает в месяц продажи</t>
        </is>
      </c>
      <c r="C77" s="332" t="inlineStr">
        <is>
          <t>Поступление = начисление того же месяца</t>
        </is>
      </c>
      <c r="D77" s="254" t="inlineStr">
        <is>
          <t>02_Модель!A52</t>
        </is>
      </c>
      <c r="E77" s="348" t="inlineStr">
        <is>
          <t>Соответствует</t>
        </is>
      </c>
    </row>
    <row r="78" ht="32" customHeight="1">
      <c r="A78" s="330" t="inlineStr">
        <is>
          <t>8</t>
        </is>
      </c>
      <c r="B78" s="332" t="inlineStr">
        <is>
          <t>Ставки налогов</t>
        </is>
      </c>
      <c r="C78" s="332" t="inlineStr">
        <is>
          <t>НДС 5%, УСН 15% / минимальный 1% — в ТЗ v6.0 ставок нет, в модели помечены «Временно, требует налоговой сверки»</t>
        </is>
      </c>
      <c r="D78" s="254" t="inlineStr">
        <is>
          <t>01_Вводные!B58</t>
        </is>
      </c>
      <c r="E78" s="351" t="inlineStr">
        <is>
          <t>Нет в ТЗ</t>
        </is>
      </c>
    </row>
    <row r="79">
      <c r="A79" s="257" t="inlineStr">
        <is>
          <t>9</t>
        </is>
      </c>
      <c r="B79" s="257" t="inlineStr">
        <is>
          <t>Лагеря</t>
        </is>
      </c>
      <c r="C79" s="329" t="n"/>
      <c r="D79" s="329" t="n"/>
      <c r="E79" s="329" t="n"/>
    </row>
    <row r="80" ht="32" customHeight="1">
      <c r="A80" s="330" t="inlineStr">
        <is>
          <t>9</t>
        </is>
      </c>
      <c r="B80" s="332" t="inlineStr">
        <is>
          <t>ОТКЛЮЧЕНО по запросу 09.09.2026</t>
        </is>
      </c>
      <c r="C80" s="332"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51" t="inlineStr">
        <is>
          <t>Нет в ТЗ</t>
        </is>
      </c>
    </row>
    <row r="81" ht="32" customHeight="1">
      <c r="A81" s="330" t="inlineStr">
        <is>
          <t>9</t>
        </is>
      </c>
      <c r="B81" s="332" t="inlineStr">
        <is>
          <t>Лагеря в июне, 2 смены по 100 человек</t>
        </is>
      </c>
      <c r="C81" s="332" t="inlineStr">
        <is>
          <t>2 смены; 50 без проживания + 50 с проживанием = 100 чел./смена</t>
        </is>
      </c>
      <c r="D81" s="254" t="inlineStr">
        <is>
          <t>01_Вводные!B161</t>
        </is>
      </c>
      <c r="E81" s="348" t="inlineStr">
        <is>
          <t>Соответствует</t>
        </is>
      </c>
    </row>
    <row r="82" ht="32" customHeight="1">
      <c r="A82" s="330" t="inlineStr">
        <is>
          <t>9</t>
        </is>
      </c>
      <c r="B82" s="332" t="inlineStr">
        <is>
          <t>Продажи с февраля равными долями до мая включительно</t>
        </is>
      </c>
      <c r="C82" s="332" t="inlineStr">
        <is>
          <t>Первый месяц 2, последний 5, равные доли</t>
        </is>
      </c>
      <c r="D82" s="254" t="inlineStr">
        <is>
          <t>01_Вводные!B253</t>
        </is>
      </c>
      <c r="E82" s="348" t="inlineStr">
        <is>
          <t>Соответствует</t>
        </is>
      </c>
    </row>
    <row r="83" ht="32" customHeight="1">
      <c r="A83" s="330" t="inlineStr">
        <is>
          <t>9</t>
        </is>
      </c>
      <c r="B83" s="332" t="inlineStr">
        <is>
          <t>Оплаты клиентов авансом 40/60</t>
        </is>
      </c>
      <c r="C83" s="332" t="inlineStr">
        <is>
          <t>Аванс 40% при продаже, финальные 60% в мае</t>
        </is>
      </c>
      <c r="D83" s="254" t="inlineStr">
        <is>
          <t>01_Вводные!B171</t>
        </is>
      </c>
      <c r="E83" s="348" t="inlineStr">
        <is>
          <t>Соответствует</t>
        </is>
      </c>
    </row>
    <row r="84" ht="32" customHeight="1">
      <c r="A84" s="330" t="inlineStr">
        <is>
          <t>9</t>
        </is>
      </c>
      <c r="B84" s="332" t="inlineStr">
        <is>
          <t>Оплата проживания 40/60, первая в марте</t>
        </is>
      </c>
      <c r="C84" s="332" t="inlineStr">
        <is>
          <t>40% в марте, 60% в мае</t>
        </is>
      </c>
      <c r="D84" s="254" t="inlineStr">
        <is>
          <t>01_Вводные!B174</t>
        </is>
      </c>
      <c r="E84" s="348" t="inlineStr">
        <is>
          <t>Соответствует</t>
        </is>
      </c>
    </row>
    <row r="85" ht="32" customHeight="1">
      <c r="A85" s="330" t="inlineStr">
        <is>
          <t>9</t>
        </is>
      </c>
      <c r="B85" s="332" t="inlineStr">
        <is>
          <t>Цены и расходы смены</t>
        </is>
      </c>
      <c r="C85" s="332" t="inlineStr">
        <is>
          <t>80 000 / 120 000 ₽, расходы 5 386 000 ₽, проживание 700 000 ₽, доля партнёра 12,5% — источник «Лагеря Спартак Будущее» не прислан</t>
        </is>
      </c>
      <c r="D85" s="254" t="inlineStr">
        <is>
          <t>01_Вводные!B164</t>
        </is>
      </c>
      <c r="E85" s="349" t="inlineStr">
        <is>
          <t>Нет источника</t>
        </is>
      </c>
    </row>
    <row r="86">
      <c r="A86" s="257" t="inlineStr">
        <is>
          <t>10</t>
        </is>
      </c>
      <c r="B86" s="257" t="inlineStr">
        <is>
          <t>История сезона 25/26</t>
        </is>
      </c>
      <c r="C86" s="329" t="n"/>
      <c r="D86" s="329" t="n"/>
      <c r="E86" s="329" t="n"/>
    </row>
    <row r="87" ht="32" customHeight="1">
      <c r="A87" s="330" t="inlineStr">
        <is>
          <t>10</t>
        </is>
      </c>
      <c r="B87" s="332" t="inlineStr">
        <is>
          <t>Показать результат в двух вариациях: с 01.09.2025 и с 01.09.2026</t>
        </is>
      </c>
      <c r="C87" s="332" t="inlineStr">
        <is>
          <t>Переключатель «Без истории / С историей» на дашборде</t>
        </is>
      </c>
      <c r="D87" s="254" t="inlineStr">
        <is>
          <t>01_Вводные!B188</t>
        </is>
      </c>
      <c r="E87" s="348" t="inlineStr">
        <is>
          <t>Соответствует</t>
        </is>
      </c>
    </row>
    <row r="88" ht="32" customHeight="1">
      <c r="A88" s="330" t="inlineStr">
        <is>
          <t>10</t>
        </is>
      </c>
      <c r="B88" s="332" t="inlineStr">
        <is>
          <t>Факт P&amp;L июнь и июль 2026</t>
        </is>
      </c>
      <c r="C88" s="332" t="inlineStr">
        <is>
          <t>Все 6 строк обоих месяцев совпадают с присланными отчётами до рубля</t>
        </is>
      </c>
      <c r="D88" s="254" t="inlineStr">
        <is>
          <t>01_Вводные!K181</t>
        </is>
      </c>
      <c r="E88" s="348" t="inlineStr">
        <is>
          <t>Соответствует</t>
        </is>
      </c>
    </row>
    <row r="89" ht="32" customHeight="1">
      <c r="A89" s="330" t="inlineStr">
        <is>
          <t>10</t>
        </is>
      </c>
      <c r="B89" s="332" t="inlineStr">
        <is>
          <t>Факт ДДС январь–июль 2026</t>
        </is>
      </c>
      <c r="C89" s="332" t="inlineStr">
        <is>
          <t>Чистый денежный поток всех 7 месяцев совпадает с ДДС до рубля</t>
        </is>
      </c>
      <c r="D89" s="254" t="inlineStr">
        <is>
          <t>01_Вводные!F187</t>
        </is>
      </c>
      <c r="E89" s="348" t="inlineStr">
        <is>
          <t>Соответствует</t>
        </is>
      </c>
    </row>
    <row r="90" ht="32" customHeight="1">
      <c r="A90" s="330" t="inlineStr">
        <is>
          <t>10</t>
        </is>
      </c>
      <c r="B90" s="332" t="inlineStr">
        <is>
          <t>Стартовый денежный остаток</t>
        </is>
      </c>
      <c r="C90" s="332" t="inlineStr">
        <is>
          <t>187 878 ₽ — «Общий остаток на конец» из ДДС на 02.07.2026. Требует обновления на 31.08.2026</t>
        </is>
      </c>
      <c r="D90" s="254" t="inlineStr">
        <is>
          <t>01_Вводные!B17</t>
        </is>
      </c>
      <c r="E90" s="348" t="inlineStr">
        <is>
          <t>Соответствует</t>
        </is>
      </c>
    </row>
    <row r="92">
      <c r="A92" s="228" t="inlineStr">
        <is>
          <t>Открытые решения — цифры не менялись, жду ответа</t>
        </is>
      </c>
    </row>
    <row r="93" ht="104" customHeight="1">
      <c r="A93" s="352"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2"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2"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2026-09-11T13:03:45Z</dcterms:modified>
</cp:coreProperties>
</file>