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4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color rgb="009E1B31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3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81" fillId="0" borderId="0" pivotButton="0" quotePrefix="0" xfId="0"/>
    <xf numFmtId="0" fontId="0" fillId="34" borderId="3" pivotButton="0" quotePrefix="0" xfId="0"/>
    <xf numFmtId="10" fontId="0" fillId="0" borderId="0" pivotButton="0" quotePrefix="0" xfId="0"/>
    <xf numFmtId="3" fontId="0" fillId="0" borderId="0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2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  <author>OpenAI</author>
    <author>Модель</author>
    <author>Ревизия модели</author>
    <author>Source / assumptions</author>
    <author>Source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Принимается только 1 сентября: модель живёт сезонами сентябрь–август, старт в середине сезона ломает возрастные тарифы и набор детей.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1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1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1" shapeId="0">
      <text>
        <t>Завтра уточнить: одна продажа франшизы = одно новое юрлицо? Пока коэффициент 1,0.</t>
      </text>
    </comment>
    <comment ref="B17" authorId="1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2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2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2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2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2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2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2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2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2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2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2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2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2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2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2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2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2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2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2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2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2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2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2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1" shapeId="0">
      <text>
        <t>Источник: «Экипировка Спартак.xlsx», лист «Прогнозы».</t>
      </text>
    </comment>
    <comment ref="C99" authorId="1" shapeId="0">
      <text>
        <t>Источник: «Экипировка Спартак.xlsx», лист «Прогнозы».</t>
      </text>
    </comment>
    <comment ref="D99" authorId="1" shapeId="0">
      <text>
        <t>Источник: «Экипировка Спартак.xlsx», лист «Прогнозы».</t>
      </text>
    </comment>
    <comment ref="E99" authorId="1" shapeId="0">
      <text>
        <t>Источник: «Экипировка Спартак.xlsx», лист «Прогнозы».</t>
      </text>
    </comment>
    <comment ref="B100" authorId="1" shapeId="0">
      <text>
        <t>Источник: «Экипировка Спартак.xlsx», лист «Прогнозы».</t>
      </text>
    </comment>
    <comment ref="C100" authorId="1" shapeId="0">
      <text>
        <t>Источник: «Экипировка Спартак.xlsx», лист «Прогнозы».</t>
      </text>
    </comment>
    <comment ref="D100" authorId="1" shapeId="0">
      <text>
        <t>Источник: «Экипировка Спартак.xlsx», лист «Прогнозы».</t>
      </text>
    </comment>
    <comment ref="E100" authorId="1" shapeId="0">
      <text>
        <t>Источник: «Экипировка Спартак.xlsx», лист «Прогнозы».</t>
      </text>
    </comment>
    <comment ref="B101" authorId="1" shapeId="0">
      <text>
        <t>Источник: «Экипировка Спартак.xlsx», лист «Прогнозы».</t>
      </text>
    </comment>
    <comment ref="C101" authorId="1" shapeId="0">
      <text>
        <t>Источник: «Экипировка Спартак.xlsx», лист «Прогнозы».</t>
      </text>
    </comment>
    <comment ref="D101" authorId="1" shapeId="0">
      <text>
        <t>Источник: «Экипировка Спартак.xlsx», лист «Прогнозы».</t>
      </text>
    </comment>
    <comment ref="E101" authorId="1" shapeId="0">
      <text>
        <t>Источник: «Экипировка Спартак.xlsx», лист «Прогнозы».</t>
      </text>
    </comment>
    <comment ref="B106" authorId="1" shapeId="0">
      <text>
        <t>Обновлено вместе со стартовым количеством действующих школ: 104.</t>
      </text>
    </comment>
    <comment ref="B129" authorId="1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3" shapeId="0">
      <text>
        <t>Выручка смены = участники × соответствующие цены, вместо неработающих ценовых вводных.</t>
      </text>
    </comment>
    <comment ref="B167" authorId="1" shapeId="0">
      <text>
        <t>Источник: «Лагеря Спартак Будущее .xlsx», лист «Сокольники ».</t>
      </text>
    </comment>
    <comment ref="B168" authorId="2" shapeId="0">
      <text>
        <t>ФОРМУЛА ПО УМОЛЧАНИЮ.
По умолчанию = ставка из блока ревизии (B240). Можно вписать свою.</t>
      </text>
    </comment>
    <comment ref="B169" authorId="1" shapeId="0">
      <text>
        <t>Источник: «Лагеря Спартак Будущее .xlsx», лист «Сокольники ».</t>
      </text>
    </comment>
    <comment ref="B170" authorId="1" shapeId="0">
      <text>
        <t>Источник: «Лагеря Спартак Будущее .xlsx», лист «Сокольники ».</t>
      </text>
    </comment>
    <comment ref="L181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1" shapeId="0">
      <text>
        <t>Источник: «Анализ движений денежных средств по периодам за 01.01.2026 - 02.07.2026».</t>
      </text>
    </comment>
    <comment ref="L187" authorId="1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2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4" shapeId="0">
      <text>
        <t>Предварительный стресс-тест, не утвержденный прогноз. Analyst-defined starting stress; edit after approval.</t>
      </text>
    </comment>
    <comment ref="E198" authorId="4" shapeId="0">
      <text>
        <t>Предварительный стресс-тест, не утвержденный прогноз. Analyst-defined starting stress; edit after approval.</t>
      </text>
    </comment>
    <comment ref="F19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4" shapeId="0">
      <text>
        <t>Предварительный стресс-тест, не утвержденный прогноз. Analyst-defined starting stress; edit after approval.</t>
      </text>
    </comment>
    <comment ref="E199" authorId="4" shapeId="0">
      <text>
        <t>Предварительный стресс-тест, не утвержденный прогноз. Analyst-defined starting stress; edit after approval.</t>
      </text>
    </comment>
    <comment ref="F19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4" shapeId="0">
      <text>
        <t>Предварительный стресс-тест, не утвержденный прогноз. Analyst-defined starting stress; edit after approval.</t>
      </text>
    </comment>
    <comment ref="E200" authorId="4" shapeId="0">
      <text>
        <t>Предварительный стресс-тест, не утвержденный прогноз. Analyst-defined starting stress; edit after approval.</t>
      </text>
    </comment>
    <comment ref="F20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4" shapeId="0">
      <text>
        <t>Предварительный стресс-тест, не утвержденный прогноз. Analyst-defined starting stress; edit after approval.</t>
      </text>
    </comment>
    <comment ref="E201" authorId="4" shapeId="0">
      <text>
        <t>Предварительный стресс-тест, не утвержденный прогноз. Analyst-defined starting stress; edit after approval.</t>
      </text>
    </comment>
    <comment ref="F20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4" shapeId="0">
      <text>
        <t>Предварительный стресс-тест, не утвержденный прогноз. Analyst-defined starting stress; edit after approval.</t>
      </text>
    </comment>
    <comment ref="E202" authorId="4" shapeId="0">
      <text>
        <t>Предварительный стресс-тест, не утвержденный прогноз. Analyst-defined starting stress; edit after approval.</t>
      </text>
    </comment>
    <comment ref="F20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4" shapeId="0">
      <text>
        <t>Предварительный стресс-тест, не утвержденный прогноз. Analyst-defined starting stress; edit after approval.</t>
      </text>
    </comment>
    <comment ref="E203" authorId="4" shapeId="0">
      <text>
        <t>Предварительный стресс-тест, не утвержденный прогноз. Analyst-defined starting stress; edit after approval.</t>
      </text>
    </comment>
    <comment ref="F20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4" shapeId="0">
      <text>
        <t>Финмодель_Спартак_V8_чистая_единые_вводные_09.09.2026.xlsx | 01_Вводные!B36; original base input, unchanged.</t>
      </text>
    </comment>
    <comment ref="B211" authorId="4" shapeId="0">
      <text>
        <t>Финмодель_Спартак_V8_чистая_единые_вводные_09.09.2026.xlsx | 01_Вводные!B37; original base input, unchanged.</t>
      </text>
    </comment>
    <comment ref="B212" authorId="4" shapeId="0">
      <text>
        <t>Финмодель_Спартак_V8_чистая_единые_вводные_09.09.2026.xlsx | 01_Вводные!B38; original base input, unchanged.</t>
      </text>
    </comment>
    <comment ref="B213" authorId="4" shapeId="0">
      <text>
        <t>Финмодель_Спартак_V8_чистая_единые_вводные_09.09.2026.xlsx | 01_Вводные!B39; original base input, unchanged.</t>
      </text>
    </comment>
    <comment ref="B214" authorId="4" shapeId="0">
      <text>
        <t>Финмодель_Спартак_V8_чистая_единые_вводные_09.09.2026.xlsx | 01_Вводные!B40; original base input, unchanged.</t>
      </text>
    </comment>
    <comment ref="B215" authorId="2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2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4" shapeId="0">
      <text>
        <t>Финмодель_Спартак_V8_чистая_единые_вводные_09.09.2026.xlsx | 01_Вводные!B51; original base input, unchanged.</t>
      </text>
    </comment>
    <comment ref="B218" authorId="2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2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2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2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2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4" shapeId="0">
      <text>
        <t>Финмодель_Спартак_V8_чистая_единые_вводные_09.09.2026.xlsx | 01_Вводные!B74; original base input, unchanged.</t>
      </text>
    </comment>
    <comment ref="B224" authorId="4" shapeId="0">
      <text>
        <t>Финмодель_Спартак_V8_чистая_единые_вводные_09.09.2026.xlsx | 01_Вводные!B26; original base input, unchanged.</t>
      </text>
    </comment>
    <comment ref="B225" authorId="4" shapeId="0">
      <text>
        <t>Финмодель_Спартак_V8_чистая_единые_вводные_09.09.2026.xlsx | 01_Вводные!B18; original base input, unchanged.</t>
      </text>
    </comment>
    <comment ref="B22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3" shapeId="0">
      <text>
        <t>Источник: ТЗ пользователя и ревизия 09.09.2026. Один драйвер за раз; все шесть сохранены в списке.</t>
      </text>
    </comment>
    <comment ref="B234" authorId="3" shapeId="0">
      <text>
        <t>Источник: ТЗ пользователя и ревизия 09.09.2026. При Нет два дополнительных расчёта не выполняются.</t>
      </text>
    </comment>
    <comment ref="B235" authorId="3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2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3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3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3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3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3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3" shapeId="0">
      <text>
        <t>Источник: ТЗ пользователя и ревизия 09.09.2026. Только октябрь 2026 оплачивается за 1 месяц.</t>
      </text>
    </comment>
    <comment ref="B243" authorId="3" shapeId="0">
      <text>
        <t>Источник: ТЗ пользователя и ревизия 09.09.2026. Для октября 2026; далее обычный лаг B27.</t>
      </text>
    </comment>
    <comment ref="B244" authorId="3" shapeId="0">
      <text>
        <t>Источник: ТЗ пользователя и ревизия 09.09.2026. 6,5% по договорам до этой даты.</t>
      </text>
    </comment>
    <comment ref="B245" authorId="3" shapeId="0">
      <text>
        <t>Источник: ТЗ пользователя и ревизия 09.09.2026. С этой даты применяется B57 ко всем.</t>
      </text>
    </comment>
    <comment ref="B246" authorId="3" shapeId="0">
      <text>
        <t>Источник: ТЗ пользователя и ревизия 09.09.2026. За IV квартал 2027; далее март/июнь/сентябрь/декабрь.</t>
      </text>
    </comment>
    <comment ref="B247" authorId="3" shapeId="0">
      <text>
        <t>Источник: ТЗ пользователя и ревизия 09.09.2026. 70 тыс. net по B133.</t>
      </text>
    </comment>
    <comment ref="B248" authorId="3" shapeId="0">
      <text>
        <t>Источник: ТЗ пользователя и ревизия 09.09.2026. 100 тыс. net по B134.</t>
      </text>
    </comment>
    <comment ref="B249" authorId="3" shapeId="0">
      <text>
        <t>Источник: ТЗ пользователя и ревизия 09.09.2026. Повышение участвует в премии при Да у ГД.</t>
      </text>
    </comment>
    <comment ref="B250" authorId="3" shapeId="0">
      <text>
        <t>Источник: ТЗ пользователя и ревизия 09.09.2026. С B123 на B124.</t>
      </text>
    </comment>
    <comment ref="B251" authorId="3" shapeId="0">
      <text>
        <t>Источник: ТЗ пользователя и ревизия 09.09.2026. Далее каждый сентябрь.</t>
      </text>
    </comment>
    <comment ref="B252" authorId="3" shapeId="0">
      <text>
        <t>Источник: ТЗ пользователя и ревизия 09.09.2026. Июнь по ТЗ.</t>
      </text>
    </comment>
    <comment ref="B253" authorId="3" shapeId="0">
      <text>
        <t>Источник: ТЗ пользователя и ревизия 09.09.2026. Февраль; равномерно до B254.</t>
      </text>
    </comment>
    <comment ref="B254" authorId="3" shapeId="0">
      <text>
        <t>Источник: ТЗ пользователя и ревизия 09.09.2026. Май включительно.</t>
      </text>
    </comment>
    <comment ref="B255" authorId="3" shapeId="0">
      <text>
        <t>Источник: ТЗ пользователя и ревизия 09.09.2026. Разовая комиссия B121.</t>
      </text>
    </comment>
    <comment ref="B256" authorId="3" shapeId="0">
      <text>
        <t>Источник: ТЗ пользователя и ревизия 09.09.2026. Раз в год; сумма B122.</t>
      </text>
    </comment>
    <comment ref="B25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3" shapeId="0">
      <text>
        <t>V5.1: Типы_продукта!A14:M14; Микс_продаж!B5; B14</t>
      </text>
    </comment>
    <comment ref="B263" authorId="3" shapeId="0">
      <text>
        <t>V5.1: Типы_продукта!A14:M14; Микс_продаж!B5; B14</t>
      </text>
    </comment>
    <comment ref="C263" authorId="3" shapeId="0">
      <text>
        <t>V5.1: Типы_продукта!A14:M14; Микс_продаж!B5; B14</t>
      </text>
    </comment>
    <comment ref="D263" authorId="3" shapeId="0">
      <text>
        <t>V5.1: Типы_продукта!A14:M14; Микс_продаж!B5; B14</t>
      </text>
    </comment>
    <comment ref="E263" authorId="3" shapeId="0">
      <text>
        <t>V5.1: Типы_продукта!A14:M14; Микс_продаж!B5; B14</t>
      </text>
    </comment>
    <comment ref="F263" authorId="3" shapeId="0">
      <text>
        <t>V5.1: Типы_продукта!A14:M14; Микс_продаж!B5; B14</t>
      </text>
    </comment>
    <comment ref="G263" authorId="3" shapeId="0">
      <text>
        <t>V5.1: Типы_продукта!A14:M14; Микс_продаж!B5; B14</t>
      </text>
    </comment>
    <comment ref="H263" authorId="3" shapeId="0">
      <text>
        <t>V5.1: Типы_продукта!A14:M14; Микс_продаж!B5; B14</t>
      </text>
    </comment>
    <comment ref="I263" authorId="3" shapeId="0">
      <text>
        <t>V5.1: Типы_продукта!A14:M14; Микс_продаж!B5; B14</t>
      </text>
    </comment>
    <comment ref="J263" authorId="3" shapeId="0">
      <text>
        <t>V5.1: Типы_продукта!A14:M14; Микс_продаж!B5; B14</t>
      </text>
    </comment>
    <comment ref="K263" authorId="3" shapeId="0">
      <text>
        <t>V5.1: Типы_продукта!A14:M14; Микс_продаж!B5; B14</t>
      </text>
    </comment>
    <comment ref="A264" authorId="3" shapeId="0">
      <text>
        <t>V5.1: Типы_продукта!A15:M15; Микс_продаж!B5; C14</t>
      </text>
    </comment>
    <comment ref="B264" authorId="3" shapeId="0">
      <text>
        <t>V5.1: Типы_продукта!A15:M15; Микс_продаж!B5; C14</t>
      </text>
    </comment>
    <comment ref="C264" authorId="3" shapeId="0">
      <text>
        <t>V5.1: Типы_продукта!A15:M15; Микс_продаж!B5; C14</t>
      </text>
    </comment>
    <comment ref="D264" authorId="3" shapeId="0">
      <text>
        <t>V5.1: Типы_продукта!A15:M15; Микс_продаж!B5; C14</t>
      </text>
    </comment>
    <comment ref="E264" authorId="3" shapeId="0">
      <text>
        <t>V5.1: Типы_продукта!A15:M15; Микс_продаж!B5; C14</t>
      </text>
    </comment>
    <comment ref="F264" authorId="3" shapeId="0">
      <text>
        <t>V5.1: Типы_продукта!A15:M15; Микс_продаж!B5; C14</t>
      </text>
    </comment>
    <comment ref="G264" authorId="3" shapeId="0">
      <text>
        <t>V5.1: Типы_продукта!A15:M15; Микс_продаж!B5; C14</t>
      </text>
    </comment>
    <comment ref="H264" authorId="3" shapeId="0">
      <text>
        <t>V5.1: Типы_продукта!A15:M15; Микс_продаж!B5; C14</t>
      </text>
    </comment>
    <comment ref="I264" authorId="3" shapeId="0">
      <text>
        <t>V5.1: Типы_продукта!A15:M15; Микс_продаж!B5; C14</t>
      </text>
    </comment>
    <comment ref="J264" authorId="3" shapeId="0">
      <text>
        <t>V5.1: Типы_продукта!A15:M15; Микс_продаж!B5; C14</t>
      </text>
    </comment>
    <comment ref="K264" authorId="3" shapeId="0">
      <text>
        <t>V5.1: Типы_продукта!A15:M15; Микс_продаж!B5; C14</t>
      </text>
    </comment>
    <comment ref="A265" authorId="3" shapeId="0">
      <text>
        <t>V5.1: Типы_продукта!A16:M16; Микс_продаж!B5; D14</t>
      </text>
    </comment>
    <comment ref="B265" authorId="3" shapeId="0">
      <text>
        <t>V5.1: Типы_продукта!A16:M16; Микс_продаж!B5; D14</t>
      </text>
    </comment>
    <comment ref="C265" authorId="3" shapeId="0">
      <text>
        <t>V5.1: Типы_продукта!A16:M16; Микс_продаж!B5; D14</t>
      </text>
    </comment>
    <comment ref="D265" authorId="3" shapeId="0">
      <text>
        <t>V5.1: Типы_продукта!A16:M16; Микс_продаж!B5; D14</t>
      </text>
    </comment>
    <comment ref="E265" authorId="3" shapeId="0">
      <text>
        <t>V5.1: Типы_продукта!A16:M16; Микс_продаж!B5; D14</t>
      </text>
    </comment>
    <comment ref="F265" authorId="3" shapeId="0">
      <text>
        <t>V5.1: Типы_продукта!A16:M16; Микс_продаж!B5; D14</t>
      </text>
    </comment>
    <comment ref="G265" authorId="3" shapeId="0">
      <text>
        <t>V5.1: Типы_продукта!A16:M16; Микс_продаж!B5; D14</t>
      </text>
    </comment>
    <comment ref="H265" authorId="3" shapeId="0">
      <text>
        <t>V5.1: Типы_продукта!A16:M16; Микс_продаж!B5; D14</t>
      </text>
    </comment>
    <comment ref="I265" authorId="3" shapeId="0">
      <text>
        <t>V5.1: Типы_продукта!A16:M16; Микс_продаж!B5; D14</t>
      </text>
    </comment>
    <comment ref="J265" authorId="3" shapeId="0">
      <text>
        <t>V5.1: Типы_продукта!A16:M16; Микс_продаж!B5; D14</t>
      </text>
    </comment>
    <comment ref="K265" authorId="3" shapeId="0">
      <text>
        <t>V5.1: Типы_продукта!A16:M16; Микс_продаж!B5; D14</t>
      </text>
    </comment>
    <comment ref="A266" authorId="3" shapeId="0">
      <text>
        <t>V5.1: Типы_продукта!A17:M17; Микс_продаж!B5; E14</t>
      </text>
    </comment>
    <comment ref="B266" authorId="3" shapeId="0">
      <text>
        <t>V5.1: Типы_продукта!A17:M17; Микс_продаж!B5; E14</t>
      </text>
    </comment>
    <comment ref="C266" authorId="3" shapeId="0">
      <text>
        <t>V5.1: Типы_продукта!A17:M17; Микс_продаж!B5; E14</t>
      </text>
    </comment>
    <comment ref="D266" authorId="3" shapeId="0">
      <text>
        <t>V5.1: Типы_продукта!A17:M17; Микс_продаж!B5; E14</t>
      </text>
    </comment>
    <comment ref="E266" authorId="3" shapeId="0">
      <text>
        <t>V5.1: Типы_продукта!A17:M17; Микс_продаж!B5; E14</t>
      </text>
    </comment>
    <comment ref="F266" authorId="3" shapeId="0">
      <text>
        <t>V5.1: Типы_продукта!A17:M17; Микс_продаж!B5; E14</t>
      </text>
    </comment>
    <comment ref="G266" authorId="3" shapeId="0">
      <text>
        <t>V5.1: Типы_продукта!A17:M17; Микс_продаж!B5; E14</t>
      </text>
    </comment>
    <comment ref="H266" authorId="3" shapeId="0">
      <text>
        <t>V5.1: Типы_продукта!A17:M17; Микс_продаж!B5; E14</t>
      </text>
    </comment>
    <comment ref="I266" authorId="3" shapeId="0">
      <text>
        <t>V5.1: Типы_продукта!A17:M17; Микс_продаж!B5; E14</t>
      </text>
    </comment>
    <comment ref="J266" authorId="3" shapeId="0">
      <text>
        <t>V5.1: Типы_продукта!A17:M17; Микс_продаж!B5; E14</t>
      </text>
    </comment>
    <comment ref="K266" authorId="3" shapeId="0">
      <text>
        <t>V5.1: Типы_продукта!A17:M17; Микс_продаж!B5; E14</t>
      </text>
    </comment>
    <comment ref="A267" authorId="3" shapeId="0">
      <text>
        <t>V5.1: Типы_продукта!A18:M18; Микс_продаж!B6; B15</t>
      </text>
    </comment>
    <comment ref="B267" authorId="3" shapeId="0">
      <text>
        <t>V5.1: Типы_продукта!A18:M18; Микс_продаж!B6; B15</t>
      </text>
    </comment>
    <comment ref="C267" authorId="3" shapeId="0">
      <text>
        <t>V5.1: Типы_продукта!A18:M18; Микс_продаж!B6; B15</t>
      </text>
    </comment>
    <comment ref="D267" authorId="3" shapeId="0">
      <text>
        <t>V5.1: Типы_продукта!A18:M18; Микс_продаж!B6; B15</t>
      </text>
    </comment>
    <comment ref="E267" authorId="3" shapeId="0">
      <text>
        <t>V5.1: Типы_продукта!A18:M18; Микс_продаж!B6; B15</t>
      </text>
    </comment>
    <comment ref="F267" authorId="3" shapeId="0">
      <text>
        <t>V5.1: Типы_продукта!A18:M18; Микс_продаж!B6; B15</t>
      </text>
    </comment>
    <comment ref="G267" authorId="3" shapeId="0">
      <text>
        <t>V5.1: Типы_продукта!A18:M18; Микс_продаж!B6; B15</t>
      </text>
    </comment>
    <comment ref="H267" authorId="3" shapeId="0">
      <text>
        <t>V5.1: Типы_продукта!A18:M18; Микс_продаж!B6; B15</t>
      </text>
    </comment>
    <comment ref="I267" authorId="3" shapeId="0">
      <text>
        <t>V5.1: Типы_продукта!A18:M18; Микс_продаж!B6; B15</t>
      </text>
    </comment>
    <comment ref="J267" authorId="3" shapeId="0">
      <text>
        <t>V5.1: Типы_продукта!A18:M18; Микс_продаж!B6; B15</t>
      </text>
    </comment>
    <comment ref="K267" authorId="3" shapeId="0">
      <text>
        <t>V5.1: Типы_продукта!A18:M18; Микс_продаж!B6; B15</t>
      </text>
    </comment>
    <comment ref="A268" authorId="3" shapeId="0">
      <text>
        <t>V5.1: Типы_продукта!A19:M19; Микс_продаж!B6; C15</t>
      </text>
    </comment>
    <comment ref="B268" authorId="3" shapeId="0">
      <text>
        <t>V5.1: Типы_продукта!A19:M19; Микс_продаж!B6; C15</t>
      </text>
    </comment>
    <comment ref="C268" authorId="3" shapeId="0">
      <text>
        <t>V5.1: Типы_продукта!A19:M19; Микс_продаж!B6; C15</t>
      </text>
    </comment>
    <comment ref="D268" authorId="3" shapeId="0">
      <text>
        <t>V5.1: Типы_продукта!A19:M19; Микс_продаж!B6; C15</t>
      </text>
    </comment>
    <comment ref="E268" authorId="3" shapeId="0">
      <text>
        <t>V5.1: Типы_продукта!A19:M19; Микс_продаж!B6; C15</t>
      </text>
    </comment>
    <comment ref="F268" authorId="3" shapeId="0">
      <text>
        <t>V5.1: Типы_продукта!A19:M19; Микс_продаж!B6; C15</t>
      </text>
    </comment>
    <comment ref="G268" authorId="3" shapeId="0">
      <text>
        <t>V5.1: Типы_продукта!A19:M19; Микс_продаж!B6; C15</t>
      </text>
    </comment>
    <comment ref="H268" authorId="3" shapeId="0">
      <text>
        <t>V5.1: Типы_продукта!A19:M19; Микс_продаж!B6; C15</t>
      </text>
    </comment>
    <comment ref="I268" authorId="3" shapeId="0">
      <text>
        <t>V5.1: Типы_продукта!A19:M19; Микс_продаж!B6; C15</t>
      </text>
    </comment>
    <comment ref="J268" authorId="3" shapeId="0">
      <text>
        <t>V5.1: Типы_продукта!A19:M19; Микс_продаж!B6; C15</t>
      </text>
    </comment>
    <comment ref="K268" authorId="3" shapeId="0">
      <text>
        <t>V5.1: Типы_продукта!A19:M19; Микс_продаж!B6; C15</t>
      </text>
    </comment>
    <comment ref="A269" authorId="3" shapeId="0">
      <text>
        <t>V5.1: Типы_продукта!A20:M20; Микс_продаж!B6; D15</t>
      </text>
    </comment>
    <comment ref="B269" authorId="3" shapeId="0">
      <text>
        <t>V5.1: Типы_продукта!A20:M20; Микс_продаж!B6; D15</t>
      </text>
    </comment>
    <comment ref="C269" authorId="3" shapeId="0">
      <text>
        <t>V5.1: Типы_продукта!A20:M20; Микс_продаж!B6; D15</t>
      </text>
    </comment>
    <comment ref="D269" authorId="3" shapeId="0">
      <text>
        <t>V5.1: Типы_продукта!A20:M20; Микс_продаж!B6; D15</t>
      </text>
    </comment>
    <comment ref="E269" authorId="3" shapeId="0">
      <text>
        <t>V5.1: Типы_продукта!A20:M20; Микс_продаж!B6; D15</t>
      </text>
    </comment>
    <comment ref="F269" authorId="3" shapeId="0">
      <text>
        <t>V5.1: Типы_продукта!A20:M20; Микс_продаж!B6; D15</t>
      </text>
    </comment>
    <comment ref="G269" authorId="3" shapeId="0">
      <text>
        <t>V5.1: Типы_продукта!A20:M20; Микс_продаж!B6; D15</t>
      </text>
    </comment>
    <comment ref="H269" authorId="3" shapeId="0">
      <text>
        <t>V5.1: Типы_продукта!A20:M20; Микс_продаж!B6; D15</t>
      </text>
    </comment>
    <comment ref="I269" authorId="3" shapeId="0">
      <text>
        <t>V5.1: Типы_продукта!A20:M20; Микс_продаж!B6; D15</t>
      </text>
    </comment>
    <comment ref="J269" authorId="3" shapeId="0">
      <text>
        <t>V5.1: Типы_продукта!A20:M20; Микс_продаж!B6; D15</t>
      </text>
    </comment>
    <comment ref="K269" authorId="3" shapeId="0">
      <text>
        <t>V5.1: Типы_продукта!A20:M20; Микс_продаж!B6; D15</t>
      </text>
    </comment>
    <comment ref="A270" authorId="3" shapeId="0">
      <text>
        <t>V5.1: Типы_продукта!A21:M21; Микс_продаж!B6; E15</t>
      </text>
    </comment>
    <comment ref="B270" authorId="3" shapeId="0">
      <text>
        <t>V5.1: Типы_продукта!A21:M21; Микс_продаж!B6; E15</t>
      </text>
    </comment>
    <comment ref="C270" authorId="3" shapeId="0">
      <text>
        <t>V5.1: Типы_продукта!A21:M21; Микс_продаж!B6; E15</t>
      </text>
    </comment>
    <comment ref="D270" authorId="3" shapeId="0">
      <text>
        <t>V5.1: Типы_продукта!A21:M21; Микс_продаж!B6; E15</t>
      </text>
    </comment>
    <comment ref="E270" authorId="3" shapeId="0">
      <text>
        <t>V5.1: Типы_продукта!A21:M21; Микс_продаж!B6; E15</t>
      </text>
    </comment>
    <comment ref="F270" authorId="3" shapeId="0">
      <text>
        <t>V5.1: Типы_продукта!A21:M21; Микс_продаж!B6; E15</t>
      </text>
    </comment>
    <comment ref="G270" authorId="3" shapeId="0">
      <text>
        <t>V5.1: Типы_продукта!A21:M21; Микс_продаж!B6; E15</t>
      </text>
    </comment>
    <comment ref="H270" authorId="3" shapeId="0">
      <text>
        <t>V5.1: Типы_продукта!A21:M21; Микс_продаж!B6; E15</t>
      </text>
    </comment>
    <comment ref="I270" authorId="3" shapeId="0">
      <text>
        <t>V5.1: Типы_продукта!A21:M21; Микс_продаж!B6; E15</t>
      </text>
    </comment>
    <comment ref="J270" authorId="3" shapeId="0">
      <text>
        <t>V5.1: Типы_продукта!A21:M21; Микс_продаж!B6; E15</t>
      </text>
    </comment>
    <comment ref="K270" authorId="3" shapeId="0">
      <text>
        <t>V5.1: Типы_продукта!A21:M21; Микс_продаж!B6; E15</t>
      </text>
    </comment>
    <comment ref="A271" authorId="3" shapeId="0">
      <text>
        <t>V5.1: Типы_продукта!A22:M22; Микс_продаж!B7; B16</t>
      </text>
    </comment>
    <comment ref="B271" authorId="3" shapeId="0">
      <text>
        <t>V5.1: Типы_продукта!A22:M22; Микс_продаж!B7; B16</t>
      </text>
    </comment>
    <comment ref="C271" authorId="3" shapeId="0">
      <text>
        <t>V5.1: Типы_продукта!A22:M22; Микс_продаж!B7; B16</t>
      </text>
    </comment>
    <comment ref="D271" authorId="3" shapeId="0">
      <text>
        <t>V5.1: Типы_продукта!A22:M22; Микс_продаж!B7; B16</t>
      </text>
    </comment>
    <comment ref="E271" authorId="3" shapeId="0">
      <text>
        <t>V5.1: Типы_продукта!A22:M22; Микс_продаж!B7; B16</t>
      </text>
    </comment>
    <comment ref="F271" authorId="3" shapeId="0">
      <text>
        <t>V5.1: Типы_продукта!A22:M22; Микс_продаж!B7; B16</t>
      </text>
    </comment>
    <comment ref="G271" authorId="3" shapeId="0">
      <text>
        <t>V5.1: Типы_продукта!A22:M22; Микс_продаж!B7; B16</t>
      </text>
    </comment>
    <comment ref="H271" authorId="3" shapeId="0">
      <text>
        <t>V5.1: Типы_продукта!A22:M22; Микс_продаж!B7; B16</t>
      </text>
    </comment>
    <comment ref="I271" authorId="3" shapeId="0">
      <text>
        <t>V5.1: Типы_продукта!A22:M22; Микс_продаж!B7; B16</t>
      </text>
    </comment>
    <comment ref="J271" authorId="3" shapeId="0">
      <text>
        <t>V5.1: Типы_продукта!A22:M22; Микс_продаж!B7; B16</t>
      </text>
    </comment>
    <comment ref="K271" authorId="3" shapeId="0">
      <text>
        <t>V5.1: Типы_продукта!A22:M22; Микс_продаж!B7; B16</t>
      </text>
    </comment>
    <comment ref="A272" authorId="3" shapeId="0">
      <text>
        <t>V5.1: Типы_продукта!A23:M23; Микс_продаж!B7; C16</t>
      </text>
    </comment>
    <comment ref="B272" authorId="3" shapeId="0">
      <text>
        <t>V5.1: Типы_продукта!A23:M23; Микс_продаж!B7; C16</t>
      </text>
    </comment>
    <comment ref="C272" authorId="3" shapeId="0">
      <text>
        <t>V5.1: Типы_продукта!A23:M23; Микс_продаж!B7; C16</t>
      </text>
    </comment>
    <comment ref="D272" authorId="3" shapeId="0">
      <text>
        <t>V5.1: Типы_продукта!A23:M23; Микс_продаж!B7; C16</t>
      </text>
    </comment>
    <comment ref="E272" authorId="3" shapeId="0">
      <text>
        <t>V5.1: Типы_продукта!A23:M23; Микс_продаж!B7; C16</t>
      </text>
    </comment>
    <comment ref="F272" authorId="3" shapeId="0">
      <text>
        <t>V5.1: Типы_продукта!A23:M23; Микс_продаж!B7; C16</t>
      </text>
    </comment>
    <comment ref="G272" authorId="3" shapeId="0">
      <text>
        <t>V5.1: Типы_продукта!A23:M23; Микс_продаж!B7; C16</t>
      </text>
    </comment>
    <comment ref="H272" authorId="3" shapeId="0">
      <text>
        <t>V5.1: Типы_продукта!A23:M23; Микс_продаж!B7; C16</t>
      </text>
    </comment>
    <comment ref="I272" authorId="3" shapeId="0">
      <text>
        <t>V5.1: Типы_продукта!A23:M23; Микс_продаж!B7; C16</t>
      </text>
    </comment>
    <comment ref="J272" authorId="3" shapeId="0">
      <text>
        <t>V5.1: Типы_продукта!A23:M23; Микс_продаж!B7; C16</t>
      </text>
    </comment>
    <comment ref="K272" authorId="3" shapeId="0">
      <text>
        <t>V5.1: Типы_продукта!A23:M23; Микс_продаж!B7; C16</t>
      </text>
    </comment>
    <comment ref="A273" authorId="3" shapeId="0">
      <text>
        <t>V5.1: Типы_продукта!A24:M24; Микс_продаж!B7; D16</t>
      </text>
    </comment>
    <comment ref="B273" authorId="3" shapeId="0">
      <text>
        <t>V5.1: Типы_продукта!A24:M24; Микс_продаж!B7; D16</t>
      </text>
    </comment>
    <comment ref="C273" authorId="3" shapeId="0">
      <text>
        <t>V5.1: Типы_продукта!A24:M24; Микс_продаж!B7; D16</t>
      </text>
    </comment>
    <comment ref="D273" authorId="3" shapeId="0">
      <text>
        <t>V5.1: Типы_продукта!A24:M24; Микс_продаж!B7; D16</t>
      </text>
    </comment>
    <comment ref="E273" authorId="3" shapeId="0">
      <text>
        <t>V5.1: Типы_продукта!A24:M24; Микс_продаж!B7; D16</t>
      </text>
    </comment>
    <comment ref="F273" authorId="3" shapeId="0">
      <text>
        <t>V5.1: Типы_продукта!A24:M24; Микс_продаж!B7; D16</t>
      </text>
    </comment>
    <comment ref="G273" authorId="3" shapeId="0">
      <text>
        <t>V5.1: Типы_продукта!A24:M24; Микс_продаж!B7; D16</t>
      </text>
    </comment>
    <comment ref="H273" authorId="3" shapeId="0">
      <text>
        <t>V5.1: Типы_продукта!A24:M24; Микс_продаж!B7; D16</t>
      </text>
    </comment>
    <comment ref="I273" authorId="3" shapeId="0">
      <text>
        <t>V5.1: Типы_продукта!A24:M24; Микс_продаж!B7; D16</t>
      </text>
    </comment>
    <comment ref="J273" authorId="3" shapeId="0">
      <text>
        <t>V5.1: Типы_продукта!A24:M24; Микс_продаж!B7; D16</t>
      </text>
    </comment>
    <comment ref="K273" authorId="3" shapeId="0">
      <text>
        <t>V5.1: Типы_продукта!A24:M24; Микс_продаж!B7; D16</t>
      </text>
    </comment>
    <comment ref="A274" authorId="3" shapeId="0">
      <text>
        <t>V5.1: Типы_продукта!A25:M25; Микс_продаж!B7; E16</t>
      </text>
    </comment>
    <comment ref="B274" authorId="3" shapeId="0">
      <text>
        <t>V5.1: Типы_продукта!A25:M25; Микс_продаж!B7; E16</t>
      </text>
    </comment>
    <comment ref="C274" authorId="3" shapeId="0">
      <text>
        <t>V5.1: Типы_продукта!A25:M25; Микс_продаж!B7; E16</t>
      </text>
    </comment>
    <comment ref="D274" authorId="3" shapeId="0">
      <text>
        <t>V5.1: Типы_продукта!A25:M25; Микс_продаж!B7; E16</t>
      </text>
    </comment>
    <comment ref="E274" authorId="3" shapeId="0">
      <text>
        <t>V5.1: Типы_продукта!A25:M25; Микс_продаж!B7; E16</t>
      </text>
    </comment>
    <comment ref="F274" authorId="3" shapeId="0">
      <text>
        <t>V5.1: Типы_продукта!A25:M25; Микс_продаж!B7; E16</t>
      </text>
    </comment>
    <comment ref="G274" authorId="3" shapeId="0">
      <text>
        <t>V5.1: Типы_продукта!A25:M25; Микс_продаж!B7; E16</t>
      </text>
    </comment>
    <comment ref="H274" authorId="3" shapeId="0">
      <text>
        <t>V5.1: Типы_продукта!A25:M25; Микс_продаж!B7; E16</t>
      </text>
    </comment>
    <comment ref="I274" authorId="3" shapeId="0">
      <text>
        <t>V5.1: Типы_продукта!A25:M25; Микс_продаж!B7; E16</t>
      </text>
    </comment>
    <comment ref="J274" authorId="3" shapeId="0">
      <text>
        <t>V5.1: Типы_продукта!A25:M25; Микс_продаж!B7; E16</t>
      </text>
    </comment>
    <comment ref="K274" authorId="3" shapeId="0">
      <text>
        <t>V5.1: Типы_продукта!A25:M25; Микс_продаж!B7; E16</t>
      </text>
    </comment>
    <comment ref="A275" authorId="3" shapeId="0">
      <text>
        <t>V5.1: Типы_продукта!A26:M26; Микс_продаж!B8; B17</t>
      </text>
    </comment>
    <comment ref="B275" authorId="3" shapeId="0">
      <text>
        <t>V5.1: Типы_продукта!A26:M26; Микс_продаж!B8; B17</t>
      </text>
    </comment>
    <comment ref="C275" authorId="3" shapeId="0">
      <text>
        <t>V5.1: Типы_продукта!A26:M26; Микс_продаж!B8; B17</t>
      </text>
    </comment>
    <comment ref="D275" authorId="3" shapeId="0">
      <text>
        <t>V5.1: Типы_продукта!A26:M26; Микс_продаж!B8; B17</t>
      </text>
    </comment>
    <comment ref="E275" authorId="3" shapeId="0">
      <text>
        <t>V5.1: Типы_продукта!A26:M26; Микс_продаж!B8; B17</t>
      </text>
    </comment>
    <comment ref="F275" authorId="3" shapeId="0">
      <text>
        <t>V5.1: Типы_продукта!A26:M26; Микс_продаж!B8; B17</t>
      </text>
    </comment>
    <comment ref="G275" authorId="3" shapeId="0">
      <text>
        <t>V5.1: Типы_продукта!A26:M26; Микс_продаж!B8; B17</t>
      </text>
    </comment>
    <comment ref="H275" authorId="3" shapeId="0">
      <text>
        <t>V5.1: Типы_продукта!A26:M26; Микс_продаж!B8; B17</t>
      </text>
    </comment>
    <comment ref="I275" authorId="3" shapeId="0">
      <text>
        <t>V5.1: Типы_продукта!A26:M26; Микс_продаж!B8; B17</t>
      </text>
    </comment>
    <comment ref="J275" authorId="3" shapeId="0">
      <text>
        <t>V5.1: Типы_продукта!A26:M26; Микс_продаж!B8; B17</t>
      </text>
    </comment>
    <comment ref="K275" authorId="3" shapeId="0">
      <text>
        <t>V5.1: Типы_продукта!A26:M26; Микс_продаж!B8; B17</t>
      </text>
    </comment>
    <comment ref="A276" authorId="3" shapeId="0">
      <text>
        <t>V5.1: Типы_продукта!A27:M27; Микс_продаж!B8; C17</t>
      </text>
    </comment>
    <comment ref="B276" authorId="3" shapeId="0">
      <text>
        <t>V5.1: Типы_продукта!A27:M27; Микс_продаж!B8; C17</t>
      </text>
    </comment>
    <comment ref="C276" authorId="3" shapeId="0">
      <text>
        <t>V5.1: Типы_продукта!A27:M27; Микс_продаж!B8; C17</t>
      </text>
    </comment>
    <comment ref="D276" authorId="3" shapeId="0">
      <text>
        <t>V5.1: Типы_продукта!A27:M27; Микс_продаж!B8; C17</t>
      </text>
    </comment>
    <comment ref="E276" authorId="3" shapeId="0">
      <text>
        <t>V5.1: Типы_продукта!A27:M27; Микс_продаж!B8; C17</t>
      </text>
    </comment>
    <comment ref="F276" authorId="3" shapeId="0">
      <text>
        <t>V5.1: Типы_продукта!A27:M27; Микс_продаж!B8; C17</t>
      </text>
    </comment>
    <comment ref="G276" authorId="3" shapeId="0">
      <text>
        <t>V5.1: Типы_продукта!A27:M27; Микс_продаж!B8; C17</t>
      </text>
    </comment>
    <comment ref="H276" authorId="3" shapeId="0">
      <text>
        <t>V5.1: Типы_продукта!A27:M27; Микс_продаж!B8; C17</t>
      </text>
    </comment>
    <comment ref="I276" authorId="3" shapeId="0">
      <text>
        <t>V5.1: Типы_продукта!A27:M27; Микс_продаж!B8; C17</t>
      </text>
    </comment>
    <comment ref="J276" authorId="3" shapeId="0">
      <text>
        <t>V5.1: Типы_продукта!A27:M27; Микс_продаж!B8; C17</t>
      </text>
    </comment>
    <comment ref="K276" authorId="3" shapeId="0">
      <text>
        <t>V5.1: Типы_продукта!A27:M27; Микс_продаж!B8; C17</t>
      </text>
    </comment>
    <comment ref="A277" authorId="3" shapeId="0">
      <text>
        <t>V5.1: Типы_продукта!A28:M28; Микс_продаж!B8; D17</t>
      </text>
    </comment>
    <comment ref="B277" authorId="3" shapeId="0">
      <text>
        <t>V5.1: Типы_продукта!A28:M28; Микс_продаж!B8; D17</t>
      </text>
    </comment>
    <comment ref="C277" authorId="3" shapeId="0">
      <text>
        <t>V5.1: Типы_продукта!A28:M28; Микс_продаж!B8; D17</t>
      </text>
    </comment>
    <comment ref="D277" authorId="3" shapeId="0">
      <text>
        <t>V5.1: Типы_продукта!A28:M28; Микс_продаж!B8; D17</t>
      </text>
    </comment>
    <comment ref="E277" authorId="3" shapeId="0">
      <text>
        <t>V5.1: Типы_продукта!A28:M28; Микс_продаж!B8; D17</t>
      </text>
    </comment>
    <comment ref="F277" authorId="3" shapeId="0">
      <text>
        <t>V5.1: Типы_продукта!A28:M28; Микс_продаж!B8; D17</t>
      </text>
    </comment>
    <comment ref="G277" authorId="3" shapeId="0">
      <text>
        <t>V5.1: Типы_продукта!A28:M28; Микс_продаж!B8; D17</t>
      </text>
    </comment>
    <comment ref="H277" authorId="3" shapeId="0">
      <text>
        <t>V5.1: Типы_продукта!A28:M28; Микс_продаж!B8; D17</t>
      </text>
    </comment>
    <comment ref="I277" authorId="3" shapeId="0">
      <text>
        <t>V5.1: Типы_продукта!A28:M28; Микс_продаж!B8; D17</t>
      </text>
    </comment>
    <comment ref="J277" authorId="3" shapeId="0">
      <text>
        <t>V5.1: Типы_продукта!A28:M28; Микс_продаж!B8; D17</t>
      </text>
    </comment>
    <comment ref="K277" authorId="3" shapeId="0">
      <text>
        <t>V5.1: Типы_продукта!A28:M28; Микс_продаж!B8; D17</t>
      </text>
    </comment>
    <comment ref="A278" authorId="3" shapeId="0">
      <text>
        <t>V5.1: Типы_продукта!A29:M29; Микс_продаж!B8; E17</t>
      </text>
    </comment>
    <comment ref="B278" authorId="3" shapeId="0">
      <text>
        <t>V5.1: Типы_продукта!A29:M29; Микс_продаж!B8; E17</t>
      </text>
    </comment>
    <comment ref="C278" authorId="3" shapeId="0">
      <text>
        <t>V5.1: Типы_продукта!A29:M29; Микс_продаж!B8; E17</t>
      </text>
    </comment>
    <comment ref="D278" authorId="3" shapeId="0">
      <text>
        <t>V5.1: Типы_продукта!A29:M29; Микс_продаж!B8; E17</t>
      </text>
    </comment>
    <comment ref="E278" authorId="3" shapeId="0">
      <text>
        <t>V5.1: Типы_продукта!A29:M29; Микс_продаж!B8; E17</t>
      </text>
    </comment>
    <comment ref="F278" authorId="3" shapeId="0">
      <text>
        <t>V5.1: Типы_продукта!A29:M29; Микс_продаж!B8; E17</t>
      </text>
    </comment>
    <comment ref="G278" authorId="3" shapeId="0">
      <text>
        <t>V5.1: Типы_продукта!A29:M29; Микс_продаж!B8; E17</t>
      </text>
    </comment>
    <comment ref="H278" authorId="3" shapeId="0">
      <text>
        <t>V5.1: Типы_продукта!A29:M29; Микс_продаж!B8; E17</t>
      </text>
    </comment>
    <comment ref="I278" authorId="3" shapeId="0">
      <text>
        <t>V5.1: Типы_продукта!A29:M29; Микс_продаж!B8; E17</t>
      </text>
    </comment>
    <comment ref="J278" authorId="3" shapeId="0">
      <text>
        <t>V5.1: Типы_продукта!A29:M29; Микс_продаж!B8; E17</t>
      </text>
    </comment>
    <comment ref="K278" authorId="3" shapeId="0">
      <text>
        <t>V5.1: Типы_продукта!A29:M29; Микс_продаж!B8; E17</t>
      </text>
    </comment>
    <comment ref="A279" authorId="3" shapeId="0">
      <text>
        <t>V5.1: Типы_продукта!A30:M30; Микс_продаж!B9; B18</t>
      </text>
    </comment>
    <comment ref="B279" authorId="3" shapeId="0">
      <text>
        <t>V5.1: Типы_продукта!A30:M30; Микс_продаж!B9; B18</t>
      </text>
    </comment>
    <comment ref="C279" authorId="3" shapeId="0">
      <text>
        <t>V5.1: Типы_продукта!A30:M30; Микс_продаж!B9; B18</t>
      </text>
    </comment>
    <comment ref="D279" authorId="3" shapeId="0">
      <text>
        <t>V5.1: Типы_продукта!A30:M30; Микс_продаж!B9; B18</t>
      </text>
    </comment>
    <comment ref="E279" authorId="3" shapeId="0">
      <text>
        <t>V5.1: Типы_продукта!A30:M30; Микс_продаж!B9; B18</t>
      </text>
    </comment>
    <comment ref="F279" authorId="3" shapeId="0">
      <text>
        <t>V5.1: Типы_продукта!A30:M30; Микс_продаж!B9; B18</t>
      </text>
    </comment>
    <comment ref="G279" authorId="3" shapeId="0">
      <text>
        <t>V5.1: Типы_продукта!A30:M30; Микс_продаж!B9; B18</t>
      </text>
    </comment>
    <comment ref="H279" authorId="3" shapeId="0">
      <text>
        <t>V5.1: Типы_продукта!A30:M30; Микс_продаж!B9; B18</t>
      </text>
    </comment>
    <comment ref="I279" authorId="3" shapeId="0">
      <text>
        <t>V5.1: Типы_продукта!A30:M30; Микс_продаж!B9; B18</t>
      </text>
    </comment>
    <comment ref="J279" authorId="3" shapeId="0">
      <text>
        <t>V5.1: Типы_продукта!A30:M30; Микс_продаж!B9; B18</t>
      </text>
    </comment>
    <comment ref="K279" authorId="3" shapeId="0">
      <text>
        <t>V5.1: Типы_продукта!A30:M30; Микс_продаж!B9; B18</t>
      </text>
    </comment>
    <comment ref="A280" authorId="3" shapeId="0">
      <text>
        <t>V5.1: Типы_продукта!A31:M31; Микс_продаж!B9; C18</t>
      </text>
    </comment>
    <comment ref="B280" authorId="3" shapeId="0">
      <text>
        <t>V5.1: Типы_продукта!A31:M31; Микс_продаж!B9; C18</t>
      </text>
    </comment>
    <comment ref="C280" authorId="3" shapeId="0">
      <text>
        <t>V5.1: Типы_продукта!A31:M31; Микс_продаж!B9; C18</t>
      </text>
    </comment>
    <comment ref="D280" authorId="3" shapeId="0">
      <text>
        <t>V5.1: Типы_продукта!A31:M31; Микс_продаж!B9; C18</t>
      </text>
    </comment>
    <comment ref="E280" authorId="3" shapeId="0">
      <text>
        <t>V5.1: Типы_продукта!A31:M31; Микс_продаж!B9; C18</t>
      </text>
    </comment>
    <comment ref="F280" authorId="3" shapeId="0">
      <text>
        <t>V5.1: Типы_продукта!A31:M31; Микс_продаж!B9; C18</t>
      </text>
    </comment>
    <comment ref="G280" authorId="3" shapeId="0">
      <text>
        <t>V5.1: Типы_продукта!A31:M31; Микс_продаж!B9; C18</t>
      </text>
    </comment>
    <comment ref="H280" authorId="3" shapeId="0">
      <text>
        <t>V5.1: Типы_продукта!A31:M31; Микс_продаж!B9; C18</t>
      </text>
    </comment>
    <comment ref="I280" authorId="3" shapeId="0">
      <text>
        <t>V5.1: Типы_продукта!A31:M31; Микс_продаж!B9; C18</t>
      </text>
    </comment>
    <comment ref="J280" authorId="3" shapeId="0">
      <text>
        <t>V5.1: Типы_продукта!A31:M31; Микс_продаж!B9; C18</t>
      </text>
    </comment>
    <comment ref="K280" authorId="3" shapeId="0">
      <text>
        <t>V5.1: Типы_продукта!A31:M31; Микс_продаж!B9; C18</t>
      </text>
    </comment>
    <comment ref="A281" authorId="3" shapeId="0">
      <text>
        <t>V5.1: Типы_продукта!A32:M32; Микс_продаж!B9; D18</t>
      </text>
    </comment>
    <comment ref="B281" authorId="3" shapeId="0">
      <text>
        <t>V5.1: Типы_продукта!A32:M32; Микс_продаж!B9; D18</t>
      </text>
    </comment>
    <comment ref="C281" authorId="3" shapeId="0">
      <text>
        <t>V5.1: Типы_продукта!A32:M32; Микс_продаж!B9; D18</t>
      </text>
    </comment>
    <comment ref="D281" authorId="3" shapeId="0">
      <text>
        <t>V5.1: Типы_продукта!A32:M32; Микс_продаж!B9; D18</t>
      </text>
    </comment>
    <comment ref="E281" authorId="3" shapeId="0">
      <text>
        <t>V5.1: Типы_продукта!A32:M32; Микс_продаж!B9; D18</t>
      </text>
    </comment>
    <comment ref="F281" authorId="3" shapeId="0">
      <text>
        <t>V5.1: Типы_продукта!A32:M32; Микс_продаж!B9; D18</t>
      </text>
    </comment>
    <comment ref="G281" authorId="3" shapeId="0">
      <text>
        <t>V5.1: Типы_продукта!A32:M32; Микс_продаж!B9; D18</t>
      </text>
    </comment>
    <comment ref="H281" authorId="3" shapeId="0">
      <text>
        <t>V5.1: Типы_продукта!A32:M32; Микс_продаж!B9; D18</t>
      </text>
    </comment>
    <comment ref="I281" authorId="3" shapeId="0">
      <text>
        <t>V5.1: Типы_продукта!A32:M32; Микс_продаж!B9; D18</t>
      </text>
    </comment>
    <comment ref="J281" authorId="3" shapeId="0">
      <text>
        <t>V5.1: Типы_продукта!A32:M32; Микс_продаж!B9; D18</t>
      </text>
    </comment>
    <comment ref="K281" authorId="3" shapeId="0">
      <text>
        <t>V5.1: Типы_продукта!A32:M32; Микс_продаж!B9; D18</t>
      </text>
    </comment>
    <comment ref="A282" authorId="3" shapeId="0">
      <text>
        <t>V5.1: Типы_продукта!A33:M33; Микс_продаж!B9; E18</t>
      </text>
    </comment>
    <comment ref="B282" authorId="3" shapeId="0">
      <text>
        <t>V5.1: Типы_продукта!A33:M33; Микс_продаж!B9; E18</t>
      </text>
    </comment>
    <comment ref="C282" authorId="3" shapeId="0">
      <text>
        <t>V5.1: Типы_продукта!A33:M33; Микс_продаж!B9; E18</t>
      </text>
    </comment>
    <comment ref="D282" authorId="3" shapeId="0">
      <text>
        <t>V5.1: Типы_продукта!A33:M33; Микс_продаж!B9; E18</t>
      </text>
    </comment>
    <comment ref="E282" authorId="3" shapeId="0">
      <text>
        <t>V5.1: Типы_продукта!A33:M33; Микс_продаж!B9; E18</t>
      </text>
    </comment>
    <comment ref="F282" authorId="3" shapeId="0">
      <text>
        <t>V5.1: Типы_продукта!A33:M33; Микс_продаж!B9; E18</t>
      </text>
    </comment>
    <comment ref="G282" authorId="3" shapeId="0">
      <text>
        <t>V5.1: Типы_продукта!A33:M33; Микс_продаж!B9; E18</t>
      </text>
    </comment>
    <comment ref="H282" authorId="3" shapeId="0">
      <text>
        <t>V5.1: Типы_продукта!A33:M33; Микс_продаж!B9; E18</t>
      </text>
    </comment>
    <comment ref="I282" authorId="3" shapeId="0">
      <text>
        <t>V5.1: Типы_продукта!A33:M33; Микс_продаж!B9; E18</t>
      </text>
    </comment>
    <comment ref="J282" authorId="3" shapeId="0">
      <text>
        <t>V5.1: Типы_продукта!A33:M33; Микс_продаж!B9; E18</t>
      </text>
    </comment>
    <comment ref="K282" authorId="3" shapeId="0">
      <text>
        <t>V5.1: Типы_продукта!A33:M33; Микс_продаж!B9; E18</t>
      </text>
    </comment>
    <comment ref="C2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5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5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5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2" shapeId="0">
      <text>
        <t>ФОРМУЛА ПО УМОЛЧАНИЮ.
По умолчанию = дата старта модели (B7). Можно вписать свою дату.</t>
      </text>
    </comment>
    <comment ref="B290" authorId="5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2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2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2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2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2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2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19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Средний фикс на точку начисления</t>
        </is>
      </c>
      <c r="B52" s="51">
        <f>SUMPRODUCT(B314:B318,D314:D318)/SUM(B314:B318)</f>
        <v/>
      </c>
      <c r="C52" s="7" t="inlineStr">
        <is>
          <t>₽/точку/мес.</t>
        </is>
      </c>
      <c r="D52" s="7" t="inlineStr">
        <is>
          <t>Расчёт из групп</t>
        </is>
      </c>
      <c r="E52" s="17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  <row r="308"/>
    <row r="309">
      <c r="A309" s="318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319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/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320" t="n">
        <v>0.555592</v>
      </c>
      <c r="D314" s="321" t="n">
        <v>13560</v>
      </c>
      <c r="E314" s="32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320" t="n">
        <v>0.29611</v>
      </c>
      <c r="D315" s="321" t="n">
        <v>9000</v>
      </c>
      <c r="E315" s="32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320" t="n">
        <v>0.09134100000000001</v>
      </c>
      <c r="D316" s="321" t="n">
        <v>19138</v>
      </c>
      <c r="E316" s="32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320" t="n">
        <v>0.033143</v>
      </c>
      <c r="D317" s="321" t="n">
        <v>20067</v>
      </c>
      <c r="E317" s="32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320" t="n">
        <v>0.023814</v>
      </c>
      <c r="D318" s="321" t="n">
        <v>20000</v>
      </c>
      <c r="E318" s="32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32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6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" showDropDown="0" showInputMessage="1" showErrorMessage="1" allowBlank="0" errorTitle="Только Да или Нет" error="Выберите значение из списка." promptTitle="Постепенный набор как в v4" prompt="Да или Нет" type="list">
      <formula1>"Да,Нет"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IF(OR(61&lt;='01_Вводные'!$B$15,61-'01_Вводные'!$B$15&gt;60),0,INDEX('04_Продажи'!$B$15:$BI$15,1,61-'01_Вводные'!$B$15))*'01_Вводные'!$B$298*'01_Вводные'!$B$22</f>
        <v/>
      </c>
      <c r="BK8" s="185">
        <f>IF(OR(62&lt;='01_Вводные'!$B$15,62-'01_Вводные'!$B$15&gt;60),0,INDEX('04_Продажи'!$B$15:$BI$15,1,62-'01_Вводные'!$B$15))*'01_Вводные'!$B$298*'01_Вводные'!$B$22</f>
        <v/>
      </c>
      <c r="BL8" s="185">
        <f>IF(OR(63&lt;='01_Вводные'!$B$15,63-'01_Вводные'!$B$15&gt;60),0,INDEX('04_Продажи'!$B$15:$BI$15,1,63-'01_Вводные'!$B$15))*'01_Вводные'!$B$298*'01_Вводные'!$B$22</f>
        <v/>
      </c>
      <c r="BM8" s="185">
        <f>IF(OR(64&lt;='01_Вводные'!$B$15,64-'01_Вводные'!$B$15&gt;60),0,INDEX('04_Продажи'!$B$15:$BI$15,1,64-'01_Вводные'!$B$15))*'01_Вводные'!$B$298*'01_Вводные'!$B$22</f>
        <v/>
      </c>
      <c r="BN8" s="185">
        <f>IF(OR(65&lt;='01_Вводные'!$B$15,65-'01_Вводные'!$B$15&gt;60),0,INDEX('04_Продажи'!$B$15:$BI$15,1,65-'01_Вводные'!$B$15))*'01_Вводные'!$B$298*'01_Вводные'!$B$22</f>
        <v/>
      </c>
      <c r="BO8" s="185">
        <f>IF(OR(66&lt;='01_Вводные'!$B$15,66-'01_Вводные'!$B$15&gt;60),0,INDEX('04_Продажи'!$B$15:$BI$15,1,66-'01_Вводные'!$B$15))*'01_Вводные'!$B$298*'01_Вводные'!$B$22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SUMPRODUCT(('01_Вводные'!$D$314:$D$318*'01_Вводные'!$B$314:$B$318*IF('01_Вводные'!$B$9=0,0,B11/'01_Вводные'!$B$9)+B20*'18_Календарь_тарифы'!B8*'01_Вводные'!$C$314:$C$318*('01_Вводные'!$E$314:$E$318*(B$3&lt;'01_Вводные'!$B$245)+'01_Вводные'!$B$57*(B$3&gt;='01_Вводные'!$B$245))+ABS('01_Вводные'!$D$314:$D$318*'01_Вводные'!$B$314:$B$318*IF('01_Вводные'!$B$9=0,0,B11/'01_Вводные'!$B$9)-B20*'18_Календарь_тарифы'!B8*'01_Вводные'!$C$314:$C$318*('01_Вводные'!$E$314:$E$318*(B$3&lt;'01_Вводные'!$B$245)+'01_Вводные'!$B$57*(B$3&gt;='01_Вводные'!$B$245))))/2)</f>
        <v/>
      </c>
      <c r="C28" s="185">
        <f>SUMPRODUCT(('01_Вводные'!$D$314:$D$318*'01_Вводные'!$B$314:$B$318*IF('01_Вводные'!$B$9=0,0,C11/'01_Вводные'!$B$9)+C20*'18_Календарь_тарифы'!C8*'01_Вводные'!$C$314:$C$318*('01_Вводные'!$E$314:$E$318*(C$3&lt;'01_Вводные'!$B$245)+'01_Вводные'!$B$57*(C$3&gt;='01_Вводные'!$B$245))+ABS('01_Вводные'!$D$314:$D$318*'01_Вводные'!$B$314:$B$318*IF('01_Вводные'!$B$9=0,0,C11/'01_Вводные'!$B$9)-C20*'18_Календарь_тарифы'!C8*'01_Вводные'!$C$314:$C$318*('01_Вводные'!$E$314:$E$318*(C$3&lt;'01_Вводные'!$B$245)+'01_Вводные'!$B$57*(C$3&gt;='01_Вводные'!$B$245))))/2)</f>
        <v/>
      </c>
      <c r="D28" s="185">
        <f>SUMPRODUCT(('01_Вводные'!$D$314:$D$318*'01_Вводные'!$B$314:$B$318*IF('01_Вводные'!$B$9=0,0,D11/'01_Вводные'!$B$9)+D20*'18_Календарь_тарифы'!D8*'01_Вводные'!$C$314:$C$318*('01_Вводные'!$E$314:$E$318*(D$3&lt;'01_Вводные'!$B$245)+'01_Вводные'!$B$57*(D$3&gt;='01_Вводные'!$B$245))+ABS('01_Вводные'!$D$314:$D$318*'01_Вводные'!$B$314:$B$318*IF('01_Вводные'!$B$9=0,0,D11/'01_Вводные'!$B$9)-D20*'18_Календарь_тарифы'!D8*'01_Вводные'!$C$314:$C$318*('01_Вводные'!$E$314:$E$318*(D$3&lt;'01_Вводные'!$B$245)+'01_Вводные'!$B$57*(D$3&gt;='01_Вводные'!$B$245))))/2)</f>
        <v/>
      </c>
      <c r="E28" s="185">
        <f>SUMPRODUCT(('01_Вводные'!$D$314:$D$318*'01_Вводные'!$B$314:$B$318*IF('01_Вводные'!$B$9=0,0,E11/'01_Вводные'!$B$9)+E20*'18_Календарь_тарифы'!E8*'01_Вводные'!$C$314:$C$318*('01_Вводные'!$E$314:$E$318*(E$3&lt;'01_Вводные'!$B$245)+'01_Вводные'!$B$57*(E$3&gt;='01_Вводные'!$B$245))+ABS('01_Вводные'!$D$314:$D$318*'01_Вводные'!$B$314:$B$318*IF('01_Вводные'!$B$9=0,0,E11/'01_Вводные'!$B$9)-E20*'18_Календарь_тарифы'!E8*'01_Вводные'!$C$314:$C$318*('01_Вводные'!$E$314:$E$318*(E$3&lt;'01_Вводные'!$B$245)+'01_Вводные'!$B$57*(E$3&gt;='01_Вводные'!$B$245))))/2)</f>
        <v/>
      </c>
      <c r="F28" s="185">
        <f>SUMPRODUCT(('01_Вводные'!$D$314:$D$318*'01_Вводные'!$B$314:$B$318*IF('01_Вводные'!$B$9=0,0,F11/'01_Вводные'!$B$9)+F20*'18_Календарь_тарифы'!F8*'01_Вводные'!$C$314:$C$318*('01_Вводные'!$E$314:$E$318*(F$3&lt;'01_Вводные'!$B$245)+'01_Вводные'!$B$57*(F$3&gt;='01_Вводные'!$B$245))+ABS('01_Вводные'!$D$314:$D$318*'01_Вводные'!$B$314:$B$318*IF('01_Вводные'!$B$9=0,0,F11/'01_Вводные'!$B$9)-F20*'18_Календарь_тарифы'!F8*'01_Вводные'!$C$314:$C$318*('01_Вводные'!$E$314:$E$318*(F$3&lt;'01_Вводные'!$B$245)+'01_Вводные'!$B$57*(F$3&gt;='01_Вводные'!$B$245))))/2)</f>
        <v/>
      </c>
      <c r="G28" s="185">
        <f>SUMPRODUCT(('01_Вводные'!$D$314:$D$318*'01_Вводные'!$B$314:$B$318*IF('01_Вводные'!$B$9=0,0,G11/'01_Вводные'!$B$9)+G20*'18_Календарь_тарифы'!G8*'01_Вводные'!$C$314:$C$318*('01_Вводные'!$E$314:$E$318*(G$3&lt;'01_Вводные'!$B$245)+'01_Вводные'!$B$57*(G$3&gt;='01_Вводные'!$B$245))+ABS('01_Вводные'!$D$314:$D$318*'01_Вводные'!$B$314:$B$318*IF('01_Вводные'!$B$9=0,0,G11/'01_Вводные'!$B$9)-G20*'18_Календарь_тарифы'!G8*'01_Вводные'!$C$314:$C$318*('01_Вводные'!$E$314:$E$318*(G$3&lt;'01_Вводные'!$B$245)+'01_Вводные'!$B$57*(G$3&gt;='01_Вводные'!$B$245))))/2)</f>
        <v/>
      </c>
      <c r="H28" s="185">
        <f>SUMPRODUCT(('01_Вводные'!$D$314:$D$318*'01_Вводные'!$B$314:$B$318*IF('01_Вводные'!$B$9=0,0,H11/'01_Вводные'!$B$9)+H20*'18_Календарь_тарифы'!H8*'01_Вводные'!$C$314:$C$318*('01_Вводные'!$E$314:$E$318*(H$3&lt;'01_Вводные'!$B$245)+'01_Вводные'!$B$57*(H$3&gt;='01_Вводные'!$B$245))+ABS('01_Вводные'!$D$314:$D$318*'01_Вводные'!$B$314:$B$318*IF('01_Вводные'!$B$9=0,0,H11/'01_Вводные'!$B$9)-H20*'18_Календарь_тарифы'!H8*'01_Вводные'!$C$314:$C$318*('01_Вводные'!$E$314:$E$318*(H$3&lt;'01_Вводные'!$B$245)+'01_Вводные'!$B$57*(H$3&gt;='01_Вводные'!$B$245))))/2)</f>
        <v/>
      </c>
      <c r="I28" s="185">
        <f>SUMPRODUCT(('01_Вводные'!$D$314:$D$318*'01_Вводные'!$B$314:$B$318*IF('01_Вводные'!$B$9=0,0,I11/'01_Вводные'!$B$9)+I20*'18_Календарь_тарифы'!I8*'01_Вводные'!$C$314:$C$318*('01_Вводные'!$E$314:$E$318*(I$3&lt;'01_Вводные'!$B$245)+'01_Вводные'!$B$57*(I$3&gt;='01_Вводные'!$B$245))+ABS('01_Вводные'!$D$314:$D$318*'01_Вводные'!$B$314:$B$318*IF('01_Вводные'!$B$9=0,0,I11/'01_Вводные'!$B$9)-I20*'18_Календарь_тарифы'!I8*'01_Вводные'!$C$314:$C$318*('01_Вводные'!$E$314:$E$318*(I$3&lt;'01_Вводные'!$B$245)+'01_Вводные'!$B$57*(I$3&gt;='01_Вводные'!$B$245))))/2)</f>
        <v/>
      </c>
      <c r="J28" s="185">
        <f>SUMPRODUCT(('01_Вводные'!$D$314:$D$318*'01_Вводные'!$B$314:$B$318*IF('01_Вводные'!$B$9=0,0,J11/'01_Вводные'!$B$9)+J20*'18_Календарь_тарифы'!J8*'01_Вводные'!$C$314:$C$318*('01_Вводные'!$E$314:$E$318*(J$3&lt;'01_Вводные'!$B$245)+'01_Вводные'!$B$57*(J$3&gt;='01_Вводные'!$B$245))+ABS('01_Вводные'!$D$314:$D$318*'01_Вводные'!$B$314:$B$318*IF('01_Вводные'!$B$9=0,0,J11/'01_Вводные'!$B$9)-J20*'18_Календарь_тарифы'!J8*'01_Вводные'!$C$314:$C$318*('01_Вводные'!$E$314:$E$318*(J$3&lt;'01_Вводные'!$B$245)+'01_Вводные'!$B$57*(J$3&gt;='01_Вводные'!$B$245))))/2)</f>
        <v/>
      </c>
      <c r="K28" s="185">
        <f>SUMPRODUCT(('01_Вводные'!$D$314:$D$318*'01_Вводные'!$B$314:$B$318*IF('01_Вводные'!$B$9=0,0,K11/'01_Вводные'!$B$9)+K20*'18_Календарь_тарифы'!K8*'01_Вводные'!$C$314:$C$318*('01_Вводные'!$E$314:$E$318*(K$3&lt;'01_Вводные'!$B$245)+'01_Вводные'!$B$57*(K$3&gt;='01_Вводные'!$B$245))+ABS('01_Вводные'!$D$314:$D$318*'01_Вводные'!$B$314:$B$318*IF('01_Вводные'!$B$9=0,0,K11/'01_Вводные'!$B$9)-K20*'18_Календарь_тарифы'!K8*'01_Вводные'!$C$314:$C$318*('01_Вводные'!$E$314:$E$318*(K$3&lt;'01_Вводные'!$B$245)+'01_Вводные'!$B$57*(K$3&gt;='01_Вводные'!$B$245))))/2)</f>
        <v/>
      </c>
      <c r="L28" s="185">
        <f>SUMPRODUCT(('01_Вводные'!$D$314:$D$318*'01_Вводные'!$B$314:$B$318*IF('01_Вводные'!$B$9=0,0,L11/'01_Вводные'!$B$9)+L20*'18_Календарь_тарифы'!L8*'01_Вводные'!$C$314:$C$318*('01_Вводные'!$E$314:$E$318*(L$3&lt;'01_Вводные'!$B$245)+'01_Вводные'!$B$57*(L$3&gt;='01_Вводные'!$B$245))+ABS('01_Вводные'!$D$314:$D$318*'01_Вводные'!$B$314:$B$318*IF('01_Вводные'!$B$9=0,0,L11/'01_Вводные'!$B$9)-L20*'18_Календарь_тарифы'!L8*'01_Вводные'!$C$314:$C$318*('01_Вводные'!$E$314:$E$318*(L$3&lt;'01_Вводные'!$B$245)+'01_Вводные'!$B$57*(L$3&gt;='01_Вводные'!$B$245))))/2)</f>
        <v/>
      </c>
      <c r="M28" s="185">
        <f>SUMPRODUCT(('01_Вводные'!$D$314:$D$318*'01_Вводные'!$B$314:$B$318*IF('01_Вводные'!$B$9=0,0,M11/'01_Вводные'!$B$9)+M20*'18_Календарь_тарифы'!M8*'01_Вводные'!$C$314:$C$318*('01_Вводные'!$E$314:$E$318*(M$3&lt;'01_Вводные'!$B$245)+'01_Вводные'!$B$57*(M$3&gt;='01_Вводные'!$B$245))+ABS('01_Вводные'!$D$314:$D$318*'01_Вводные'!$B$314:$B$318*IF('01_Вводные'!$B$9=0,0,M11/'01_Вводные'!$B$9)-M20*'18_Календарь_тарифы'!M8*'01_Вводные'!$C$314:$C$318*('01_Вводные'!$E$314:$E$318*(M$3&lt;'01_Вводные'!$B$245)+'01_Вводные'!$B$57*(M$3&gt;='01_Вводные'!$B$245))))/2)</f>
        <v/>
      </c>
      <c r="N28" s="185">
        <f>SUMPRODUCT(('01_Вводные'!$D$314:$D$318*'01_Вводные'!$B$314:$B$318*IF('01_Вводные'!$B$9=0,0,N11/'01_Вводные'!$B$9)+N20*'18_Календарь_тарифы'!N8*'01_Вводные'!$C$314:$C$318*('01_Вводные'!$E$314:$E$318*(N$3&lt;'01_Вводные'!$B$245)+'01_Вводные'!$B$57*(N$3&gt;='01_Вводные'!$B$245))+ABS('01_Вводные'!$D$314:$D$318*'01_Вводные'!$B$314:$B$318*IF('01_Вводные'!$B$9=0,0,N11/'01_Вводные'!$B$9)-N20*'18_Календарь_тарифы'!N8*'01_Вводные'!$C$314:$C$318*('01_Вводные'!$E$314:$E$318*(N$3&lt;'01_Вводные'!$B$245)+'01_Вводные'!$B$57*(N$3&gt;='01_Вводные'!$B$245))))/2)</f>
        <v/>
      </c>
      <c r="O28" s="185">
        <f>SUMPRODUCT(('01_Вводные'!$D$314:$D$318*'01_Вводные'!$B$314:$B$318*IF('01_Вводные'!$B$9=0,0,O11/'01_Вводные'!$B$9)+O20*'18_Календарь_тарифы'!O8*'01_Вводные'!$C$314:$C$318*('01_Вводные'!$E$314:$E$318*(O$3&lt;'01_Вводные'!$B$245)+'01_Вводные'!$B$57*(O$3&gt;='01_Вводные'!$B$245))+ABS('01_Вводные'!$D$314:$D$318*'01_Вводные'!$B$314:$B$318*IF('01_Вводные'!$B$9=0,0,O11/'01_Вводные'!$B$9)-O20*'18_Календарь_тарифы'!O8*'01_Вводные'!$C$314:$C$318*('01_Вводные'!$E$314:$E$318*(O$3&lt;'01_Вводные'!$B$245)+'01_Вводные'!$B$57*(O$3&gt;='01_Вводные'!$B$245))))/2)</f>
        <v/>
      </c>
      <c r="P28" s="185">
        <f>SUMPRODUCT(('01_Вводные'!$D$314:$D$318*'01_Вводные'!$B$314:$B$318*IF('01_Вводные'!$B$9=0,0,P11/'01_Вводные'!$B$9)+P20*'18_Календарь_тарифы'!P8*'01_Вводные'!$C$314:$C$318*('01_Вводные'!$E$314:$E$318*(P$3&lt;'01_Вводные'!$B$245)+'01_Вводные'!$B$57*(P$3&gt;='01_Вводные'!$B$245))+ABS('01_Вводные'!$D$314:$D$318*'01_Вводные'!$B$314:$B$318*IF('01_Вводные'!$B$9=0,0,P11/'01_Вводные'!$B$9)-P20*'18_Календарь_тарифы'!P8*'01_Вводные'!$C$314:$C$318*('01_Вводные'!$E$314:$E$318*(P$3&lt;'01_Вводные'!$B$245)+'01_Вводные'!$B$57*(P$3&gt;='01_Вводные'!$B$245))))/2)</f>
        <v/>
      </c>
      <c r="Q28" s="185">
        <f>SUMPRODUCT(('01_Вводные'!$D$314:$D$318*'01_Вводные'!$B$314:$B$318*IF('01_Вводные'!$B$9=0,0,Q11/'01_Вводные'!$B$9)+Q20*'18_Календарь_тарифы'!Q8*'01_Вводные'!$C$314:$C$318*('01_Вводные'!$E$314:$E$318*(Q$3&lt;'01_Вводные'!$B$245)+'01_Вводные'!$B$57*(Q$3&gt;='01_Вводные'!$B$245))+ABS('01_Вводные'!$D$314:$D$318*'01_Вводные'!$B$314:$B$318*IF('01_Вводные'!$B$9=0,0,Q11/'01_Вводные'!$B$9)-Q20*'18_Календарь_тарифы'!Q8*'01_Вводные'!$C$314:$C$318*('01_Вводные'!$E$314:$E$318*(Q$3&lt;'01_Вводные'!$B$245)+'01_Вводные'!$B$57*(Q$3&gt;='01_Вводные'!$B$245))))/2)</f>
        <v/>
      </c>
      <c r="R28" s="185">
        <f>SUMPRODUCT(('01_Вводные'!$D$314:$D$318*'01_Вводные'!$B$314:$B$318*IF('01_Вводные'!$B$9=0,0,R11/'01_Вводные'!$B$9)+R20*'18_Календарь_тарифы'!R8*'01_Вводные'!$C$314:$C$318*('01_Вводные'!$E$314:$E$318*(R$3&lt;'01_Вводные'!$B$245)+'01_Вводные'!$B$57*(R$3&gt;='01_Вводные'!$B$245))+ABS('01_Вводные'!$D$314:$D$318*'01_Вводные'!$B$314:$B$318*IF('01_Вводные'!$B$9=0,0,R11/'01_Вводные'!$B$9)-R20*'18_Календарь_тарифы'!R8*'01_Вводные'!$C$314:$C$318*('01_Вводные'!$E$314:$E$318*(R$3&lt;'01_Вводные'!$B$245)+'01_Вводные'!$B$57*(R$3&gt;='01_Вводные'!$B$245))))/2)</f>
        <v/>
      </c>
      <c r="S28" s="185">
        <f>SUMPRODUCT(('01_Вводные'!$D$314:$D$318*'01_Вводные'!$B$314:$B$318*IF('01_Вводные'!$B$9=0,0,S11/'01_Вводные'!$B$9)+S20*'18_Календарь_тарифы'!S8*'01_Вводные'!$C$314:$C$318*('01_Вводные'!$E$314:$E$318*(S$3&lt;'01_Вводные'!$B$245)+'01_Вводные'!$B$57*(S$3&gt;='01_Вводные'!$B$245))+ABS('01_Вводные'!$D$314:$D$318*'01_Вводные'!$B$314:$B$318*IF('01_Вводные'!$B$9=0,0,S11/'01_Вводные'!$B$9)-S20*'18_Календарь_тарифы'!S8*'01_Вводные'!$C$314:$C$318*('01_Вводные'!$E$314:$E$318*(S$3&lt;'01_Вводные'!$B$245)+'01_Вводные'!$B$57*(S$3&gt;='01_Вводные'!$B$245))))/2)</f>
        <v/>
      </c>
      <c r="T28" s="185">
        <f>SUMPRODUCT(('01_Вводные'!$D$314:$D$318*'01_Вводные'!$B$314:$B$318*IF('01_Вводные'!$B$9=0,0,T11/'01_Вводные'!$B$9)+T20*'18_Календарь_тарифы'!T8*'01_Вводные'!$C$314:$C$318*('01_Вводные'!$E$314:$E$318*(T$3&lt;'01_Вводные'!$B$245)+'01_Вводные'!$B$57*(T$3&gt;='01_Вводные'!$B$245))+ABS('01_Вводные'!$D$314:$D$318*'01_Вводные'!$B$314:$B$318*IF('01_Вводные'!$B$9=0,0,T11/'01_Вводные'!$B$9)-T20*'18_Календарь_тарифы'!T8*'01_Вводные'!$C$314:$C$318*('01_Вводные'!$E$314:$E$318*(T$3&lt;'01_Вводные'!$B$245)+'01_Вводные'!$B$57*(T$3&gt;='01_Вводные'!$B$245))))/2)</f>
        <v/>
      </c>
      <c r="U28" s="185">
        <f>SUMPRODUCT(('01_Вводные'!$D$314:$D$318*'01_Вводные'!$B$314:$B$318*IF('01_Вводные'!$B$9=0,0,U11/'01_Вводные'!$B$9)+U20*'18_Календарь_тарифы'!U8*'01_Вводные'!$C$314:$C$318*('01_Вводные'!$E$314:$E$318*(U$3&lt;'01_Вводные'!$B$245)+'01_Вводные'!$B$57*(U$3&gt;='01_Вводные'!$B$245))+ABS('01_Вводные'!$D$314:$D$318*'01_Вводные'!$B$314:$B$318*IF('01_Вводные'!$B$9=0,0,U11/'01_Вводные'!$B$9)-U20*'18_Календарь_тарифы'!U8*'01_Вводные'!$C$314:$C$318*('01_Вводные'!$E$314:$E$318*(U$3&lt;'01_Вводные'!$B$245)+'01_Вводные'!$B$57*(U$3&gt;='01_Вводные'!$B$245))))/2)</f>
        <v/>
      </c>
      <c r="V28" s="185">
        <f>SUMPRODUCT(('01_Вводные'!$D$314:$D$318*'01_Вводные'!$B$314:$B$318*IF('01_Вводные'!$B$9=0,0,V11/'01_Вводные'!$B$9)+V20*'18_Календарь_тарифы'!V8*'01_Вводные'!$C$314:$C$318*('01_Вводные'!$E$314:$E$318*(V$3&lt;'01_Вводные'!$B$245)+'01_Вводные'!$B$57*(V$3&gt;='01_Вводные'!$B$245))+ABS('01_Вводные'!$D$314:$D$318*'01_Вводные'!$B$314:$B$318*IF('01_Вводные'!$B$9=0,0,V11/'01_Вводные'!$B$9)-V20*'18_Календарь_тарифы'!V8*'01_Вводные'!$C$314:$C$318*('01_Вводные'!$E$314:$E$318*(V$3&lt;'01_Вводные'!$B$245)+'01_Вводные'!$B$57*(V$3&gt;='01_Вводные'!$B$245))))/2)</f>
        <v/>
      </c>
      <c r="W28" s="185">
        <f>SUMPRODUCT(('01_Вводные'!$D$314:$D$318*'01_Вводные'!$B$314:$B$318*IF('01_Вводные'!$B$9=0,0,W11/'01_Вводные'!$B$9)+W20*'18_Календарь_тарифы'!W8*'01_Вводные'!$C$314:$C$318*('01_Вводные'!$E$314:$E$318*(W$3&lt;'01_Вводные'!$B$245)+'01_Вводные'!$B$57*(W$3&gt;='01_Вводные'!$B$245))+ABS('01_Вводные'!$D$314:$D$318*'01_Вводные'!$B$314:$B$318*IF('01_Вводные'!$B$9=0,0,W11/'01_Вводные'!$B$9)-W20*'18_Календарь_тарифы'!W8*'01_Вводные'!$C$314:$C$318*('01_Вводные'!$E$314:$E$318*(W$3&lt;'01_Вводные'!$B$245)+'01_Вводные'!$B$57*(W$3&gt;='01_Вводные'!$B$245))))/2)</f>
        <v/>
      </c>
      <c r="X28" s="185">
        <f>SUMPRODUCT(('01_Вводные'!$D$314:$D$318*'01_Вводные'!$B$314:$B$318*IF('01_Вводные'!$B$9=0,0,X11/'01_Вводные'!$B$9)+X20*'18_Календарь_тарифы'!X8*'01_Вводные'!$C$314:$C$318*('01_Вводные'!$E$314:$E$318*(X$3&lt;'01_Вводные'!$B$245)+'01_Вводные'!$B$57*(X$3&gt;='01_Вводные'!$B$245))+ABS('01_Вводные'!$D$314:$D$318*'01_Вводные'!$B$314:$B$318*IF('01_Вводные'!$B$9=0,0,X11/'01_Вводные'!$B$9)-X20*'18_Календарь_тарифы'!X8*'01_Вводные'!$C$314:$C$318*('01_Вводные'!$E$314:$E$318*(X$3&lt;'01_Вводные'!$B$245)+'01_Вводные'!$B$57*(X$3&gt;='01_Вводные'!$B$245))))/2)</f>
        <v/>
      </c>
      <c r="Y28" s="185">
        <f>SUMPRODUCT(('01_Вводные'!$D$314:$D$318*'01_Вводные'!$B$314:$B$318*IF('01_Вводные'!$B$9=0,0,Y11/'01_Вводные'!$B$9)+Y20*'18_Календарь_тарифы'!Y8*'01_Вводные'!$C$314:$C$318*('01_Вводные'!$E$314:$E$318*(Y$3&lt;'01_Вводные'!$B$245)+'01_Вводные'!$B$57*(Y$3&gt;='01_Вводные'!$B$245))+ABS('01_Вводные'!$D$314:$D$318*'01_Вводные'!$B$314:$B$318*IF('01_Вводные'!$B$9=0,0,Y11/'01_Вводные'!$B$9)-Y20*'18_Календарь_тарифы'!Y8*'01_Вводные'!$C$314:$C$318*('01_Вводные'!$E$314:$E$318*(Y$3&lt;'01_Вводные'!$B$245)+'01_Вводные'!$B$57*(Y$3&gt;='01_Вводные'!$B$245))))/2)</f>
        <v/>
      </c>
      <c r="Z28" s="185">
        <f>SUMPRODUCT(('01_Вводные'!$D$314:$D$318*'01_Вводные'!$B$314:$B$318*IF('01_Вводные'!$B$9=0,0,Z11/'01_Вводные'!$B$9)+Z20*'18_Календарь_тарифы'!Z8*'01_Вводные'!$C$314:$C$318*('01_Вводные'!$E$314:$E$318*(Z$3&lt;'01_Вводные'!$B$245)+'01_Вводные'!$B$57*(Z$3&gt;='01_Вводные'!$B$245))+ABS('01_Вводные'!$D$314:$D$318*'01_Вводные'!$B$314:$B$318*IF('01_Вводные'!$B$9=0,0,Z11/'01_Вводные'!$B$9)-Z20*'18_Календарь_тарифы'!Z8*'01_Вводные'!$C$314:$C$318*('01_Вводные'!$E$314:$E$318*(Z$3&lt;'01_Вводные'!$B$245)+'01_Вводные'!$B$57*(Z$3&gt;='01_Вводные'!$B$245))))/2)</f>
        <v/>
      </c>
      <c r="AA28" s="185">
        <f>SUMPRODUCT(('01_Вводные'!$D$314:$D$318*'01_Вводные'!$B$314:$B$318*IF('01_Вводные'!$B$9=0,0,AA11/'01_Вводные'!$B$9)+AA20*'18_Календарь_тарифы'!AA8*'01_Вводные'!$C$314:$C$318*('01_Вводные'!$E$314:$E$318*(AA$3&lt;'01_Вводные'!$B$245)+'01_Вводные'!$B$57*(AA$3&gt;='01_Вводные'!$B$245))+ABS('01_Вводные'!$D$314:$D$318*'01_Вводные'!$B$314:$B$318*IF('01_Вводные'!$B$9=0,0,AA11/'01_Вводные'!$B$9)-AA20*'18_Календарь_тарифы'!AA8*'01_Вводные'!$C$314:$C$318*('01_Вводные'!$E$314:$E$318*(AA$3&lt;'01_Вводные'!$B$245)+'01_Вводные'!$B$57*(AA$3&gt;='01_Вводные'!$B$245))))/2)</f>
        <v/>
      </c>
      <c r="AB28" s="185">
        <f>SUMPRODUCT(('01_Вводные'!$D$314:$D$318*'01_Вводные'!$B$314:$B$318*IF('01_Вводные'!$B$9=0,0,AB11/'01_Вводные'!$B$9)+AB20*'18_Календарь_тарифы'!AB8*'01_Вводные'!$C$314:$C$318*('01_Вводные'!$E$314:$E$318*(AB$3&lt;'01_Вводные'!$B$245)+'01_Вводные'!$B$57*(AB$3&gt;='01_Вводные'!$B$245))+ABS('01_Вводные'!$D$314:$D$318*'01_Вводные'!$B$314:$B$318*IF('01_Вводные'!$B$9=0,0,AB11/'01_Вводные'!$B$9)-AB20*'18_Календарь_тарифы'!AB8*'01_Вводные'!$C$314:$C$318*('01_Вводные'!$E$314:$E$318*(AB$3&lt;'01_Вводные'!$B$245)+'01_Вводные'!$B$57*(AB$3&gt;='01_Вводные'!$B$245))))/2)</f>
        <v/>
      </c>
      <c r="AC28" s="185">
        <f>SUMPRODUCT(('01_Вводные'!$D$314:$D$318*'01_Вводные'!$B$314:$B$318*IF('01_Вводные'!$B$9=0,0,AC11/'01_Вводные'!$B$9)+AC20*'18_Календарь_тарифы'!AC8*'01_Вводные'!$C$314:$C$318*('01_Вводные'!$E$314:$E$318*(AC$3&lt;'01_Вводные'!$B$245)+'01_Вводные'!$B$57*(AC$3&gt;='01_Вводные'!$B$245))+ABS('01_Вводные'!$D$314:$D$318*'01_Вводные'!$B$314:$B$318*IF('01_Вводные'!$B$9=0,0,AC11/'01_Вводные'!$B$9)-AC20*'18_Календарь_тарифы'!AC8*'01_Вводные'!$C$314:$C$318*('01_Вводные'!$E$314:$E$318*(AC$3&lt;'01_Вводные'!$B$245)+'01_Вводные'!$B$57*(AC$3&gt;='01_Вводные'!$B$245))))/2)</f>
        <v/>
      </c>
      <c r="AD28" s="185">
        <f>SUMPRODUCT(('01_Вводные'!$D$314:$D$318*'01_Вводные'!$B$314:$B$318*IF('01_Вводные'!$B$9=0,0,AD11/'01_Вводные'!$B$9)+AD20*'18_Календарь_тарифы'!AD8*'01_Вводные'!$C$314:$C$318*('01_Вводные'!$E$314:$E$318*(AD$3&lt;'01_Вводные'!$B$245)+'01_Вводные'!$B$57*(AD$3&gt;='01_Вводные'!$B$245))+ABS('01_Вводные'!$D$314:$D$318*'01_Вводные'!$B$314:$B$318*IF('01_Вводные'!$B$9=0,0,AD11/'01_Вводные'!$B$9)-AD20*'18_Календарь_тарифы'!AD8*'01_Вводные'!$C$314:$C$318*('01_Вводные'!$E$314:$E$318*(AD$3&lt;'01_Вводные'!$B$245)+'01_Вводные'!$B$57*(AD$3&gt;='01_Вводные'!$B$245))))/2)</f>
        <v/>
      </c>
      <c r="AE28" s="185">
        <f>SUMPRODUCT(('01_Вводные'!$D$314:$D$318*'01_Вводные'!$B$314:$B$318*IF('01_Вводные'!$B$9=0,0,AE11/'01_Вводные'!$B$9)+AE20*'18_Календарь_тарифы'!AE8*'01_Вводные'!$C$314:$C$318*('01_Вводные'!$E$314:$E$318*(AE$3&lt;'01_Вводные'!$B$245)+'01_Вводные'!$B$57*(AE$3&gt;='01_Вводные'!$B$245))+ABS('01_Вводные'!$D$314:$D$318*'01_Вводные'!$B$314:$B$318*IF('01_Вводные'!$B$9=0,0,AE11/'01_Вводные'!$B$9)-AE20*'18_Календарь_тарифы'!AE8*'01_Вводные'!$C$314:$C$318*('01_Вводные'!$E$314:$E$318*(AE$3&lt;'01_Вводные'!$B$245)+'01_Вводные'!$B$57*(AE$3&gt;='01_Вводные'!$B$245))))/2)</f>
        <v/>
      </c>
      <c r="AF28" s="185">
        <f>SUMPRODUCT(('01_Вводные'!$D$314:$D$318*'01_Вводные'!$B$314:$B$318*IF('01_Вводные'!$B$9=0,0,AF11/'01_Вводные'!$B$9)+AF20*'18_Календарь_тарифы'!AF8*'01_Вводные'!$C$314:$C$318*('01_Вводные'!$E$314:$E$318*(AF$3&lt;'01_Вводные'!$B$245)+'01_Вводные'!$B$57*(AF$3&gt;='01_Вводные'!$B$245))+ABS('01_Вводные'!$D$314:$D$318*'01_Вводные'!$B$314:$B$318*IF('01_Вводные'!$B$9=0,0,AF11/'01_Вводные'!$B$9)-AF20*'18_Календарь_тарифы'!AF8*'01_Вводные'!$C$314:$C$318*('01_Вводные'!$E$314:$E$318*(AF$3&lt;'01_Вводные'!$B$245)+'01_Вводные'!$B$57*(AF$3&gt;='01_Вводные'!$B$245))))/2)</f>
        <v/>
      </c>
      <c r="AG28" s="185">
        <f>SUMPRODUCT(('01_Вводные'!$D$314:$D$318*'01_Вводные'!$B$314:$B$318*IF('01_Вводные'!$B$9=0,0,AG11/'01_Вводные'!$B$9)+AG20*'18_Календарь_тарифы'!AG8*'01_Вводные'!$C$314:$C$318*('01_Вводные'!$E$314:$E$318*(AG$3&lt;'01_Вводные'!$B$245)+'01_Вводные'!$B$57*(AG$3&gt;='01_Вводные'!$B$245))+ABS('01_Вводные'!$D$314:$D$318*'01_Вводные'!$B$314:$B$318*IF('01_Вводные'!$B$9=0,0,AG11/'01_Вводные'!$B$9)-AG20*'18_Календарь_тарифы'!AG8*'01_Вводные'!$C$314:$C$318*('01_Вводные'!$E$314:$E$318*(AG$3&lt;'01_Вводные'!$B$245)+'01_Вводные'!$B$57*(AG$3&gt;='01_Вводные'!$B$245))))/2)</f>
        <v/>
      </c>
      <c r="AH28" s="185">
        <f>SUMPRODUCT(('01_Вводные'!$D$314:$D$318*'01_Вводные'!$B$314:$B$318*IF('01_Вводные'!$B$9=0,0,AH11/'01_Вводные'!$B$9)+AH20*'18_Календарь_тарифы'!AH8*'01_Вводные'!$C$314:$C$318*('01_Вводные'!$E$314:$E$318*(AH$3&lt;'01_Вводные'!$B$245)+'01_Вводные'!$B$57*(AH$3&gt;='01_Вводные'!$B$245))+ABS('01_Вводные'!$D$314:$D$318*'01_Вводные'!$B$314:$B$318*IF('01_Вводные'!$B$9=0,0,AH11/'01_Вводные'!$B$9)-AH20*'18_Календарь_тарифы'!AH8*'01_Вводные'!$C$314:$C$318*('01_Вводные'!$E$314:$E$318*(AH$3&lt;'01_Вводные'!$B$245)+'01_Вводные'!$B$57*(AH$3&gt;='01_Вводные'!$B$245))))/2)</f>
        <v/>
      </c>
      <c r="AI28" s="185">
        <f>SUMPRODUCT(('01_Вводные'!$D$314:$D$318*'01_Вводные'!$B$314:$B$318*IF('01_Вводные'!$B$9=0,0,AI11/'01_Вводные'!$B$9)+AI20*'18_Календарь_тарифы'!AI8*'01_Вводные'!$C$314:$C$318*('01_Вводные'!$E$314:$E$318*(AI$3&lt;'01_Вводные'!$B$245)+'01_Вводные'!$B$57*(AI$3&gt;='01_Вводные'!$B$245))+ABS('01_Вводные'!$D$314:$D$318*'01_Вводные'!$B$314:$B$318*IF('01_Вводные'!$B$9=0,0,AI11/'01_Вводные'!$B$9)-AI20*'18_Календарь_тарифы'!AI8*'01_Вводные'!$C$314:$C$318*('01_Вводные'!$E$314:$E$318*(AI$3&lt;'01_Вводные'!$B$245)+'01_Вводные'!$B$57*(AI$3&gt;='01_Вводные'!$B$245))))/2)</f>
        <v/>
      </c>
      <c r="AJ28" s="185">
        <f>SUMPRODUCT(('01_Вводные'!$D$314:$D$318*'01_Вводные'!$B$314:$B$318*IF('01_Вводные'!$B$9=0,0,AJ11/'01_Вводные'!$B$9)+AJ20*'18_Календарь_тарифы'!AJ8*'01_Вводные'!$C$314:$C$318*('01_Вводные'!$E$314:$E$318*(AJ$3&lt;'01_Вводные'!$B$245)+'01_Вводные'!$B$57*(AJ$3&gt;='01_Вводные'!$B$245))+ABS('01_Вводные'!$D$314:$D$318*'01_Вводные'!$B$314:$B$318*IF('01_Вводные'!$B$9=0,0,AJ11/'01_Вводные'!$B$9)-AJ20*'18_Календарь_тарифы'!AJ8*'01_Вводные'!$C$314:$C$318*('01_Вводные'!$E$314:$E$318*(AJ$3&lt;'01_Вводные'!$B$245)+'01_Вводные'!$B$57*(AJ$3&gt;='01_Вводные'!$B$245))))/2)</f>
        <v/>
      </c>
      <c r="AK28" s="185">
        <f>SUMPRODUCT(('01_Вводные'!$D$314:$D$318*'01_Вводные'!$B$314:$B$318*IF('01_Вводные'!$B$9=0,0,AK11/'01_Вводные'!$B$9)+AK20*'18_Календарь_тарифы'!AK8*'01_Вводные'!$C$314:$C$318*('01_Вводные'!$E$314:$E$318*(AK$3&lt;'01_Вводные'!$B$245)+'01_Вводные'!$B$57*(AK$3&gt;='01_Вводные'!$B$245))+ABS('01_Вводные'!$D$314:$D$318*'01_Вводные'!$B$314:$B$318*IF('01_Вводные'!$B$9=0,0,AK11/'01_Вводные'!$B$9)-AK20*'18_Календарь_тарифы'!AK8*'01_Вводные'!$C$314:$C$318*('01_Вводные'!$E$314:$E$318*(AK$3&lt;'01_Вводные'!$B$245)+'01_Вводные'!$B$57*(AK$3&gt;='01_Вводные'!$B$245))))/2)</f>
        <v/>
      </c>
      <c r="AL28" s="185">
        <f>SUMPRODUCT(('01_Вводные'!$D$314:$D$318*'01_Вводные'!$B$314:$B$318*IF('01_Вводные'!$B$9=0,0,AL11/'01_Вводные'!$B$9)+AL20*'18_Календарь_тарифы'!AL8*'01_Вводные'!$C$314:$C$318*('01_Вводные'!$E$314:$E$318*(AL$3&lt;'01_Вводные'!$B$245)+'01_Вводные'!$B$57*(AL$3&gt;='01_Вводные'!$B$245))+ABS('01_Вводные'!$D$314:$D$318*'01_Вводные'!$B$314:$B$318*IF('01_Вводные'!$B$9=0,0,AL11/'01_Вводные'!$B$9)-AL20*'18_Календарь_тарифы'!AL8*'01_Вводные'!$C$314:$C$318*('01_Вводные'!$E$314:$E$318*(AL$3&lt;'01_Вводные'!$B$245)+'01_Вводные'!$B$57*(AL$3&gt;='01_Вводные'!$B$245))))/2)</f>
        <v/>
      </c>
      <c r="AM28" s="185">
        <f>SUMPRODUCT(('01_Вводные'!$D$314:$D$318*'01_Вводные'!$B$314:$B$318*IF('01_Вводные'!$B$9=0,0,AM11/'01_Вводные'!$B$9)+AM20*'18_Календарь_тарифы'!AM8*'01_Вводные'!$C$314:$C$318*('01_Вводные'!$E$314:$E$318*(AM$3&lt;'01_Вводные'!$B$245)+'01_Вводные'!$B$57*(AM$3&gt;='01_Вводные'!$B$245))+ABS('01_Вводные'!$D$314:$D$318*'01_Вводные'!$B$314:$B$318*IF('01_Вводные'!$B$9=0,0,AM11/'01_Вводные'!$B$9)-AM20*'18_Календарь_тарифы'!AM8*'01_Вводные'!$C$314:$C$318*('01_Вводные'!$E$314:$E$318*(AM$3&lt;'01_Вводные'!$B$245)+'01_Вводные'!$B$57*(AM$3&gt;='01_Вводные'!$B$245))))/2)</f>
        <v/>
      </c>
      <c r="AN28" s="185">
        <f>SUMPRODUCT(('01_Вводные'!$D$314:$D$318*'01_Вводные'!$B$314:$B$318*IF('01_Вводные'!$B$9=0,0,AN11/'01_Вводные'!$B$9)+AN20*'18_Календарь_тарифы'!AN8*'01_Вводные'!$C$314:$C$318*('01_Вводные'!$E$314:$E$318*(AN$3&lt;'01_Вводные'!$B$245)+'01_Вводные'!$B$57*(AN$3&gt;='01_Вводные'!$B$245))+ABS('01_Вводные'!$D$314:$D$318*'01_Вводные'!$B$314:$B$318*IF('01_Вводные'!$B$9=0,0,AN11/'01_Вводные'!$B$9)-AN20*'18_Календарь_тарифы'!AN8*'01_Вводные'!$C$314:$C$318*('01_Вводные'!$E$314:$E$318*(AN$3&lt;'01_Вводные'!$B$245)+'01_Вводные'!$B$57*(AN$3&gt;='01_Вводные'!$B$245))))/2)</f>
        <v/>
      </c>
      <c r="AO28" s="185">
        <f>SUMPRODUCT(('01_Вводные'!$D$314:$D$318*'01_Вводные'!$B$314:$B$318*IF('01_Вводные'!$B$9=0,0,AO11/'01_Вводные'!$B$9)+AO20*'18_Календарь_тарифы'!AO8*'01_Вводные'!$C$314:$C$318*('01_Вводные'!$E$314:$E$318*(AO$3&lt;'01_Вводные'!$B$245)+'01_Вводные'!$B$57*(AO$3&gt;='01_Вводные'!$B$245))+ABS('01_Вводные'!$D$314:$D$318*'01_Вводные'!$B$314:$B$318*IF('01_Вводные'!$B$9=0,0,AO11/'01_Вводные'!$B$9)-AO20*'18_Календарь_тарифы'!AO8*'01_Вводные'!$C$314:$C$318*('01_Вводные'!$E$314:$E$318*(AO$3&lt;'01_Вводные'!$B$245)+'01_Вводные'!$B$57*(AO$3&gt;='01_Вводные'!$B$245))))/2)</f>
        <v/>
      </c>
      <c r="AP28" s="185">
        <f>SUMPRODUCT(('01_Вводные'!$D$314:$D$318*'01_Вводные'!$B$314:$B$318*IF('01_Вводные'!$B$9=0,0,AP11/'01_Вводные'!$B$9)+AP20*'18_Календарь_тарифы'!AP8*'01_Вводные'!$C$314:$C$318*('01_Вводные'!$E$314:$E$318*(AP$3&lt;'01_Вводные'!$B$245)+'01_Вводные'!$B$57*(AP$3&gt;='01_Вводные'!$B$245))+ABS('01_Вводные'!$D$314:$D$318*'01_Вводные'!$B$314:$B$318*IF('01_Вводные'!$B$9=0,0,AP11/'01_Вводные'!$B$9)-AP20*'18_Календарь_тарифы'!AP8*'01_Вводные'!$C$314:$C$318*('01_Вводные'!$E$314:$E$318*(AP$3&lt;'01_Вводные'!$B$245)+'01_Вводные'!$B$57*(AP$3&gt;='01_Вводные'!$B$245))))/2)</f>
        <v/>
      </c>
      <c r="AQ28" s="185">
        <f>SUMPRODUCT(('01_Вводные'!$D$314:$D$318*'01_Вводные'!$B$314:$B$318*IF('01_Вводные'!$B$9=0,0,AQ11/'01_Вводные'!$B$9)+AQ20*'18_Календарь_тарифы'!AQ8*'01_Вводные'!$C$314:$C$318*('01_Вводные'!$E$314:$E$318*(AQ$3&lt;'01_Вводные'!$B$245)+'01_Вводные'!$B$57*(AQ$3&gt;='01_Вводные'!$B$245))+ABS('01_Вводные'!$D$314:$D$318*'01_Вводные'!$B$314:$B$318*IF('01_Вводные'!$B$9=0,0,AQ11/'01_Вводные'!$B$9)-AQ20*'18_Календарь_тарифы'!AQ8*'01_Вводные'!$C$314:$C$318*('01_Вводные'!$E$314:$E$318*(AQ$3&lt;'01_Вводные'!$B$245)+'01_Вводные'!$B$57*(AQ$3&gt;='01_Вводные'!$B$245))))/2)</f>
        <v/>
      </c>
      <c r="AR28" s="185">
        <f>SUMPRODUCT(('01_Вводные'!$D$314:$D$318*'01_Вводные'!$B$314:$B$318*IF('01_Вводные'!$B$9=0,0,AR11/'01_Вводные'!$B$9)+AR20*'18_Календарь_тарифы'!AR8*'01_Вводные'!$C$314:$C$318*('01_Вводные'!$E$314:$E$318*(AR$3&lt;'01_Вводные'!$B$245)+'01_Вводные'!$B$57*(AR$3&gt;='01_Вводные'!$B$245))+ABS('01_Вводные'!$D$314:$D$318*'01_Вводные'!$B$314:$B$318*IF('01_Вводные'!$B$9=0,0,AR11/'01_Вводные'!$B$9)-AR20*'18_Календарь_тарифы'!AR8*'01_Вводные'!$C$314:$C$318*('01_Вводные'!$E$314:$E$318*(AR$3&lt;'01_Вводные'!$B$245)+'01_Вводные'!$B$57*(AR$3&gt;='01_Вводные'!$B$245))))/2)</f>
        <v/>
      </c>
      <c r="AS28" s="185">
        <f>SUMPRODUCT(('01_Вводные'!$D$314:$D$318*'01_Вводные'!$B$314:$B$318*IF('01_Вводные'!$B$9=0,0,AS11/'01_Вводные'!$B$9)+AS20*'18_Календарь_тарифы'!AS8*'01_Вводные'!$C$314:$C$318*('01_Вводные'!$E$314:$E$318*(AS$3&lt;'01_Вводные'!$B$245)+'01_Вводные'!$B$57*(AS$3&gt;='01_Вводные'!$B$245))+ABS('01_Вводные'!$D$314:$D$318*'01_Вводные'!$B$314:$B$318*IF('01_Вводные'!$B$9=0,0,AS11/'01_Вводные'!$B$9)-AS20*'18_Календарь_тарифы'!AS8*'01_Вводные'!$C$314:$C$318*('01_Вводные'!$E$314:$E$318*(AS$3&lt;'01_Вводные'!$B$245)+'01_Вводные'!$B$57*(AS$3&gt;='01_Вводные'!$B$245))))/2)</f>
        <v/>
      </c>
      <c r="AT28" s="185">
        <f>SUMPRODUCT(('01_Вводные'!$D$314:$D$318*'01_Вводные'!$B$314:$B$318*IF('01_Вводные'!$B$9=0,0,AT11/'01_Вводные'!$B$9)+AT20*'18_Календарь_тарифы'!AT8*'01_Вводные'!$C$314:$C$318*('01_Вводные'!$E$314:$E$318*(AT$3&lt;'01_Вводные'!$B$245)+'01_Вводные'!$B$57*(AT$3&gt;='01_Вводные'!$B$245))+ABS('01_Вводные'!$D$314:$D$318*'01_Вводные'!$B$314:$B$318*IF('01_Вводные'!$B$9=0,0,AT11/'01_Вводные'!$B$9)-AT20*'18_Календарь_тарифы'!AT8*'01_Вводные'!$C$314:$C$318*('01_Вводные'!$E$314:$E$318*(AT$3&lt;'01_Вводные'!$B$245)+'01_Вводные'!$B$57*(AT$3&gt;='01_Вводные'!$B$245))))/2)</f>
        <v/>
      </c>
      <c r="AU28" s="185">
        <f>SUMPRODUCT(('01_Вводные'!$D$314:$D$318*'01_Вводные'!$B$314:$B$318*IF('01_Вводные'!$B$9=0,0,AU11/'01_Вводные'!$B$9)+AU20*'18_Календарь_тарифы'!AU8*'01_Вводные'!$C$314:$C$318*('01_Вводные'!$E$314:$E$318*(AU$3&lt;'01_Вводные'!$B$245)+'01_Вводные'!$B$57*(AU$3&gt;='01_Вводные'!$B$245))+ABS('01_Вводные'!$D$314:$D$318*'01_Вводные'!$B$314:$B$318*IF('01_Вводные'!$B$9=0,0,AU11/'01_Вводные'!$B$9)-AU20*'18_Календарь_тарифы'!AU8*'01_Вводные'!$C$314:$C$318*('01_Вводные'!$E$314:$E$318*(AU$3&lt;'01_Вводные'!$B$245)+'01_Вводные'!$B$57*(AU$3&gt;='01_Вводные'!$B$245))))/2)</f>
        <v/>
      </c>
      <c r="AV28" s="185">
        <f>SUMPRODUCT(('01_Вводные'!$D$314:$D$318*'01_Вводные'!$B$314:$B$318*IF('01_Вводные'!$B$9=0,0,AV11/'01_Вводные'!$B$9)+AV20*'18_Календарь_тарифы'!AV8*'01_Вводные'!$C$314:$C$318*('01_Вводные'!$E$314:$E$318*(AV$3&lt;'01_Вводные'!$B$245)+'01_Вводные'!$B$57*(AV$3&gt;='01_Вводные'!$B$245))+ABS('01_Вводные'!$D$314:$D$318*'01_Вводные'!$B$314:$B$318*IF('01_Вводные'!$B$9=0,0,AV11/'01_Вводные'!$B$9)-AV20*'18_Календарь_тарифы'!AV8*'01_Вводные'!$C$314:$C$318*('01_Вводные'!$E$314:$E$318*(AV$3&lt;'01_Вводные'!$B$245)+'01_Вводные'!$B$57*(AV$3&gt;='01_Вводные'!$B$245))))/2)</f>
        <v/>
      </c>
      <c r="AW28" s="185">
        <f>SUMPRODUCT(('01_Вводные'!$D$314:$D$318*'01_Вводные'!$B$314:$B$318*IF('01_Вводные'!$B$9=0,0,AW11/'01_Вводные'!$B$9)+AW20*'18_Календарь_тарифы'!AW8*'01_Вводные'!$C$314:$C$318*('01_Вводные'!$E$314:$E$318*(AW$3&lt;'01_Вводные'!$B$245)+'01_Вводные'!$B$57*(AW$3&gt;='01_Вводные'!$B$245))+ABS('01_Вводные'!$D$314:$D$318*'01_Вводные'!$B$314:$B$318*IF('01_Вводные'!$B$9=0,0,AW11/'01_Вводные'!$B$9)-AW20*'18_Календарь_тарифы'!AW8*'01_Вводные'!$C$314:$C$318*('01_Вводные'!$E$314:$E$318*(AW$3&lt;'01_Вводные'!$B$245)+'01_Вводные'!$B$57*(AW$3&gt;='01_Вводные'!$B$245))))/2)</f>
        <v/>
      </c>
      <c r="AX28" s="185">
        <f>SUMPRODUCT(('01_Вводные'!$D$314:$D$318*'01_Вводные'!$B$314:$B$318*IF('01_Вводные'!$B$9=0,0,AX11/'01_Вводные'!$B$9)+AX20*'18_Календарь_тарифы'!AX8*'01_Вводные'!$C$314:$C$318*('01_Вводные'!$E$314:$E$318*(AX$3&lt;'01_Вводные'!$B$245)+'01_Вводные'!$B$57*(AX$3&gt;='01_Вводные'!$B$245))+ABS('01_Вводные'!$D$314:$D$318*'01_Вводные'!$B$314:$B$318*IF('01_Вводные'!$B$9=0,0,AX11/'01_Вводные'!$B$9)-AX20*'18_Календарь_тарифы'!AX8*'01_Вводные'!$C$314:$C$318*('01_Вводные'!$E$314:$E$318*(AX$3&lt;'01_Вводные'!$B$245)+'01_Вводные'!$B$57*(AX$3&gt;='01_Вводные'!$B$245))))/2)</f>
        <v/>
      </c>
      <c r="AY28" s="185">
        <f>SUMPRODUCT(('01_Вводные'!$D$314:$D$318*'01_Вводные'!$B$314:$B$318*IF('01_Вводные'!$B$9=0,0,AY11/'01_Вводные'!$B$9)+AY20*'18_Календарь_тарифы'!AY8*'01_Вводные'!$C$314:$C$318*('01_Вводные'!$E$314:$E$318*(AY$3&lt;'01_Вводные'!$B$245)+'01_Вводные'!$B$57*(AY$3&gt;='01_Вводные'!$B$245))+ABS('01_Вводные'!$D$314:$D$318*'01_Вводные'!$B$314:$B$318*IF('01_Вводные'!$B$9=0,0,AY11/'01_Вводные'!$B$9)-AY20*'18_Календарь_тарифы'!AY8*'01_Вводные'!$C$314:$C$318*('01_Вводные'!$E$314:$E$318*(AY$3&lt;'01_Вводные'!$B$245)+'01_Вводные'!$B$57*(AY$3&gt;='01_Вводные'!$B$245))))/2)</f>
        <v/>
      </c>
      <c r="AZ28" s="185">
        <f>SUMPRODUCT(('01_Вводные'!$D$314:$D$318*'01_Вводные'!$B$314:$B$318*IF('01_Вводные'!$B$9=0,0,AZ11/'01_Вводные'!$B$9)+AZ20*'18_Календарь_тарифы'!AZ8*'01_Вводные'!$C$314:$C$318*('01_Вводные'!$E$314:$E$318*(AZ$3&lt;'01_Вводные'!$B$245)+'01_Вводные'!$B$57*(AZ$3&gt;='01_Вводные'!$B$245))+ABS('01_Вводные'!$D$314:$D$318*'01_Вводные'!$B$314:$B$318*IF('01_Вводные'!$B$9=0,0,AZ11/'01_Вводные'!$B$9)-AZ20*'18_Календарь_тарифы'!AZ8*'01_Вводные'!$C$314:$C$318*('01_Вводные'!$E$314:$E$318*(AZ$3&lt;'01_Вводные'!$B$245)+'01_Вводные'!$B$57*(AZ$3&gt;='01_Вводные'!$B$245))))/2)</f>
        <v/>
      </c>
      <c r="BA28" s="185">
        <f>SUMPRODUCT(('01_Вводные'!$D$314:$D$318*'01_Вводные'!$B$314:$B$318*IF('01_Вводные'!$B$9=0,0,BA11/'01_Вводные'!$B$9)+BA20*'18_Календарь_тарифы'!BA8*'01_Вводные'!$C$314:$C$318*('01_Вводные'!$E$314:$E$318*(BA$3&lt;'01_Вводные'!$B$245)+'01_Вводные'!$B$57*(BA$3&gt;='01_Вводные'!$B$245))+ABS('01_Вводные'!$D$314:$D$318*'01_Вводные'!$B$314:$B$318*IF('01_Вводные'!$B$9=0,0,BA11/'01_Вводные'!$B$9)-BA20*'18_Календарь_тарифы'!BA8*'01_Вводные'!$C$314:$C$318*('01_Вводные'!$E$314:$E$318*(BA$3&lt;'01_Вводные'!$B$245)+'01_Вводные'!$B$57*(BA$3&gt;='01_Вводные'!$B$245))))/2)</f>
        <v/>
      </c>
      <c r="BB28" s="185">
        <f>SUMPRODUCT(('01_Вводные'!$D$314:$D$318*'01_Вводные'!$B$314:$B$318*IF('01_Вводные'!$B$9=0,0,BB11/'01_Вводные'!$B$9)+BB20*'18_Календарь_тарифы'!BB8*'01_Вводные'!$C$314:$C$318*('01_Вводные'!$E$314:$E$318*(BB$3&lt;'01_Вводные'!$B$245)+'01_Вводные'!$B$57*(BB$3&gt;='01_Вводные'!$B$245))+ABS('01_Вводные'!$D$314:$D$318*'01_Вводные'!$B$314:$B$318*IF('01_Вводные'!$B$9=0,0,BB11/'01_Вводные'!$B$9)-BB20*'18_Календарь_тарифы'!BB8*'01_Вводные'!$C$314:$C$318*('01_Вводные'!$E$314:$E$318*(BB$3&lt;'01_Вводные'!$B$245)+'01_Вводные'!$B$57*(BB$3&gt;='01_Вводные'!$B$245))))/2)</f>
        <v/>
      </c>
      <c r="BC28" s="185">
        <f>SUMPRODUCT(('01_Вводные'!$D$314:$D$318*'01_Вводные'!$B$314:$B$318*IF('01_Вводные'!$B$9=0,0,BC11/'01_Вводные'!$B$9)+BC20*'18_Календарь_тарифы'!BC8*'01_Вводные'!$C$314:$C$318*('01_Вводные'!$E$314:$E$318*(BC$3&lt;'01_Вводные'!$B$245)+'01_Вводные'!$B$57*(BC$3&gt;='01_Вводные'!$B$245))+ABS('01_Вводные'!$D$314:$D$318*'01_Вводные'!$B$314:$B$318*IF('01_Вводные'!$B$9=0,0,BC11/'01_Вводные'!$B$9)-BC20*'18_Календарь_тарифы'!BC8*'01_Вводные'!$C$314:$C$318*('01_Вводные'!$E$314:$E$318*(BC$3&lt;'01_Вводные'!$B$245)+'01_Вводные'!$B$57*(BC$3&gt;='01_Вводные'!$B$245))))/2)</f>
        <v/>
      </c>
      <c r="BD28" s="185">
        <f>SUMPRODUCT(('01_Вводные'!$D$314:$D$318*'01_Вводные'!$B$314:$B$318*IF('01_Вводные'!$B$9=0,0,BD11/'01_Вводные'!$B$9)+BD20*'18_Календарь_тарифы'!BD8*'01_Вводные'!$C$314:$C$318*('01_Вводные'!$E$314:$E$318*(BD$3&lt;'01_Вводные'!$B$245)+'01_Вводные'!$B$57*(BD$3&gt;='01_Вводные'!$B$245))+ABS('01_Вводные'!$D$314:$D$318*'01_Вводные'!$B$314:$B$318*IF('01_Вводные'!$B$9=0,0,BD11/'01_Вводные'!$B$9)-BD20*'18_Календарь_тарифы'!BD8*'01_Вводные'!$C$314:$C$318*('01_Вводные'!$E$314:$E$318*(BD$3&lt;'01_Вводные'!$B$245)+'01_Вводные'!$B$57*(BD$3&gt;='01_Вводные'!$B$245))))/2)</f>
        <v/>
      </c>
      <c r="BE28" s="185">
        <f>SUMPRODUCT(('01_Вводные'!$D$314:$D$318*'01_Вводные'!$B$314:$B$318*IF('01_Вводные'!$B$9=0,0,BE11/'01_Вводные'!$B$9)+BE20*'18_Календарь_тарифы'!BE8*'01_Вводные'!$C$314:$C$318*('01_Вводные'!$E$314:$E$318*(BE$3&lt;'01_Вводные'!$B$245)+'01_Вводные'!$B$57*(BE$3&gt;='01_Вводные'!$B$245))+ABS('01_Вводные'!$D$314:$D$318*'01_Вводные'!$B$314:$B$318*IF('01_Вводные'!$B$9=0,0,BE11/'01_Вводные'!$B$9)-BE20*'18_Календарь_тарифы'!BE8*'01_Вводные'!$C$314:$C$318*('01_Вводные'!$E$314:$E$318*(BE$3&lt;'01_Вводные'!$B$245)+'01_Вводные'!$B$57*(BE$3&gt;='01_Вводные'!$B$245))))/2)</f>
        <v/>
      </c>
      <c r="BF28" s="185">
        <f>SUMPRODUCT(('01_Вводные'!$D$314:$D$318*'01_Вводные'!$B$314:$B$318*IF('01_Вводные'!$B$9=0,0,BF11/'01_Вводные'!$B$9)+BF20*'18_Календарь_тарифы'!BF8*'01_Вводные'!$C$314:$C$318*('01_Вводные'!$E$314:$E$318*(BF$3&lt;'01_Вводные'!$B$245)+'01_Вводные'!$B$57*(BF$3&gt;='01_Вводные'!$B$245))+ABS('01_Вводные'!$D$314:$D$318*'01_Вводные'!$B$314:$B$318*IF('01_Вводные'!$B$9=0,0,BF11/'01_Вводные'!$B$9)-BF20*'18_Календарь_тарифы'!BF8*'01_Вводные'!$C$314:$C$318*('01_Вводные'!$E$314:$E$318*(BF$3&lt;'01_Вводные'!$B$245)+'01_Вводные'!$B$57*(BF$3&gt;='01_Вводные'!$B$245))))/2)</f>
        <v/>
      </c>
      <c r="BG28" s="185">
        <f>SUMPRODUCT(('01_Вводные'!$D$314:$D$318*'01_Вводные'!$B$314:$B$318*IF('01_Вводные'!$B$9=0,0,BG11/'01_Вводные'!$B$9)+BG20*'18_Календарь_тарифы'!BG8*'01_Вводные'!$C$314:$C$318*('01_Вводные'!$E$314:$E$318*(BG$3&lt;'01_Вводные'!$B$245)+'01_Вводные'!$B$57*(BG$3&gt;='01_Вводные'!$B$245))+ABS('01_Вводные'!$D$314:$D$318*'01_Вводные'!$B$314:$B$318*IF('01_Вводные'!$B$9=0,0,BG11/'01_Вводные'!$B$9)-BG20*'18_Календарь_тарифы'!BG8*'01_Вводные'!$C$314:$C$318*('01_Вводные'!$E$314:$E$318*(BG$3&lt;'01_Вводные'!$B$245)+'01_Вводные'!$B$57*(BG$3&gt;='01_Вводные'!$B$245))))/2)</f>
        <v/>
      </c>
      <c r="BH28" s="185">
        <f>SUMPRODUCT(('01_Вводные'!$D$314:$D$318*'01_Вводные'!$B$314:$B$318*IF('01_Вводные'!$B$9=0,0,BH11/'01_Вводные'!$B$9)+BH20*'18_Календарь_тарифы'!BH8*'01_Вводные'!$C$314:$C$318*('01_Вводные'!$E$314:$E$318*(BH$3&lt;'01_Вводные'!$B$245)+'01_Вводные'!$B$57*(BH$3&gt;='01_Вводные'!$B$245))+ABS('01_Вводные'!$D$314:$D$318*'01_Вводные'!$B$314:$B$318*IF('01_Вводные'!$B$9=0,0,BH11/'01_Вводные'!$B$9)-BH20*'18_Календарь_тарифы'!BH8*'01_Вводные'!$C$314:$C$318*('01_Вводные'!$E$314:$E$318*(BH$3&lt;'01_Вводные'!$B$245)+'01_Вводные'!$B$57*(BH$3&gt;='01_Вводные'!$B$245))))/2)</f>
        <v/>
      </c>
      <c r="BI28" s="185">
        <f>SUMPRODUCT(('01_Вводные'!$D$314:$D$318*'01_Вводные'!$B$314:$B$318*IF('01_Вводные'!$B$9=0,0,BI11/'01_Вводные'!$B$9)+BI20*'18_Календарь_тарифы'!BI8*'01_Вводные'!$C$314:$C$318*('01_Вводные'!$E$314:$E$318*(BI$3&lt;'01_Вводные'!$B$245)+'01_Вводные'!$B$57*(BI$3&gt;='01_Вводные'!$B$245))+ABS('01_Вводные'!$D$314:$D$318*'01_Вводные'!$B$314:$B$318*IF('01_Вводные'!$B$9=0,0,BI11/'01_Вводные'!$B$9)-BI20*'18_Календарь_тарифы'!BI8*'01_Вводные'!$C$314:$C$318*('01_Вводные'!$E$314:$E$318*(BI$3&lt;'01_Вводные'!$B$245)+'01_Вводные'!$B$57*(BI$3&gt;='01_Вводные'!$B$245))))/2)</f>
        <v/>
      </c>
      <c r="BJ28" s="185">
        <f>SUMPRODUCT(('01_Вводные'!$D$314:$D$318*'01_Вводные'!$B$314:$B$318*IF('01_Вводные'!$B$9=0,0,BJ11/'01_Вводные'!$B$9)+BJ20*'18_Календарь_тарифы'!BJ8*'01_Вводные'!$C$314:$C$318*('01_Вводные'!$E$314:$E$318*(BJ$3&lt;'01_Вводные'!$B$245)+'01_Вводные'!$B$57*(BJ$3&gt;='01_Вводные'!$B$245))+ABS('01_Вводные'!$D$314:$D$318*'01_Вводные'!$B$314:$B$318*IF('01_Вводные'!$B$9=0,0,BJ11/'01_Вводные'!$B$9)-BJ20*'18_Календарь_тарифы'!BJ8*'01_Вводные'!$C$314:$C$318*('01_Вводные'!$E$314:$E$318*(BJ$3&lt;'01_Вводные'!$B$245)+'01_Вводные'!$B$57*(BJ$3&gt;='01_Вводные'!$B$245))))/2)</f>
        <v/>
      </c>
      <c r="BK28" s="185">
        <f>SUMPRODUCT(('01_Вводные'!$D$314:$D$318*'01_Вводные'!$B$314:$B$318*IF('01_Вводные'!$B$9=0,0,BK11/'01_Вводные'!$B$9)+BK20*'18_Календарь_тарифы'!BK8*'01_Вводные'!$C$314:$C$318*('01_Вводные'!$E$314:$E$318*(BK$3&lt;'01_Вводные'!$B$245)+'01_Вводные'!$B$57*(BK$3&gt;='01_Вводные'!$B$245))+ABS('01_Вводные'!$D$314:$D$318*'01_Вводные'!$B$314:$B$318*IF('01_Вводные'!$B$9=0,0,BK11/'01_Вводные'!$B$9)-BK20*'18_Календарь_тарифы'!BK8*'01_Вводные'!$C$314:$C$318*('01_Вводные'!$E$314:$E$318*(BK$3&lt;'01_Вводные'!$B$245)+'01_Вводные'!$B$57*(BK$3&gt;='01_Вводные'!$B$245))))/2)</f>
        <v/>
      </c>
      <c r="BL28" s="185">
        <f>SUMPRODUCT(('01_Вводные'!$D$314:$D$318*'01_Вводные'!$B$314:$B$318*IF('01_Вводные'!$B$9=0,0,BL11/'01_Вводные'!$B$9)+BL20*'18_Календарь_тарифы'!BL8*'01_Вводные'!$C$314:$C$318*('01_Вводные'!$E$314:$E$318*(BL$3&lt;'01_Вводные'!$B$245)+'01_Вводные'!$B$57*(BL$3&gt;='01_Вводные'!$B$245))+ABS('01_Вводные'!$D$314:$D$318*'01_Вводные'!$B$314:$B$318*IF('01_Вводные'!$B$9=0,0,BL11/'01_Вводные'!$B$9)-BL20*'18_Календарь_тарифы'!BL8*'01_Вводные'!$C$314:$C$318*('01_Вводные'!$E$314:$E$318*(BL$3&lt;'01_Вводные'!$B$245)+'01_Вводные'!$B$57*(BL$3&gt;='01_Вводные'!$B$245))))/2)</f>
        <v/>
      </c>
      <c r="BM28" s="185">
        <f>SUMPRODUCT(('01_Вводные'!$D$314:$D$318*'01_Вводные'!$B$314:$B$318*IF('01_Вводные'!$B$9=0,0,BM11/'01_Вводные'!$B$9)+BM20*'18_Календарь_тарифы'!BM8*'01_Вводные'!$C$314:$C$318*('01_Вводные'!$E$314:$E$318*(BM$3&lt;'01_Вводные'!$B$245)+'01_Вводные'!$B$57*(BM$3&gt;='01_Вводные'!$B$245))+ABS('01_Вводные'!$D$314:$D$318*'01_Вводные'!$B$314:$B$318*IF('01_Вводные'!$B$9=0,0,BM11/'01_Вводные'!$B$9)-BM20*'18_Календарь_тарифы'!BM8*'01_Вводные'!$C$314:$C$318*('01_Вводные'!$E$314:$E$318*(BM$3&lt;'01_Вводные'!$B$245)+'01_Вводные'!$B$57*(BM$3&gt;='01_Вводные'!$B$245))))/2)</f>
        <v/>
      </c>
      <c r="BN28" s="185">
        <f>SUMPRODUCT(('01_Вводные'!$D$314:$D$318*'01_Вводные'!$B$314:$B$318*IF('01_Вводные'!$B$9=0,0,BN11/'01_Вводные'!$B$9)+BN20*'18_Календарь_тарифы'!BN8*'01_Вводные'!$C$314:$C$318*('01_Вводные'!$E$314:$E$318*(BN$3&lt;'01_Вводные'!$B$245)+'01_Вводные'!$B$57*(BN$3&gt;='01_Вводные'!$B$245))+ABS('01_Вводные'!$D$314:$D$318*'01_Вводные'!$B$314:$B$318*IF('01_Вводные'!$B$9=0,0,BN11/'01_Вводные'!$B$9)-BN20*'18_Календарь_тарифы'!BN8*'01_Вводные'!$C$314:$C$318*('01_Вводные'!$E$314:$E$318*(BN$3&lt;'01_Вводные'!$B$245)+'01_Вводные'!$B$57*(BN$3&gt;='01_Вводные'!$B$245))))/2)</f>
        <v/>
      </c>
      <c r="BO28" s="185">
        <f>SUMPRODUCT(('01_Вводные'!$D$314:$D$318*'01_Вводные'!$B$314:$B$318*IF('01_Вводные'!$B$9=0,0,BO11/'01_Вводные'!$B$9)+BO20*'18_Календарь_тарифы'!BO8*'01_Вводные'!$C$314:$C$318*('01_Вводные'!$E$314:$E$318*(BO$3&lt;'01_Вводные'!$B$245)+'01_Вводные'!$B$57*(BO$3&gt;='01_Вводные'!$B$245))+ABS('01_Вводные'!$D$314:$D$318*'01_Вводные'!$B$314:$B$318*IF('01_Вводные'!$B$9=0,0,BO11/'01_Вводные'!$B$9)-BO20*'18_Календарь_тарифы'!BO8*'01_Вводные'!$C$314:$C$318*('01_Вводные'!$E$314:$E$318*(BO$3&lt;'01_Вводные'!$B$245)+'01_Вводные'!$B$57*(BO$3&gt;='01_Вводные'!$B$245))))/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 (4% за вычетом взносов)</t>
        </is>
      </c>
      <c r="B17" s="40">
        <f>IF('04_Продажи'!B15&gt;=2,'04_Продажи'!B26*'01_Вводные'!$B$125/(1+'01_Вводные'!$B$131),0)</f>
        <v/>
      </c>
      <c r="C17" s="40">
        <f>IF('04_Продажи'!C15&gt;=2,'04_Продажи'!C26*'01_Вводные'!$B$125/(1+'01_Вводные'!$B$131),0)</f>
        <v/>
      </c>
      <c r="D17" s="40">
        <f>IF('04_Продажи'!D15&gt;=2,'04_Продажи'!D26*'01_Вводные'!$B$125/(1+'01_Вводные'!$B$131),0)</f>
        <v/>
      </c>
      <c r="E17" s="40">
        <f>IF('04_Продажи'!E15&gt;=2,'04_Продажи'!E26*'01_Вводные'!$B$125/(1+'01_Вводные'!$B$131),0)</f>
        <v/>
      </c>
      <c r="F17" s="40">
        <f>IF('04_Продажи'!F15&gt;=2,'04_Продажи'!F26*'01_Вводные'!$B$125/(1+'01_Вводные'!$B$131),0)</f>
        <v/>
      </c>
      <c r="G17" s="40">
        <f>IF('04_Продажи'!G15&gt;=2,'04_Продажи'!G26*'01_Вводные'!$B$125/(1+'01_Вводные'!$B$131),0)</f>
        <v/>
      </c>
      <c r="H17" s="40">
        <f>IF('04_Продажи'!H15&gt;=2,'04_Продажи'!H26*'01_Вводные'!$B$125/(1+'01_Вводные'!$B$131),0)</f>
        <v/>
      </c>
      <c r="I17" s="40">
        <f>IF('04_Продажи'!I15&gt;=2,'04_Продажи'!I26*'01_Вводные'!$B$125/(1+'01_Вводные'!$B$131),0)</f>
        <v/>
      </c>
      <c r="J17" s="40">
        <f>IF('04_Продажи'!J15&gt;=2,'04_Продажи'!J26*'01_Вводные'!$B$125/(1+'01_Вводные'!$B$131),0)</f>
        <v/>
      </c>
      <c r="K17" s="40">
        <f>IF('04_Продажи'!K15&gt;=2,'04_Продажи'!K26*'01_Вводные'!$B$125/(1+'01_Вводные'!$B$131),0)</f>
        <v/>
      </c>
      <c r="L17" s="40">
        <f>IF('04_Продажи'!L15&gt;=2,'04_Продажи'!L26*'01_Вводные'!$B$125/(1+'01_Вводные'!$B$131),0)</f>
        <v/>
      </c>
      <c r="M17" s="40">
        <f>IF('04_Продажи'!M15&gt;=2,'04_Продажи'!M26*'01_Вводные'!$B$125/(1+'01_Вводные'!$B$131),0)</f>
        <v/>
      </c>
      <c r="N17" s="40">
        <f>IF('04_Продажи'!N15&gt;=2,'04_Продажи'!N26*'01_Вводные'!$B$125/(1+'01_Вводные'!$B$131),0)</f>
        <v/>
      </c>
      <c r="O17" s="40">
        <f>IF('04_Продажи'!O15&gt;=2,'04_Продажи'!O26*'01_Вводные'!$B$125/(1+'01_Вводные'!$B$131),0)</f>
        <v/>
      </c>
      <c r="P17" s="40">
        <f>IF('04_Продажи'!P15&gt;=2,'04_Продажи'!P26*'01_Вводные'!$B$125/(1+'01_Вводные'!$B$131),0)</f>
        <v/>
      </c>
      <c r="Q17" s="40">
        <f>IF('04_Продажи'!Q15&gt;=2,'04_Продажи'!Q26*'01_Вводные'!$B$125/(1+'01_Вводные'!$B$131),0)</f>
        <v/>
      </c>
      <c r="R17" s="40">
        <f>IF('04_Продажи'!R15&gt;=2,'04_Продажи'!R26*'01_Вводные'!$B$125/(1+'01_Вводные'!$B$131),0)</f>
        <v/>
      </c>
      <c r="S17" s="40">
        <f>IF('04_Продажи'!S15&gt;=2,'04_Продажи'!S26*'01_Вводные'!$B$125/(1+'01_Вводные'!$B$131),0)</f>
        <v/>
      </c>
      <c r="T17" s="40">
        <f>IF('04_Продажи'!T15&gt;=2,'04_Продажи'!T26*'01_Вводные'!$B$125/(1+'01_Вводные'!$B$131),0)</f>
        <v/>
      </c>
      <c r="U17" s="40">
        <f>IF('04_Продажи'!U15&gt;=2,'04_Продажи'!U26*'01_Вводные'!$B$125/(1+'01_Вводные'!$B$131),0)</f>
        <v/>
      </c>
      <c r="V17" s="40">
        <f>IF('04_Продажи'!V15&gt;=2,'04_Продажи'!V26*'01_Вводные'!$B$125/(1+'01_Вводные'!$B$131),0)</f>
        <v/>
      </c>
      <c r="W17" s="40">
        <f>IF('04_Продажи'!W15&gt;=2,'04_Продажи'!W26*'01_Вводные'!$B$125/(1+'01_Вводные'!$B$131),0)</f>
        <v/>
      </c>
      <c r="X17" s="40">
        <f>IF('04_Продажи'!X15&gt;=2,'04_Продажи'!X26*'01_Вводные'!$B$125/(1+'01_Вводные'!$B$131),0)</f>
        <v/>
      </c>
      <c r="Y17" s="40">
        <f>IF('04_Продажи'!Y15&gt;=2,'04_Продажи'!Y26*'01_Вводные'!$B$125/(1+'01_Вводные'!$B$131),0)</f>
        <v/>
      </c>
      <c r="Z17" s="40">
        <f>IF('04_Продажи'!Z15&gt;=2,'04_Продажи'!Z26*'01_Вводные'!$B$125/(1+'01_Вводные'!$B$131),0)</f>
        <v/>
      </c>
      <c r="AA17" s="40">
        <f>IF('04_Продажи'!AA15&gt;=2,'04_Продажи'!AA26*'01_Вводные'!$B$125/(1+'01_Вводные'!$B$131),0)</f>
        <v/>
      </c>
      <c r="AB17" s="40">
        <f>IF('04_Продажи'!AB15&gt;=2,'04_Продажи'!AB26*'01_Вводные'!$B$125/(1+'01_Вводные'!$B$131),0)</f>
        <v/>
      </c>
      <c r="AC17" s="40">
        <f>IF('04_Продажи'!AC15&gt;=2,'04_Продажи'!AC26*'01_Вводные'!$B$125/(1+'01_Вводные'!$B$131),0)</f>
        <v/>
      </c>
      <c r="AD17" s="40">
        <f>IF('04_Продажи'!AD15&gt;=2,'04_Продажи'!AD26*'01_Вводные'!$B$125/(1+'01_Вводные'!$B$131),0)</f>
        <v/>
      </c>
      <c r="AE17" s="40">
        <f>IF('04_Продажи'!AE15&gt;=2,'04_Продажи'!AE26*'01_Вводные'!$B$125/(1+'01_Вводные'!$B$131),0)</f>
        <v/>
      </c>
      <c r="AF17" s="40">
        <f>IF('04_Продажи'!AF15&gt;=2,'04_Продажи'!AF26*'01_Вводные'!$B$125/(1+'01_Вводные'!$B$131),0)</f>
        <v/>
      </c>
      <c r="AG17" s="40">
        <f>IF('04_Продажи'!AG15&gt;=2,'04_Продажи'!AG26*'01_Вводные'!$B$125/(1+'01_Вводные'!$B$131),0)</f>
        <v/>
      </c>
      <c r="AH17" s="40">
        <f>IF('04_Продажи'!AH15&gt;=2,'04_Продажи'!AH26*'01_Вводные'!$B$125/(1+'01_Вводные'!$B$131),0)</f>
        <v/>
      </c>
      <c r="AI17" s="40">
        <f>IF('04_Продажи'!AI15&gt;=2,'04_Продажи'!AI26*'01_Вводные'!$B$125/(1+'01_Вводные'!$B$131),0)</f>
        <v/>
      </c>
      <c r="AJ17" s="40">
        <f>IF('04_Продажи'!AJ15&gt;=2,'04_Продажи'!AJ26*'01_Вводные'!$B$125/(1+'01_Вводные'!$B$131),0)</f>
        <v/>
      </c>
      <c r="AK17" s="40">
        <f>IF('04_Продажи'!AK15&gt;=2,'04_Продажи'!AK26*'01_Вводные'!$B$125/(1+'01_Вводные'!$B$131),0)</f>
        <v/>
      </c>
      <c r="AL17" s="40">
        <f>IF('04_Продажи'!AL15&gt;=2,'04_Продажи'!AL26*'01_Вводные'!$B$125/(1+'01_Вводные'!$B$131),0)</f>
        <v/>
      </c>
      <c r="AM17" s="40">
        <f>IF('04_Продажи'!AM15&gt;=2,'04_Продажи'!AM26*'01_Вводные'!$B$125/(1+'01_Вводные'!$B$131),0)</f>
        <v/>
      </c>
      <c r="AN17" s="40">
        <f>IF('04_Продажи'!AN15&gt;=2,'04_Продажи'!AN26*'01_Вводные'!$B$125/(1+'01_Вводные'!$B$131),0)</f>
        <v/>
      </c>
      <c r="AO17" s="40">
        <f>IF('04_Продажи'!AO15&gt;=2,'04_Продажи'!AO26*'01_Вводные'!$B$125/(1+'01_Вводные'!$B$131),0)</f>
        <v/>
      </c>
      <c r="AP17" s="40">
        <f>IF('04_Продажи'!AP15&gt;=2,'04_Продажи'!AP26*'01_Вводные'!$B$125/(1+'01_Вводные'!$B$131),0)</f>
        <v/>
      </c>
      <c r="AQ17" s="40">
        <f>IF('04_Продажи'!AQ15&gt;=2,'04_Продажи'!AQ26*'01_Вводные'!$B$125/(1+'01_Вводные'!$B$131),0)</f>
        <v/>
      </c>
      <c r="AR17" s="40">
        <f>IF('04_Продажи'!AR15&gt;=2,'04_Продажи'!AR26*'01_Вводные'!$B$125/(1+'01_Вводные'!$B$131),0)</f>
        <v/>
      </c>
      <c r="AS17" s="40">
        <f>IF('04_Продажи'!AS15&gt;=2,'04_Продажи'!AS26*'01_Вводные'!$B$125/(1+'01_Вводные'!$B$131),0)</f>
        <v/>
      </c>
      <c r="AT17" s="40">
        <f>IF('04_Продажи'!AT15&gt;=2,'04_Продажи'!AT26*'01_Вводные'!$B$125/(1+'01_Вводные'!$B$131),0)</f>
        <v/>
      </c>
      <c r="AU17" s="40">
        <f>IF('04_Продажи'!AU15&gt;=2,'04_Продажи'!AU26*'01_Вводные'!$B$125/(1+'01_Вводные'!$B$131),0)</f>
        <v/>
      </c>
      <c r="AV17" s="40">
        <f>IF('04_Продажи'!AV15&gt;=2,'04_Продажи'!AV26*'01_Вводные'!$B$125/(1+'01_Вводные'!$B$131),0)</f>
        <v/>
      </c>
      <c r="AW17" s="40">
        <f>IF('04_Продажи'!AW15&gt;=2,'04_Продажи'!AW26*'01_Вводные'!$B$125/(1+'01_Вводные'!$B$131),0)</f>
        <v/>
      </c>
      <c r="AX17" s="40">
        <f>IF('04_Продажи'!AX15&gt;=2,'04_Продажи'!AX26*'01_Вводные'!$B$125/(1+'01_Вводные'!$B$131),0)</f>
        <v/>
      </c>
      <c r="AY17" s="40">
        <f>IF('04_Продажи'!AY15&gt;=2,'04_Продажи'!AY26*'01_Вводные'!$B$125/(1+'01_Вводные'!$B$131),0)</f>
        <v/>
      </c>
      <c r="AZ17" s="40">
        <f>IF('04_Продажи'!AZ15&gt;=2,'04_Продажи'!AZ26*'01_Вводные'!$B$125/(1+'01_Вводные'!$B$131),0)</f>
        <v/>
      </c>
      <c r="BA17" s="40">
        <f>IF('04_Продажи'!BA15&gt;=2,'04_Продажи'!BA26*'01_Вводные'!$B$125/(1+'01_Вводные'!$B$131),0)</f>
        <v/>
      </c>
      <c r="BB17" s="40">
        <f>IF('04_Продажи'!BB15&gt;=2,'04_Продажи'!BB26*'01_Вводные'!$B$125/(1+'01_Вводные'!$B$131),0)</f>
        <v/>
      </c>
      <c r="BC17" s="40">
        <f>IF('04_Продажи'!BC15&gt;=2,'04_Продажи'!BC26*'01_Вводные'!$B$125/(1+'01_Вводные'!$B$131),0)</f>
        <v/>
      </c>
      <c r="BD17" s="40">
        <f>IF('04_Продажи'!BD15&gt;=2,'04_Продажи'!BD26*'01_Вводные'!$B$125/(1+'01_Вводные'!$B$131),0)</f>
        <v/>
      </c>
      <c r="BE17" s="40">
        <f>IF('04_Продажи'!BE15&gt;=2,'04_Продажи'!BE26*'01_Вводные'!$B$125/(1+'01_Вводные'!$B$131),0)</f>
        <v/>
      </c>
      <c r="BF17" s="40">
        <f>IF('04_Продажи'!BF15&gt;=2,'04_Продажи'!BF26*'01_Вводные'!$B$125/(1+'01_Вводные'!$B$131),0)</f>
        <v/>
      </c>
      <c r="BG17" s="40">
        <f>IF('04_Продажи'!BG15&gt;=2,'04_Продажи'!BG26*'01_Вводные'!$B$125/(1+'01_Вводные'!$B$131),0)</f>
        <v/>
      </c>
      <c r="BH17" s="40">
        <f>IF('04_Продажи'!BH15&gt;=2,'04_Продажи'!BH26*'01_Вводные'!$B$125/(1+'01_Вводные'!$B$131),0)</f>
        <v/>
      </c>
      <c r="BI17" s="40">
        <f>IF('04_Продажи'!BI15&gt;=2,'04_Продажи'!BI26*'01_Вводные'!$B$125/(1+'01_Вводные'!$B$131),0)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22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23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23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23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23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23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4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4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5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4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4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4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4">
        <f>IF(ABS(B74)&lt;0.01,"OK","ПРОВЕРИТЬ")</f>
        <v/>
      </c>
      <c r="D74" s="245" t="inlineStr">
        <is>
          <t>Ни поступлений, ни оплат.</t>
        </is>
      </c>
    </row>
    <row r="76">
      <c r="A76" s="326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7" t="inlineStr">
        <is>
          <t>Начни отсюда</t>
        </is>
      </c>
      <c r="B2" s="328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7" t="inlineStr">
        <is>
          <t>Почему цифры такие</t>
        </is>
      </c>
      <c r="B3" s="328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8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8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IF(OR(1&lt;='01_Вводные'!$B$15,1-'01_Вводные'!$B$15&gt;60),0,INDEX('19_Расчет_аналитики'!$B$338:$BI$338,1,1-'01_Вводные'!$B$15))*'01_Вводные'!$B$298*'01_Вводные'!$B$22</f>
        <v/>
      </c>
      <c r="C363">
        <f>IF(OR(2&lt;='01_Вводные'!$B$15,2-'01_Вводные'!$B$15&gt;60),0,INDEX('19_Расчет_аналитики'!$B$338:$BI$338,1,2-'01_Вводные'!$B$15))*'01_Вводные'!$B$298*'01_Вводные'!$B$22</f>
        <v/>
      </c>
      <c r="D363">
        <f>IF(OR(3&lt;='01_Вводные'!$B$15,3-'01_Вводные'!$B$15&gt;60),0,INDEX('19_Расчет_аналитики'!$B$338:$BI$338,1,3-'01_Вводные'!$B$15))*'01_Вводные'!$B$298*'01_Вводные'!$B$22</f>
        <v/>
      </c>
      <c r="E363">
        <f>IF(OR(4&lt;='01_Вводные'!$B$15,4-'01_Вводные'!$B$15&gt;60),0,INDEX('19_Расчет_аналитики'!$B$338:$BI$338,1,4-'01_Вводные'!$B$15))*'01_Вводные'!$B$298*'01_Вводные'!$B$22</f>
        <v/>
      </c>
      <c r="F363">
        <f>IF(OR(5&lt;='01_Вводные'!$B$15,5-'01_Вводные'!$B$15&gt;60),0,INDEX('19_Расчет_аналитики'!$B$338:$BI$338,1,5-'01_Вводные'!$B$15))*'01_Вводные'!$B$298*'01_Вводные'!$B$22</f>
        <v/>
      </c>
      <c r="G363">
        <f>IF(OR(6&lt;='01_Вводные'!$B$15,6-'01_Вводные'!$B$15&gt;60),0,INDEX('19_Расчет_аналитики'!$B$338:$BI$338,1,6-'01_Вводные'!$B$15))*'01_Вводные'!$B$298*'01_Вводные'!$B$22</f>
        <v/>
      </c>
      <c r="H363">
        <f>IF(OR(7&lt;='01_Вводные'!$B$15,7-'01_Вводные'!$B$15&gt;60),0,INDEX('19_Расчет_аналитики'!$B$338:$BI$338,1,7-'01_Вводные'!$B$15))*'01_Вводные'!$B$298*'01_Вводные'!$B$22</f>
        <v/>
      </c>
      <c r="I363">
        <f>IF(OR(8&lt;='01_Вводные'!$B$15,8-'01_Вводные'!$B$15&gt;60),0,INDEX('19_Расчет_аналитики'!$B$338:$BI$338,1,8-'01_Вводные'!$B$15))*'01_Вводные'!$B$298*'01_Вводные'!$B$22</f>
        <v/>
      </c>
      <c r="J363">
        <f>IF(OR(9&lt;='01_Вводные'!$B$15,9-'01_Вводные'!$B$15&gt;60),0,INDEX('19_Расчет_аналитики'!$B$338:$BI$338,1,9-'01_Вводные'!$B$15))*'01_Вводные'!$B$298*'01_Вводные'!$B$22</f>
        <v/>
      </c>
      <c r="K363">
        <f>IF(OR(10&lt;='01_Вводные'!$B$15,10-'01_Вводные'!$B$15&gt;60),0,INDEX('19_Расчет_аналитики'!$B$338:$BI$338,1,10-'01_Вводные'!$B$15))*'01_Вводные'!$B$298*'01_Вводные'!$B$22</f>
        <v/>
      </c>
      <c r="L363">
        <f>IF(OR(11&lt;='01_Вводные'!$B$15,11-'01_Вводные'!$B$15&gt;60),0,INDEX('19_Расчет_аналитики'!$B$338:$BI$338,1,11-'01_Вводные'!$B$15))*'01_Вводные'!$B$298*'01_Вводные'!$B$22</f>
        <v/>
      </c>
      <c r="M363">
        <f>IF(OR(12&lt;='01_Вводные'!$B$15,12-'01_Вводные'!$B$15&gt;60),0,INDEX('19_Расчет_аналитики'!$B$338:$BI$338,1,12-'01_Вводные'!$B$15))*'01_Вводные'!$B$298*'01_Вводные'!$B$22</f>
        <v/>
      </c>
      <c r="N363">
        <f>IF(OR(13&lt;='01_Вводные'!$B$15,13-'01_Вводные'!$B$15&gt;60),0,INDEX('19_Расчет_аналитики'!$B$338:$BI$338,1,13-'01_Вводные'!$B$15))*'01_Вводные'!$B$298*'01_Вводные'!$B$22</f>
        <v/>
      </c>
      <c r="O363">
        <f>IF(OR(14&lt;='01_Вводные'!$B$15,14-'01_Вводные'!$B$15&gt;60),0,INDEX('19_Расчет_аналитики'!$B$338:$BI$338,1,14-'01_Вводные'!$B$15))*'01_Вводные'!$B$298*'01_Вводные'!$B$22</f>
        <v/>
      </c>
      <c r="P363">
        <f>IF(OR(15&lt;='01_Вводные'!$B$15,15-'01_Вводные'!$B$15&gt;60),0,INDEX('19_Расчет_аналитики'!$B$338:$BI$338,1,15-'01_Вводные'!$B$15))*'01_Вводные'!$B$298*'01_Вводные'!$B$22</f>
        <v/>
      </c>
      <c r="Q363">
        <f>IF(OR(16&lt;='01_Вводные'!$B$15,16-'01_Вводные'!$B$15&gt;60),0,INDEX('19_Расчет_аналитики'!$B$338:$BI$338,1,16-'01_Вводные'!$B$15))*'01_Вводные'!$B$298*'01_Вводные'!$B$22</f>
        <v/>
      </c>
      <c r="R363">
        <f>IF(OR(17&lt;='01_Вводные'!$B$15,17-'01_Вводные'!$B$15&gt;60),0,INDEX('19_Расчет_аналитики'!$B$338:$BI$338,1,17-'01_Вводные'!$B$15))*'01_Вводные'!$B$298*'01_Вводные'!$B$22</f>
        <v/>
      </c>
      <c r="S363">
        <f>IF(OR(18&lt;='01_Вводные'!$B$15,18-'01_Вводные'!$B$15&gt;60),0,INDEX('19_Расчет_аналитики'!$B$338:$BI$338,1,18-'01_Вводные'!$B$15))*'01_Вводные'!$B$298*'01_Вводные'!$B$22</f>
        <v/>
      </c>
      <c r="T363">
        <f>IF(OR(19&lt;='01_Вводные'!$B$15,19-'01_Вводные'!$B$15&gt;60),0,INDEX('19_Расчет_аналитики'!$B$338:$BI$338,1,19-'01_Вводные'!$B$15))*'01_Вводные'!$B$298*'01_Вводные'!$B$22</f>
        <v/>
      </c>
      <c r="U363">
        <f>IF(OR(20&lt;='01_Вводные'!$B$15,20-'01_Вводные'!$B$15&gt;60),0,INDEX('19_Расчет_аналитики'!$B$338:$BI$338,1,20-'01_Вводные'!$B$15))*'01_Вводные'!$B$298*'01_Вводные'!$B$22</f>
        <v/>
      </c>
      <c r="V363">
        <f>IF(OR(21&lt;='01_Вводные'!$B$15,21-'01_Вводные'!$B$15&gt;60),0,INDEX('19_Расчет_аналитики'!$B$338:$BI$338,1,21-'01_Вводные'!$B$15))*'01_Вводные'!$B$298*'01_Вводные'!$B$22</f>
        <v/>
      </c>
      <c r="W363">
        <f>IF(OR(22&lt;='01_Вводные'!$B$15,22-'01_Вводные'!$B$15&gt;60),0,INDEX('19_Расчет_аналитики'!$B$338:$BI$338,1,22-'01_Вводные'!$B$15))*'01_Вводные'!$B$298*'01_Вводные'!$B$22</f>
        <v/>
      </c>
      <c r="X363">
        <f>IF(OR(23&lt;='01_Вводные'!$B$15,23-'01_Вводные'!$B$15&gt;60),0,INDEX('19_Расчет_аналитики'!$B$338:$BI$338,1,23-'01_Вводные'!$B$15))*'01_Вводные'!$B$298*'01_Вводные'!$B$22</f>
        <v/>
      </c>
      <c r="Y363">
        <f>IF(OR(24&lt;='01_Вводные'!$B$15,24-'01_Вводные'!$B$15&gt;60),0,INDEX('19_Расчет_аналитики'!$B$338:$BI$338,1,24-'01_Вводные'!$B$15))*'01_Вводные'!$B$298*'01_Вводные'!$B$22</f>
        <v/>
      </c>
      <c r="Z363">
        <f>IF(OR(25&lt;='01_Вводные'!$B$15,25-'01_Вводные'!$B$15&gt;60),0,INDEX('19_Расчет_аналитики'!$B$338:$BI$338,1,25-'01_Вводные'!$B$15))*'01_Вводные'!$B$298*'01_Вводные'!$B$22</f>
        <v/>
      </c>
      <c r="AA363">
        <f>IF(OR(26&lt;='01_Вводные'!$B$15,26-'01_Вводные'!$B$15&gt;60),0,INDEX('19_Расчет_аналитики'!$B$338:$BI$338,1,26-'01_Вводные'!$B$15))*'01_Вводные'!$B$298*'01_Вводные'!$B$22</f>
        <v/>
      </c>
      <c r="AB363">
        <f>IF(OR(27&lt;='01_Вводные'!$B$15,27-'01_Вводные'!$B$15&gt;60),0,INDEX('19_Расчет_аналитики'!$B$338:$BI$338,1,27-'01_Вводные'!$B$15))*'01_Вводные'!$B$298*'01_Вводные'!$B$22</f>
        <v/>
      </c>
      <c r="AC363">
        <f>IF(OR(28&lt;='01_Вводные'!$B$15,28-'01_Вводные'!$B$15&gt;60),0,INDEX('19_Расчет_аналитики'!$B$338:$BI$338,1,28-'01_Вводные'!$B$15))*'01_Вводные'!$B$298*'01_Вводные'!$B$22</f>
        <v/>
      </c>
      <c r="AD363">
        <f>IF(OR(29&lt;='01_Вводные'!$B$15,29-'01_Вводные'!$B$15&gt;60),0,INDEX('19_Расчет_аналитики'!$B$338:$BI$338,1,29-'01_Вводные'!$B$15))*'01_Вводные'!$B$298*'01_Вводные'!$B$22</f>
        <v/>
      </c>
      <c r="AE363">
        <f>IF(OR(30&lt;='01_Вводные'!$B$15,30-'01_Вводные'!$B$15&gt;60),0,INDEX('19_Расчет_аналитики'!$B$338:$BI$338,1,30-'01_Вводные'!$B$15))*'01_Вводные'!$B$298*'01_Вводные'!$B$22</f>
        <v/>
      </c>
      <c r="AF363">
        <f>IF(OR(31&lt;='01_Вводные'!$B$15,31-'01_Вводные'!$B$15&gt;60),0,INDEX('19_Расчет_аналитики'!$B$338:$BI$338,1,31-'01_Вводные'!$B$15))*'01_Вводные'!$B$298*'01_Вводные'!$B$22</f>
        <v/>
      </c>
      <c r="AG363">
        <f>IF(OR(32&lt;='01_Вводные'!$B$15,32-'01_Вводные'!$B$15&gt;60),0,INDEX('19_Расчет_аналитики'!$B$338:$BI$338,1,32-'01_Вводные'!$B$15))*'01_Вводные'!$B$298*'01_Вводные'!$B$22</f>
        <v/>
      </c>
      <c r="AH363">
        <f>IF(OR(33&lt;='01_Вводные'!$B$15,33-'01_Вводные'!$B$15&gt;60),0,INDEX('19_Расчет_аналитики'!$B$338:$BI$338,1,33-'01_Вводные'!$B$15))*'01_Вводные'!$B$298*'01_Вводные'!$B$22</f>
        <v/>
      </c>
      <c r="AI363">
        <f>IF(OR(34&lt;='01_Вводные'!$B$15,34-'01_Вводные'!$B$15&gt;60),0,INDEX('19_Расчет_аналитики'!$B$338:$BI$338,1,34-'01_Вводные'!$B$15))*'01_Вводные'!$B$298*'01_Вводные'!$B$22</f>
        <v/>
      </c>
      <c r="AJ363">
        <f>IF(OR(35&lt;='01_Вводные'!$B$15,35-'01_Вводные'!$B$15&gt;60),0,INDEX('19_Расчет_аналитики'!$B$338:$BI$338,1,35-'01_Вводные'!$B$15))*'01_Вводные'!$B$298*'01_Вводные'!$B$22</f>
        <v/>
      </c>
      <c r="AK363">
        <f>IF(OR(36&lt;='01_Вводные'!$B$15,36-'01_Вводные'!$B$15&gt;60),0,INDEX('19_Расчет_аналитики'!$B$338:$BI$338,1,36-'01_Вводные'!$B$15))*'01_Вводные'!$B$298*'01_Вводные'!$B$22</f>
        <v/>
      </c>
      <c r="AL363">
        <f>IF(OR(37&lt;='01_Вводные'!$B$15,37-'01_Вводные'!$B$15&gt;60),0,INDEX('19_Расчет_аналитики'!$B$338:$BI$338,1,37-'01_Вводные'!$B$15))*'01_Вводные'!$B$298*'01_Вводные'!$B$22</f>
        <v/>
      </c>
      <c r="AM363">
        <f>IF(OR(38&lt;='01_Вводные'!$B$15,38-'01_Вводные'!$B$15&gt;60),0,INDEX('19_Расчет_аналитики'!$B$338:$BI$338,1,38-'01_Вводные'!$B$15))*'01_Вводные'!$B$298*'01_Вводные'!$B$22</f>
        <v/>
      </c>
      <c r="AN363">
        <f>IF(OR(39&lt;='01_Вводные'!$B$15,39-'01_Вводные'!$B$15&gt;60),0,INDEX('19_Расчет_аналитики'!$B$338:$BI$338,1,39-'01_Вводные'!$B$15))*'01_Вводные'!$B$298*'01_Вводные'!$B$22</f>
        <v/>
      </c>
      <c r="AO363">
        <f>IF(OR(40&lt;='01_Вводные'!$B$15,40-'01_Вводные'!$B$15&gt;60),0,INDEX('19_Расчет_аналитики'!$B$338:$BI$338,1,40-'01_Вводные'!$B$15))*'01_Вводные'!$B$298*'01_Вводные'!$B$22</f>
        <v/>
      </c>
      <c r="AP363">
        <f>IF(OR(41&lt;='01_Вводные'!$B$15,41-'01_Вводные'!$B$15&gt;60),0,INDEX('19_Расчет_аналитики'!$B$338:$BI$338,1,41-'01_Вводные'!$B$15))*'01_Вводные'!$B$298*'01_Вводные'!$B$22</f>
        <v/>
      </c>
      <c r="AQ363">
        <f>IF(OR(42&lt;='01_Вводные'!$B$15,42-'01_Вводные'!$B$15&gt;60),0,INDEX('19_Расчет_аналитики'!$B$338:$BI$338,1,42-'01_Вводные'!$B$15))*'01_Вводные'!$B$298*'01_Вводные'!$B$22</f>
        <v/>
      </c>
      <c r="AR363">
        <f>IF(OR(43&lt;='01_Вводные'!$B$15,43-'01_Вводные'!$B$15&gt;60),0,INDEX('19_Расчет_аналитики'!$B$338:$BI$338,1,43-'01_Вводные'!$B$15))*'01_Вводные'!$B$298*'01_Вводные'!$B$22</f>
        <v/>
      </c>
      <c r="AS363">
        <f>IF(OR(44&lt;='01_Вводные'!$B$15,44-'01_Вводные'!$B$15&gt;60),0,INDEX('19_Расчет_аналитики'!$B$338:$BI$338,1,44-'01_Вводные'!$B$15))*'01_Вводные'!$B$298*'01_Вводные'!$B$22</f>
        <v/>
      </c>
      <c r="AT363">
        <f>IF(OR(45&lt;='01_Вводные'!$B$15,45-'01_Вводные'!$B$15&gt;60),0,INDEX('19_Расчет_аналитики'!$B$338:$BI$338,1,45-'01_Вводные'!$B$15))*'01_Вводные'!$B$298*'01_Вводные'!$B$22</f>
        <v/>
      </c>
      <c r="AU363">
        <f>IF(OR(46&lt;='01_Вводные'!$B$15,46-'01_Вводные'!$B$15&gt;60),0,INDEX('19_Расчет_аналитики'!$B$338:$BI$338,1,46-'01_Вводные'!$B$15))*'01_Вводные'!$B$298*'01_Вводные'!$B$22</f>
        <v/>
      </c>
      <c r="AV363">
        <f>IF(OR(47&lt;='01_Вводные'!$B$15,47-'01_Вводные'!$B$15&gt;60),0,INDEX('19_Расчет_аналитики'!$B$338:$BI$338,1,47-'01_Вводные'!$B$15))*'01_Вводные'!$B$298*'01_Вводные'!$B$22</f>
        <v/>
      </c>
      <c r="AW363">
        <f>IF(OR(48&lt;='01_Вводные'!$B$15,48-'01_Вводные'!$B$15&gt;60),0,INDEX('19_Расчет_аналитики'!$B$338:$BI$338,1,48-'01_Вводные'!$B$15))*'01_Вводные'!$B$298*'01_Вводные'!$B$22</f>
        <v/>
      </c>
      <c r="AX363">
        <f>IF(OR(49&lt;='01_Вводные'!$B$15,49-'01_Вводные'!$B$15&gt;60),0,INDEX('19_Расчет_аналитики'!$B$338:$BI$338,1,49-'01_Вводные'!$B$15))*'01_Вводные'!$B$298*'01_Вводные'!$B$22</f>
        <v/>
      </c>
      <c r="AY363">
        <f>IF(OR(50&lt;='01_Вводные'!$B$15,50-'01_Вводные'!$B$15&gt;60),0,INDEX('19_Расчет_аналитики'!$B$338:$BI$338,1,50-'01_Вводные'!$B$15))*'01_Вводные'!$B$298*'01_Вводные'!$B$22</f>
        <v/>
      </c>
      <c r="AZ363">
        <f>IF(OR(51&lt;='01_Вводные'!$B$15,51-'01_Вводные'!$B$15&gt;60),0,INDEX('19_Расчет_аналитики'!$B$338:$BI$338,1,51-'01_Вводные'!$B$15))*'01_Вводные'!$B$298*'01_Вводные'!$B$22</f>
        <v/>
      </c>
      <c r="BA363">
        <f>IF(OR(52&lt;='01_Вводные'!$B$15,52-'01_Вводные'!$B$15&gt;60),0,INDEX('19_Расчет_аналитики'!$B$338:$BI$338,1,52-'01_Вводные'!$B$15))*'01_Вводные'!$B$298*'01_Вводные'!$B$22</f>
        <v/>
      </c>
      <c r="BB363">
        <f>IF(OR(53&lt;='01_Вводные'!$B$15,53-'01_Вводные'!$B$15&gt;60),0,INDEX('19_Расчет_аналитики'!$B$338:$BI$338,1,53-'01_Вводные'!$B$15))*'01_Вводные'!$B$298*'01_Вводные'!$B$22</f>
        <v/>
      </c>
      <c r="BC363">
        <f>IF(OR(54&lt;='01_Вводные'!$B$15,54-'01_Вводные'!$B$15&gt;60),0,INDEX('19_Расчет_аналитики'!$B$338:$BI$338,1,54-'01_Вводные'!$B$15))*'01_Вводные'!$B$298*'01_Вводные'!$B$22</f>
        <v/>
      </c>
      <c r="BD363">
        <f>IF(OR(55&lt;='01_Вводные'!$B$15,55-'01_Вводные'!$B$15&gt;60),0,INDEX('19_Расчет_аналитики'!$B$338:$BI$338,1,55-'01_Вводные'!$B$15))*'01_Вводные'!$B$298*'01_Вводные'!$B$22</f>
        <v/>
      </c>
      <c r="BE363">
        <f>IF(OR(56&lt;='01_Вводные'!$B$15,56-'01_Вводные'!$B$15&gt;60),0,INDEX('19_Расчет_аналитики'!$B$338:$BI$338,1,56-'01_Вводные'!$B$15))*'01_Вводные'!$B$298*'01_Вводные'!$B$22</f>
        <v/>
      </c>
      <c r="BF363">
        <f>IF(OR(57&lt;='01_Вводные'!$B$15,57-'01_Вводные'!$B$15&gt;60),0,INDEX('19_Расчет_аналитики'!$B$338:$BI$338,1,57-'01_Вводные'!$B$15))*'01_Вводные'!$B$298*'01_Вводные'!$B$22</f>
        <v/>
      </c>
      <c r="BG363">
        <f>IF(OR(58&lt;='01_Вводные'!$B$15,58-'01_Вводные'!$B$15&gt;60),0,INDEX('19_Расчет_аналитики'!$B$338:$BI$338,1,58-'01_Вводные'!$B$15))*'01_Вводные'!$B$298*'01_Вводные'!$B$22</f>
        <v/>
      </c>
      <c r="BH363">
        <f>IF(OR(59&lt;='01_Вводные'!$B$15,59-'01_Вводные'!$B$15&gt;60),0,INDEX('19_Расчет_аналитики'!$B$338:$BI$338,1,59-'01_Вводные'!$B$15))*'01_Вводные'!$B$298*'01_Вводные'!$B$22</f>
        <v/>
      </c>
      <c r="BI363">
        <f>IF(OR(60&lt;='01_Вводные'!$B$15,60-'01_Вводные'!$B$15&gt;60),0,INDEX('19_Расчет_аналитики'!$B$338:$BI$338,1,60-'01_Вводные'!$B$15))*'01_Вводные'!$B$298*'01_Вводные'!$B$22</f>
        <v/>
      </c>
      <c r="BJ363">
        <f>IF(OR(61&lt;='01_Вводные'!$B$15,61-'01_Вводные'!$B$15&gt;60),0,INDEX('19_Расчет_аналитики'!$B$338:$BI$338,1,61-'01_Вводные'!$B$15))*'01_Вводные'!$B$298*'01_Вводные'!$B$22</f>
        <v/>
      </c>
      <c r="BK363">
        <f>IF(OR(62&lt;='01_Вводные'!$B$15,62-'01_Вводные'!$B$15&gt;60),0,INDEX('19_Расчет_аналитики'!$B$338:$BI$338,1,62-'01_Вводные'!$B$15))*'01_Вводные'!$B$298*'01_Вводные'!$B$22</f>
        <v/>
      </c>
      <c r="BL363">
        <f>IF(OR(63&lt;='01_Вводные'!$B$15,63-'01_Вводные'!$B$15&gt;60),0,INDEX('19_Расчет_аналитики'!$B$338:$BI$338,1,63-'01_Вводные'!$B$15))*'01_Вводные'!$B$298*'01_Вводные'!$B$22</f>
        <v/>
      </c>
      <c r="BM363">
        <f>IF(OR(64&lt;='01_Вводные'!$B$15,64-'01_Вводные'!$B$15&gt;60),0,INDEX('19_Расчет_аналитики'!$B$338:$BI$338,1,64-'01_Вводные'!$B$15))*'01_Вводные'!$B$298*'01_Вводные'!$B$22</f>
        <v/>
      </c>
      <c r="BN363">
        <f>IF(OR(65&lt;='01_Вводные'!$B$15,65-'01_Вводные'!$B$15&gt;60),0,INDEX('19_Расчет_аналитики'!$B$338:$BI$338,1,65-'01_Вводные'!$B$15))*'01_Вводные'!$B$298*'01_Вводные'!$B$22</f>
        <v/>
      </c>
      <c r="BO363">
        <f>IF(OR(66&lt;='01_Вводные'!$B$15,66-'01_Вводные'!$B$15&gt;60),0,INDEX('19_Расчет_аналитики'!$B$338:$BI$338,1,66-'01_Вводные'!$B$15))*'01_Вводные'!$B$298*'01_Вводные'!$B$22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SUMPRODUCT(('01_Вводные'!$D$314:$D$318*'01_Вводные'!$B$314:$B$318*IF('01_Вводные'!$B$9=0,0,'06_Сеть_и_дети'!B11/'01_Вводные'!$B$9)+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))/2)</f>
        <v/>
      </c>
      <c r="C383">
        <f>SUMPRODUCT(('01_Вводные'!$D$314:$D$318*'01_Вводные'!$B$314:$B$318*IF('01_Вводные'!$B$9=0,0,'06_Сеть_и_дети'!C11/'01_Вводные'!$B$9)+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))/2)</f>
        <v/>
      </c>
      <c r="D383">
        <f>SUMPRODUCT(('01_Вводные'!$D$314:$D$318*'01_Вводные'!$B$314:$B$318*IF('01_Вводные'!$B$9=0,0,'06_Сеть_и_дети'!D11/'01_Вводные'!$B$9)+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))/2)</f>
        <v/>
      </c>
      <c r="E383">
        <f>SUMPRODUCT(('01_Вводные'!$D$314:$D$318*'01_Вводные'!$B$314:$B$318*IF('01_Вводные'!$B$9=0,0,'06_Сеть_и_дети'!E11/'01_Вводные'!$B$9)+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))/2)</f>
        <v/>
      </c>
      <c r="F383">
        <f>SUMPRODUCT(('01_Вводные'!$D$314:$D$318*'01_Вводные'!$B$314:$B$318*IF('01_Вводные'!$B$9=0,0,'06_Сеть_и_дети'!F11/'01_Вводные'!$B$9)+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))/2)</f>
        <v/>
      </c>
      <c r="G383">
        <f>SUMPRODUCT(('01_Вводные'!$D$314:$D$318*'01_Вводные'!$B$314:$B$318*IF('01_Вводные'!$B$9=0,0,'06_Сеть_и_дети'!G11/'01_Вводные'!$B$9)+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))/2)</f>
        <v/>
      </c>
      <c r="H383">
        <f>SUMPRODUCT(('01_Вводные'!$D$314:$D$318*'01_Вводные'!$B$314:$B$318*IF('01_Вводные'!$B$9=0,0,'06_Сеть_и_дети'!H11/'01_Вводные'!$B$9)+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))/2)</f>
        <v/>
      </c>
      <c r="I383">
        <f>SUMPRODUCT(('01_Вводные'!$D$314:$D$318*'01_Вводные'!$B$314:$B$318*IF('01_Вводные'!$B$9=0,0,'06_Сеть_и_дети'!I11/'01_Вводные'!$B$9)+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))/2)</f>
        <v/>
      </c>
      <c r="J383">
        <f>SUMPRODUCT(('01_Вводные'!$D$314:$D$318*'01_Вводные'!$B$314:$B$318*IF('01_Вводные'!$B$9=0,0,'06_Сеть_и_дети'!J11/'01_Вводные'!$B$9)+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))/2)</f>
        <v/>
      </c>
      <c r="K383">
        <f>SUMPRODUCT(('01_Вводные'!$D$314:$D$318*'01_Вводные'!$B$314:$B$318*IF('01_Вводные'!$B$9=0,0,'06_Сеть_и_дети'!K11/'01_Вводные'!$B$9)+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))/2)</f>
        <v/>
      </c>
      <c r="L383">
        <f>SUMPRODUCT(('01_Вводные'!$D$314:$D$318*'01_Вводные'!$B$314:$B$318*IF('01_Вводные'!$B$9=0,0,'06_Сеть_и_дети'!L11/'01_Вводные'!$B$9)+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))/2)</f>
        <v/>
      </c>
      <c r="M383">
        <f>SUMPRODUCT(('01_Вводные'!$D$314:$D$318*'01_Вводные'!$B$314:$B$318*IF('01_Вводные'!$B$9=0,0,'06_Сеть_и_дети'!M11/'01_Вводные'!$B$9)+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))/2)</f>
        <v/>
      </c>
      <c r="N383">
        <f>SUMPRODUCT(('01_Вводные'!$D$314:$D$318*'01_Вводные'!$B$314:$B$318*IF('01_Вводные'!$B$9=0,0,'06_Сеть_и_дети'!N11/'01_Вводные'!$B$9)+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))/2)</f>
        <v/>
      </c>
      <c r="O383">
        <f>SUMPRODUCT(('01_Вводные'!$D$314:$D$318*'01_Вводные'!$B$314:$B$318*IF('01_Вводные'!$B$9=0,0,'06_Сеть_и_дети'!O11/'01_Вводные'!$B$9)+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))/2)</f>
        <v/>
      </c>
      <c r="P383">
        <f>SUMPRODUCT(('01_Вводные'!$D$314:$D$318*'01_Вводные'!$B$314:$B$318*IF('01_Вводные'!$B$9=0,0,'06_Сеть_и_дети'!P11/'01_Вводные'!$B$9)+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))/2)</f>
        <v/>
      </c>
      <c r="Q383">
        <f>SUMPRODUCT(('01_Вводные'!$D$314:$D$318*'01_Вводные'!$B$314:$B$318*IF('01_Вводные'!$B$9=0,0,'06_Сеть_и_дети'!Q11/'01_Вводные'!$B$9)+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))/2)</f>
        <v/>
      </c>
      <c r="R383">
        <f>SUMPRODUCT(('01_Вводные'!$D$314:$D$318*'01_Вводные'!$B$314:$B$318*IF('01_Вводные'!$B$9=0,0,'06_Сеть_и_дети'!R11/'01_Вводные'!$B$9)+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))/2)</f>
        <v/>
      </c>
      <c r="S383">
        <f>SUMPRODUCT(('01_Вводные'!$D$314:$D$318*'01_Вводные'!$B$314:$B$318*IF('01_Вводные'!$B$9=0,0,'06_Сеть_и_дети'!S11/'01_Вводные'!$B$9)+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))/2)</f>
        <v/>
      </c>
      <c r="T383">
        <f>SUMPRODUCT(('01_Вводные'!$D$314:$D$318*'01_Вводные'!$B$314:$B$318*IF('01_Вводные'!$B$9=0,0,'06_Сеть_и_дети'!T11/'01_Вводные'!$B$9)+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))/2)</f>
        <v/>
      </c>
      <c r="U383">
        <f>SUMPRODUCT(('01_Вводные'!$D$314:$D$318*'01_Вводные'!$B$314:$B$318*IF('01_Вводные'!$B$9=0,0,'06_Сеть_и_дети'!U11/'01_Вводные'!$B$9)+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))/2)</f>
        <v/>
      </c>
      <c r="V383">
        <f>SUMPRODUCT(('01_Вводные'!$D$314:$D$318*'01_Вводные'!$B$314:$B$318*IF('01_Вводные'!$B$9=0,0,'06_Сеть_и_дети'!V11/'01_Вводные'!$B$9)+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))/2)</f>
        <v/>
      </c>
      <c r="W383">
        <f>SUMPRODUCT(('01_Вводные'!$D$314:$D$318*'01_Вводные'!$B$314:$B$318*IF('01_Вводные'!$B$9=0,0,'06_Сеть_и_дети'!W11/'01_Вводные'!$B$9)+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))/2)</f>
        <v/>
      </c>
      <c r="X383">
        <f>SUMPRODUCT(('01_Вводные'!$D$314:$D$318*'01_Вводные'!$B$314:$B$318*IF('01_Вводные'!$B$9=0,0,'06_Сеть_и_дети'!X11/'01_Вводные'!$B$9)+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))/2)</f>
        <v/>
      </c>
      <c r="Y383">
        <f>SUMPRODUCT(('01_Вводные'!$D$314:$D$318*'01_Вводные'!$B$314:$B$318*IF('01_Вводные'!$B$9=0,0,'06_Сеть_и_дети'!Y11/'01_Вводные'!$B$9)+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))/2)</f>
        <v/>
      </c>
      <c r="Z383">
        <f>SUMPRODUCT(('01_Вводные'!$D$314:$D$318*'01_Вводные'!$B$314:$B$318*IF('01_Вводные'!$B$9=0,0,'06_Сеть_и_дети'!Z11/'01_Вводные'!$B$9)+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))/2)</f>
        <v/>
      </c>
      <c r="AA383">
        <f>SUMPRODUCT(('01_Вводные'!$D$314:$D$318*'01_Вводные'!$B$314:$B$318*IF('01_Вводные'!$B$9=0,0,'06_Сеть_и_дети'!AA11/'01_Вводные'!$B$9)+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))/2)</f>
        <v/>
      </c>
      <c r="AB383">
        <f>SUMPRODUCT(('01_Вводные'!$D$314:$D$318*'01_Вводные'!$B$314:$B$318*IF('01_Вводные'!$B$9=0,0,'06_Сеть_и_дети'!AB11/'01_Вводные'!$B$9)+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))/2)</f>
        <v/>
      </c>
      <c r="AC383">
        <f>SUMPRODUCT(('01_Вводные'!$D$314:$D$318*'01_Вводные'!$B$314:$B$318*IF('01_Вводные'!$B$9=0,0,'06_Сеть_и_дети'!AC11/'01_Вводные'!$B$9)+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))/2)</f>
        <v/>
      </c>
      <c r="AD383">
        <f>SUMPRODUCT(('01_Вводные'!$D$314:$D$318*'01_Вводные'!$B$314:$B$318*IF('01_Вводные'!$B$9=0,0,'06_Сеть_и_дети'!AD11/'01_Вводные'!$B$9)+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))/2)</f>
        <v/>
      </c>
      <c r="AE383">
        <f>SUMPRODUCT(('01_Вводные'!$D$314:$D$318*'01_Вводные'!$B$314:$B$318*IF('01_Вводные'!$B$9=0,0,'06_Сеть_и_дети'!AE11/'01_Вводные'!$B$9)+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))/2)</f>
        <v/>
      </c>
      <c r="AF383">
        <f>SUMPRODUCT(('01_Вводные'!$D$314:$D$318*'01_Вводные'!$B$314:$B$318*IF('01_Вводные'!$B$9=0,0,'06_Сеть_и_дети'!AF11/'01_Вводные'!$B$9)+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))/2)</f>
        <v/>
      </c>
      <c r="AG383">
        <f>SUMPRODUCT(('01_Вводные'!$D$314:$D$318*'01_Вводные'!$B$314:$B$318*IF('01_Вводные'!$B$9=0,0,'06_Сеть_и_дети'!AG11/'01_Вводные'!$B$9)+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))/2)</f>
        <v/>
      </c>
      <c r="AH383">
        <f>SUMPRODUCT(('01_Вводные'!$D$314:$D$318*'01_Вводные'!$B$314:$B$318*IF('01_Вводные'!$B$9=0,0,'06_Сеть_и_дети'!AH11/'01_Вводные'!$B$9)+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))/2)</f>
        <v/>
      </c>
      <c r="AI383">
        <f>SUMPRODUCT(('01_Вводные'!$D$314:$D$318*'01_Вводные'!$B$314:$B$318*IF('01_Вводные'!$B$9=0,0,'06_Сеть_и_дети'!AI11/'01_Вводные'!$B$9)+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))/2)</f>
        <v/>
      </c>
      <c r="AJ383">
        <f>SUMPRODUCT(('01_Вводные'!$D$314:$D$318*'01_Вводные'!$B$314:$B$318*IF('01_Вводные'!$B$9=0,0,'06_Сеть_и_дети'!AJ11/'01_Вводные'!$B$9)+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))/2)</f>
        <v/>
      </c>
      <c r="AK383">
        <f>SUMPRODUCT(('01_Вводные'!$D$314:$D$318*'01_Вводные'!$B$314:$B$318*IF('01_Вводные'!$B$9=0,0,'06_Сеть_и_дети'!AK11/'01_Вводные'!$B$9)+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))/2)</f>
        <v/>
      </c>
      <c r="AL383">
        <f>SUMPRODUCT(('01_Вводные'!$D$314:$D$318*'01_Вводные'!$B$314:$B$318*IF('01_Вводные'!$B$9=0,0,'06_Сеть_и_дети'!AL11/'01_Вводные'!$B$9)+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))/2)</f>
        <v/>
      </c>
      <c r="AM383">
        <f>SUMPRODUCT(('01_Вводные'!$D$314:$D$318*'01_Вводные'!$B$314:$B$318*IF('01_Вводные'!$B$9=0,0,'06_Сеть_и_дети'!AM11/'01_Вводные'!$B$9)+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))/2)</f>
        <v/>
      </c>
      <c r="AN383">
        <f>SUMPRODUCT(('01_Вводные'!$D$314:$D$318*'01_Вводные'!$B$314:$B$318*IF('01_Вводные'!$B$9=0,0,'06_Сеть_и_дети'!AN11/'01_Вводные'!$B$9)+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))/2)</f>
        <v/>
      </c>
      <c r="AO383">
        <f>SUMPRODUCT(('01_Вводные'!$D$314:$D$318*'01_Вводные'!$B$314:$B$318*IF('01_Вводные'!$B$9=0,0,'06_Сеть_и_дети'!AO11/'01_Вводные'!$B$9)+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))/2)</f>
        <v/>
      </c>
      <c r="AP383">
        <f>SUMPRODUCT(('01_Вводные'!$D$314:$D$318*'01_Вводные'!$B$314:$B$318*IF('01_Вводные'!$B$9=0,0,'06_Сеть_и_дети'!AP11/'01_Вводные'!$B$9)+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))/2)</f>
        <v/>
      </c>
      <c r="AQ383">
        <f>SUMPRODUCT(('01_Вводные'!$D$314:$D$318*'01_Вводные'!$B$314:$B$318*IF('01_Вводные'!$B$9=0,0,'06_Сеть_и_дети'!AQ11/'01_Вводные'!$B$9)+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))/2)</f>
        <v/>
      </c>
      <c r="AR383">
        <f>SUMPRODUCT(('01_Вводные'!$D$314:$D$318*'01_Вводные'!$B$314:$B$318*IF('01_Вводные'!$B$9=0,0,'06_Сеть_и_дети'!AR11/'01_Вводные'!$B$9)+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))/2)</f>
        <v/>
      </c>
      <c r="AS383">
        <f>SUMPRODUCT(('01_Вводные'!$D$314:$D$318*'01_Вводные'!$B$314:$B$318*IF('01_Вводные'!$B$9=0,0,'06_Сеть_и_дети'!AS11/'01_Вводные'!$B$9)+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))/2)</f>
        <v/>
      </c>
      <c r="AT383">
        <f>SUMPRODUCT(('01_Вводные'!$D$314:$D$318*'01_Вводные'!$B$314:$B$318*IF('01_Вводные'!$B$9=0,0,'06_Сеть_и_дети'!AT11/'01_Вводные'!$B$9)+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))/2)</f>
        <v/>
      </c>
      <c r="AU383">
        <f>SUMPRODUCT(('01_Вводные'!$D$314:$D$318*'01_Вводные'!$B$314:$B$318*IF('01_Вводные'!$B$9=0,0,'06_Сеть_и_дети'!AU11/'01_Вводные'!$B$9)+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))/2)</f>
        <v/>
      </c>
      <c r="AV383">
        <f>SUMPRODUCT(('01_Вводные'!$D$314:$D$318*'01_Вводные'!$B$314:$B$318*IF('01_Вводные'!$B$9=0,0,'06_Сеть_и_дети'!AV11/'01_Вводные'!$B$9)+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))/2)</f>
        <v/>
      </c>
      <c r="AW383">
        <f>SUMPRODUCT(('01_Вводные'!$D$314:$D$318*'01_Вводные'!$B$314:$B$318*IF('01_Вводные'!$B$9=0,0,'06_Сеть_и_дети'!AW11/'01_Вводные'!$B$9)+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))/2)</f>
        <v/>
      </c>
      <c r="AX383">
        <f>SUMPRODUCT(('01_Вводные'!$D$314:$D$318*'01_Вводные'!$B$314:$B$318*IF('01_Вводные'!$B$9=0,0,'06_Сеть_и_дети'!AX11/'01_Вводные'!$B$9)+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))/2)</f>
        <v/>
      </c>
      <c r="AY383">
        <f>SUMPRODUCT(('01_Вводные'!$D$314:$D$318*'01_Вводные'!$B$314:$B$318*IF('01_Вводные'!$B$9=0,0,'06_Сеть_и_дети'!AY11/'01_Вводные'!$B$9)+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))/2)</f>
        <v/>
      </c>
      <c r="AZ383">
        <f>SUMPRODUCT(('01_Вводные'!$D$314:$D$318*'01_Вводные'!$B$314:$B$318*IF('01_Вводные'!$B$9=0,0,'06_Сеть_и_дети'!AZ11/'01_Вводные'!$B$9)+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))/2)</f>
        <v/>
      </c>
      <c r="BA383">
        <f>SUMPRODUCT(('01_Вводные'!$D$314:$D$318*'01_Вводные'!$B$314:$B$318*IF('01_Вводные'!$B$9=0,0,'06_Сеть_и_дети'!BA11/'01_Вводные'!$B$9)+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))/2)</f>
        <v/>
      </c>
      <c r="BB383">
        <f>SUMPRODUCT(('01_Вводные'!$D$314:$D$318*'01_Вводные'!$B$314:$B$318*IF('01_Вводные'!$B$9=0,0,'06_Сеть_и_дети'!BB11/'01_Вводные'!$B$9)+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))/2)</f>
        <v/>
      </c>
      <c r="BC383">
        <f>SUMPRODUCT(('01_Вводные'!$D$314:$D$318*'01_Вводные'!$B$314:$B$318*IF('01_Вводные'!$B$9=0,0,'06_Сеть_и_дети'!BC11/'01_Вводные'!$B$9)+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))/2)</f>
        <v/>
      </c>
      <c r="BD383">
        <f>SUMPRODUCT(('01_Вводные'!$D$314:$D$318*'01_Вводные'!$B$314:$B$318*IF('01_Вводные'!$B$9=0,0,'06_Сеть_и_дети'!BD11/'01_Вводные'!$B$9)+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))/2)</f>
        <v/>
      </c>
      <c r="BE383">
        <f>SUMPRODUCT(('01_Вводные'!$D$314:$D$318*'01_Вводные'!$B$314:$B$318*IF('01_Вводные'!$B$9=0,0,'06_Сеть_и_дети'!BE11/'01_Вводные'!$B$9)+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))/2)</f>
        <v/>
      </c>
      <c r="BF383">
        <f>SUMPRODUCT(('01_Вводные'!$D$314:$D$318*'01_Вводные'!$B$314:$B$318*IF('01_Вводные'!$B$9=0,0,'06_Сеть_и_дети'!BF11/'01_Вводные'!$B$9)+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))/2)</f>
        <v/>
      </c>
      <c r="BG383">
        <f>SUMPRODUCT(('01_Вводные'!$D$314:$D$318*'01_Вводные'!$B$314:$B$318*IF('01_Вводные'!$B$9=0,0,'06_Сеть_и_дети'!BG11/'01_Вводные'!$B$9)+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))/2)</f>
        <v/>
      </c>
      <c r="BH383">
        <f>SUMPRODUCT(('01_Вводные'!$D$314:$D$318*'01_Вводные'!$B$314:$B$318*IF('01_Вводные'!$B$9=0,0,'06_Сеть_и_дети'!BH11/'01_Вводные'!$B$9)+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))/2)</f>
        <v/>
      </c>
      <c r="BI383">
        <f>SUMPRODUCT(('01_Вводные'!$D$314:$D$318*'01_Вводные'!$B$314:$B$318*IF('01_Вводные'!$B$9=0,0,'06_Сеть_и_дети'!BI11/'01_Вводные'!$B$9)+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))/2)</f>
        <v/>
      </c>
      <c r="BJ383">
        <f>SUMPRODUCT(('01_Вводные'!$D$314:$D$318*'01_Вводные'!$B$314:$B$318*IF('01_Вводные'!$B$9=0,0,'06_Сеть_и_дети'!BJ11/'01_Вводные'!$B$9)+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))/2)</f>
        <v/>
      </c>
      <c r="BK383">
        <f>SUMPRODUCT(('01_Вводные'!$D$314:$D$318*'01_Вводные'!$B$314:$B$318*IF('01_Вводные'!$B$9=0,0,'06_Сеть_и_дети'!BK11/'01_Вводные'!$B$9)+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))/2)</f>
        <v/>
      </c>
      <c r="BL383">
        <f>SUMPRODUCT(('01_Вводные'!$D$314:$D$318*'01_Вводные'!$B$314:$B$318*IF('01_Вводные'!$B$9=0,0,'06_Сеть_и_дети'!BL11/'01_Вводные'!$B$9)+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))/2)</f>
        <v/>
      </c>
      <c r="BM383">
        <f>SUMPRODUCT(('01_Вводные'!$D$314:$D$318*'01_Вводные'!$B$314:$B$318*IF('01_Вводные'!$B$9=0,0,'06_Сеть_и_дети'!BM11/'01_Вводные'!$B$9)+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))/2)</f>
        <v/>
      </c>
      <c r="BN383">
        <f>SUMPRODUCT(('01_Вводные'!$D$314:$D$318*'01_Вводные'!$B$314:$B$318*IF('01_Вводные'!$B$9=0,0,'06_Сеть_и_дети'!BN11/'01_Вводные'!$B$9)+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))/2)</f>
        <v/>
      </c>
      <c r="BO383">
        <f>SUMPRODUCT(('01_Вводные'!$D$314:$D$318*'01_Вводные'!$B$314:$B$318*IF('01_Вводные'!$B$9=0,0,'06_Сеть_и_дети'!BO11/'01_Вводные'!$B$9)+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IF('19_Расчет_аналитики'!C338&gt;=2,'19_Расчет_аналитики'!C349*'01_Вводные'!$B$125/(1+'01_Вводные'!$B$131),0)</f>
        <v/>
      </c>
      <c r="D654">
        <f>IF('19_Расчет_аналитики'!D338&gt;=2,'19_Расчет_аналитики'!D349*'01_Вводные'!$B$125/(1+'01_Вводные'!$B$131),0)</f>
        <v/>
      </c>
      <c r="E654">
        <f>IF('19_Расчет_аналитики'!E338&gt;=2,'19_Расчет_аналитики'!E349*'01_Вводные'!$B$125/(1+'01_Вводные'!$B$131),0)</f>
        <v/>
      </c>
      <c r="F654">
        <f>IF('19_Расчет_аналитики'!F338&gt;=2,'19_Расчет_аналитики'!F349*'01_Вводные'!$B$125/(1+'01_Вводные'!$B$131),0)</f>
        <v/>
      </c>
      <c r="G654">
        <f>IF('19_Расчет_аналитики'!G338&gt;=2,'19_Расчет_аналитики'!G349*'01_Вводные'!$B$125/(1+'01_Вводные'!$B$131),0)</f>
        <v/>
      </c>
      <c r="H654">
        <f>IF('19_Расчет_аналитики'!H338&gt;=2,'19_Расчет_аналитики'!H349*'01_Вводные'!$B$125/(1+'01_Вводные'!$B$131),0)</f>
        <v/>
      </c>
      <c r="I654">
        <f>IF('19_Расчет_аналитики'!I338&gt;=2,'19_Расчет_аналитики'!I349*'01_Вводные'!$B$125/(1+'01_Вводные'!$B$131),0)</f>
        <v/>
      </c>
      <c r="J654">
        <f>IF('19_Расчет_аналитики'!J338&gt;=2,'19_Расчет_аналитики'!J349*'01_Вводные'!$B$125/(1+'01_Вводные'!$B$131),0)</f>
        <v/>
      </c>
      <c r="K654">
        <f>IF('19_Расчет_аналитики'!K338&gt;=2,'19_Расчет_аналитики'!K349*'01_Вводные'!$B$125/(1+'01_Вводные'!$B$131),0)</f>
        <v/>
      </c>
      <c r="L654">
        <f>IF('19_Расчет_аналитики'!L338&gt;=2,'19_Расчет_аналитики'!L349*'01_Вводные'!$B$125/(1+'01_Вводные'!$B$131),0)</f>
        <v/>
      </c>
      <c r="M654">
        <f>IF('19_Расчет_аналитики'!M338&gt;=2,'19_Расчет_аналитики'!M349*'01_Вводные'!$B$125/(1+'01_Вводные'!$B$131),0)</f>
        <v/>
      </c>
      <c r="N654">
        <f>IF('19_Расчет_аналитики'!N338&gt;=2,'19_Расчет_аналитики'!N349*'01_Вводные'!$B$125/(1+'01_Вводные'!$B$131),0)</f>
        <v/>
      </c>
      <c r="O654">
        <f>IF('19_Расчет_аналитики'!O338&gt;=2,'19_Расчет_аналитики'!O349*'01_Вводные'!$B$125/(1+'01_Вводные'!$B$131),0)</f>
        <v/>
      </c>
      <c r="P654">
        <f>IF('19_Расчет_аналитики'!P338&gt;=2,'19_Расчет_аналитики'!P349*'01_Вводные'!$B$125/(1+'01_Вводные'!$B$131),0)</f>
        <v/>
      </c>
      <c r="Q654">
        <f>IF('19_Расчет_аналитики'!Q338&gt;=2,'19_Расчет_аналитики'!Q349*'01_Вводные'!$B$125/(1+'01_Вводные'!$B$131),0)</f>
        <v/>
      </c>
      <c r="R654">
        <f>IF('19_Расчет_аналитики'!R338&gt;=2,'19_Расчет_аналитики'!R349*'01_Вводные'!$B$125/(1+'01_Вводные'!$B$131),0)</f>
        <v/>
      </c>
      <c r="S654">
        <f>IF('19_Расчет_аналитики'!S338&gt;=2,'19_Расчет_аналитики'!S349*'01_Вводные'!$B$125/(1+'01_Вводные'!$B$131),0)</f>
        <v/>
      </c>
      <c r="T654">
        <f>IF('19_Расчет_аналитики'!T338&gt;=2,'19_Расчет_аналитики'!T349*'01_Вводные'!$B$125/(1+'01_Вводные'!$B$131),0)</f>
        <v/>
      </c>
      <c r="U654">
        <f>IF('19_Расчет_аналитики'!U338&gt;=2,'19_Расчет_аналитики'!U349*'01_Вводные'!$B$125/(1+'01_Вводные'!$B$131),0)</f>
        <v/>
      </c>
      <c r="V654">
        <f>IF('19_Расчет_аналитики'!V338&gt;=2,'19_Расчет_аналитики'!V349*'01_Вводные'!$B$125/(1+'01_Вводные'!$B$131),0)</f>
        <v/>
      </c>
      <c r="W654">
        <f>IF('19_Расчет_аналитики'!W338&gt;=2,'19_Расчет_аналитики'!W349*'01_Вводные'!$B$125/(1+'01_Вводные'!$B$131),0)</f>
        <v/>
      </c>
      <c r="X654">
        <f>IF('19_Расчет_аналитики'!X338&gt;=2,'19_Расчет_аналитики'!X349*'01_Вводные'!$B$125/(1+'01_Вводные'!$B$131),0)</f>
        <v/>
      </c>
      <c r="Y654">
        <f>IF('19_Расчет_аналитики'!Y338&gt;=2,'19_Расчет_аналитики'!Y349*'01_Вводные'!$B$125/(1+'01_Вводные'!$B$131),0)</f>
        <v/>
      </c>
      <c r="Z654">
        <f>IF('19_Расчет_аналитики'!Z338&gt;=2,'19_Расчет_аналитики'!Z349*'01_Вводные'!$B$125/(1+'01_Вводные'!$B$131),0)</f>
        <v/>
      </c>
      <c r="AA654">
        <f>IF('19_Расчет_аналитики'!AA338&gt;=2,'19_Расчет_аналитики'!AA349*'01_Вводные'!$B$125/(1+'01_Вводные'!$B$131),0)</f>
        <v/>
      </c>
      <c r="AB654">
        <f>IF('19_Расчет_аналитики'!AB338&gt;=2,'19_Расчет_аналитики'!AB349*'01_Вводные'!$B$125/(1+'01_Вводные'!$B$131),0)</f>
        <v/>
      </c>
      <c r="AC654">
        <f>IF('19_Расчет_аналитики'!AC338&gt;=2,'19_Расчет_аналитики'!AC349*'01_Вводные'!$B$125/(1+'01_Вводные'!$B$131),0)</f>
        <v/>
      </c>
      <c r="AD654">
        <f>IF('19_Расчет_аналитики'!AD338&gt;=2,'19_Расчет_аналитики'!AD349*'01_Вводные'!$B$125/(1+'01_Вводные'!$B$131),0)</f>
        <v/>
      </c>
      <c r="AE654">
        <f>IF('19_Расчет_аналитики'!AE338&gt;=2,'19_Расчет_аналитики'!AE349*'01_Вводные'!$B$125/(1+'01_Вводные'!$B$131),0)</f>
        <v/>
      </c>
      <c r="AF654">
        <f>IF('19_Расчет_аналитики'!AF338&gt;=2,'19_Расчет_аналитики'!AF349*'01_Вводные'!$B$125/(1+'01_Вводные'!$B$131),0)</f>
        <v/>
      </c>
      <c r="AG654">
        <f>IF('19_Расчет_аналитики'!AG338&gt;=2,'19_Расчет_аналитики'!AG349*'01_Вводные'!$B$125/(1+'01_Вводные'!$B$131),0)</f>
        <v/>
      </c>
      <c r="AH654">
        <f>IF('19_Расчет_аналитики'!AH338&gt;=2,'19_Расчет_аналитики'!AH349*'01_Вводные'!$B$125/(1+'01_Вводные'!$B$131),0)</f>
        <v/>
      </c>
      <c r="AI654">
        <f>IF('19_Расчет_аналитики'!AI338&gt;=2,'19_Расчет_аналитики'!AI349*'01_Вводные'!$B$125/(1+'01_Вводные'!$B$131),0)</f>
        <v/>
      </c>
      <c r="AJ654">
        <f>IF('19_Расчет_аналитики'!AJ338&gt;=2,'19_Расчет_аналитики'!AJ349*'01_Вводные'!$B$125/(1+'01_Вводные'!$B$131),0)</f>
        <v/>
      </c>
      <c r="AK654">
        <f>IF('19_Расчет_аналитики'!AK338&gt;=2,'19_Расчет_аналитики'!AK349*'01_Вводные'!$B$125/(1+'01_Вводные'!$B$131),0)</f>
        <v/>
      </c>
      <c r="AL654">
        <f>IF('19_Расчет_аналитики'!AL338&gt;=2,'19_Расчет_аналитики'!AL349*'01_Вводные'!$B$125/(1+'01_Вводные'!$B$131),0)</f>
        <v/>
      </c>
      <c r="AM654">
        <f>IF('19_Расчет_аналитики'!AM338&gt;=2,'19_Расчет_аналитики'!AM349*'01_Вводные'!$B$125/(1+'01_Вводные'!$B$131),0)</f>
        <v/>
      </c>
      <c r="AN654">
        <f>IF('19_Расчет_аналитики'!AN338&gt;=2,'19_Расчет_аналитики'!AN349*'01_Вводные'!$B$125/(1+'01_Вводные'!$B$131),0)</f>
        <v/>
      </c>
      <c r="AO654">
        <f>IF('19_Расчет_аналитики'!AO338&gt;=2,'19_Расчет_аналитики'!AO349*'01_Вводные'!$B$125/(1+'01_Вводные'!$B$131),0)</f>
        <v/>
      </c>
      <c r="AP654">
        <f>IF('19_Расчет_аналитики'!AP338&gt;=2,'19_Расчет_аналитики'!AP349*'01_Вводные'!$B$125/(1+'01_Вводные'!$B$131),0)</f>
        <v/>
      </c>
      <c r="AQ654">
        <f>IF('19_Расчет_аналитики'!AQ338&gt;=2,'19_Расчет_аналитики'!AQ349*'01_Вводные'!$B$125/(1+'01_Вводные'!$B$131),0)</f>
        <v/>
      </c>
      <c r="AR654">
        <f>IF('19_Расчет_аналитики'!AR338&gt;=2,'19_Расчет_аналитики'!AR349*'01_Вводные'!$B$125/(1+'01_Вводные'!$B$131),0)</f>
        <v/>
      </c>
      <c r="AS654">
        <f>IF('19_Расчет_аналитики'!AS338&gt;=2,'19_Расчет_аналитики'!AS349*'01_Вводные'!$B$125/(1+'01_Вводные'!$B$131),0)</f>
        <v/>
      </c>
      <c r="AT654">
        <f>IF('19_Расчет_аналитики'!AT338&gt;=2,'19_Расчет_аналитики'!AT349*'01_Вводные'!$B$125/(1+'01_Вводные'!$B$131),0)</f>
        <v/>
      </c>
      <c r="AU654">
        <f>IF('19_Расчет_аналитики'!AU338&gt;=2,'19_Расчет_аналитики'!AU349*'01_Вводные'!$B$125/(1+'01_Вводные'!$B$131),0)</f>
        <v/>
      </c>
      <c r="AV654">
        <f>IF('19_Расчет_аналитики'!AV338&gt;=2,'19_Расчет_аналитики'!AV349*'01_Вводные'!$B$125/(1+'01_Вводные'!$B$131),0)</f>
        <v/>
      </c>
      <c r="AW654">
        <f>IF('19_Расчет_аналитики'!AW338&gt;=2,'19_Расчет_аналитики'!AW349*'01_Вводные'!$B$125/(1+'01_Вводные'!$B$131),0)</f>
        <v/>
      </c>
      <c r="AX654">
        <f>IF('19_Расчет_аналитики'!AX338&gt;=2,'19_Расчет_аналитики'!AX349*'01_Вводные'!$B$125/(1+'01_Вводные'!$B$131),0)</f>
        <v/>
      </c>
      <c r="AY654">
        <f>IF('19_Расчет_аналитики'!AY338&gt;=2,'19_Расчет_аналитики'!AY349*'01_Вводные'!$B$125/(1+'01_Вводные'!$B$131),0)</f>
        <v/>
      </c>
      <c r="AZ654">
        <f>IF('19_Расчет_аналитики'!AZ338&gt;=2,'19_Расчет_аналитики'!AZ349*'01_Вводные'!$B$125/(1+'01_Вводные'!$B$131),0)</f>
        <v/>
      </c>
      <c r="BA654">
        <f>IF('19_Расчет_аналитики'!BA338&gt;=2,'19_Расчет_аналитики'!BA349*'01_Вводные'!$B$125/(1+'01_Вводные'!$B$131),0)</f>
        <v/>
      </c>
      <c r="BB654">
        <f>IF('19_Расчет_аналитики'!BB338&gt;=2,'19_Расчет_аналитики'!BB349*'01_Вводные'!$B$125/(1+'01_Вводные'!$B$131),0)</f>
        <v/>
      </c>
      <c r="BC654">
        <f>IF('19_Расчет_аналитики'!BC338&gt;=2,'19_Расчет_аналитики'!BC349*'01_Вводные'!$B$125/(1+'01_Вводные'!$B$131),0)</f>
        <v/>
      </c>
      <c r="BD654">
        <f>IF('19_Расчет_аналитики'!BD338&gt;=2,'19_Расчет_аналитики'!BD349*'01_Вводные'!$B$125/(1+'01_Вводные'!$B$131),0)</f>
        <v/>
      </c>
      <c r="BE654">
        <f>IF('19_Расчет_аналитики'!BE338&gt;=2,'19_Расчет_аналитики'!BE349*'01_Вводные'!$B$125/(1+'01_Вводные'!$B$131),0)</f>
        <v/>
      </c>
      <c r="BF654">
        <f>IF('19_Расчет_аналитики'!BF338&gt;=2,'19_Расчет_аналитики'!BF349*'01_Вводные'!$B$125/(1+'01_Вводные'!$B$131),0)</f>
        <v/>
      </c>
      <c r="BG654">
        <f>IF('19_Расчет_аналитики'!BG338&gt;=2,'19_Расчет_аналитики'!BG349*'01_Вводные'!$B$125/(1+'01_Вводные'!$B$131),0)</f>
        <v/>
      </c>
      <c r="BH654">
        <f>IF('19_Расчет_аналитики'!BH338&gt;=2,'19_Расчет_аналитики'!BH349*'01_Вводные'!$B$125/(1+'01_Вводные'!$B$131),0)</f>
        <v/>
      </c>
      <c r="BI654">
        <f>IF('19_Расчет_аналитики'!BI338&gt;=2,'19_Расчет_аналитики'!BI349*'01_Вводные'!$B$125/(1+'01_Вводные'!$B$131),0)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IF(OR(1&lt;='01_Вводные'!$B$15,1-'01_Вводные'!$B$15&gt;60),0,INDEX('19_Расчет_аналитики'!$B$1350:$BI$1350,1,1-'01_Вводные'!$B$15))*'01_Вводные'!$B$298*'01_Вводные'!$B$22</f>
        <v/>
      </c>
      <c r="C1375">
        <f>IF(OR(2&lt;='01_Вводные'!$B$15,2-'01_Вводные'!$B$15&gt;60),0,INDEX('19_Расчет_аналитики'!$B$1350:$BI$1350,1,2-'01_Вводные'!$B$15))*'01_Вводные'!$B$298*'01_Вводные'!$B$22</f>
        <v/>
      </c>
      <c r="D1375">
        <f>IF(OR(3&lt;='01_Вводные'!$B$15,3-'01_Вводные'!$B$15&gt;60),0,INDEX('19_Расчет_аналитики'!$B$1350:$BI$1350,1,3-'01_Вводные'!$B$15))*'01_Вводные'!$B$298*'01_Вводные'!$B$22</f>
        <v/>
      </c>
      <c r="E1375">
        <f>IF(OR(4&lt;='01_Вводные'!$B$15,4-'01_Вводные'!$B$15&gt;60),0,INDEX('19_Расчет_аналитики'!$B$1350:$BI$1350,1,4-'01_Вводные'!$B$15))*'01_Вводные'!$B$298*'01_Вводные'!$B$22</f>
        <v/>
      </c>
      <c r="F1375">
        <f>IF(OR(5&lt;='01_Вводные'!$B$15,5-'01_Вводные'!$B$15&gt;60),0,INDEX('19_Расчет_аналитики'!$B$1350:$BI$1350,1,5-'01_Вводные'!$B$15))*'01_Вводные'!$B$298*'01_Вводные'!$B$22</f>
        <v/>
      </c>
      <c r="G1375">
        <f>IF(OR(6&lt;='01_Вводные'!$B$15,6-'01_Вводные'!$B$15&gt;60),0,INDEX('19_Расчет_аналитики'!$B$1350:$BI$1350,1,6-'01_Вводные'!$B$15))*'01_Вводные'!$B$298*'01_Вводные'!$B$22</f>
        <v/>
      </c>
      <c r="H1375">
        <f>IF(OR(7&lt;='01_Вводные'!$B$15,7-'01_Вводные'!$B$15&gt;60),0,INDEX('19_Расчет_аналитики'!$B$1350:$BI$1350,1,7-'01_Вводные'!$B$15))*'01_Вводные'!$B$298*'01_Вводные'!$B$22</f>
        <v/>
      </c>
      <c r="I1375">
        <f>IF(OR(8&lt;='01_Вводные'!$B$15,8-'01_Вводные'!$B$15&gt;60),0,INDEX('19_Расчет_аналитики'!$B$1350:$BI$1350,1,8-'01_Вводные'!$B$15))*'01_Вводные'!$B$298*'01_Вводные'!$B$22</f>
        <v/>
      </c>
      <c r="J1375">
        <f>IF(OR(9&lt;='01_Вводные'!$B$15,9-'01_Вводные'!$B$15&gt;60),0,INDEX('19_Расчет_аналитики'!$B$1350:$BI$1350,1,9-'01_Вводные'!$B$15))*'01_Вводные'!$B$298*'01_Вводные'!$B$22</f>
        <v/>
      </c>
      <c r="K1375">
        <f>IF(OR(10&lt;='01_Вводные'!$B$15,10-'01_Вводные'!$B$15&gt;60),0,INDEX('19_Расчет_аналитики'!$B$1350:$BI$1350,1,10-'01_Вводные'!$B$15))*'01_Вводные'!$B$298*'01_Вводные'!$B$22</f>
        <v/>
      </c>
      <c r="L1375">
        <f>IF(OR(11&lt;='01_Вводные'!$B$15,11-'01_Вводные'!$B$15&gt;60),0,INDEX('19_Расчет_аналитики'!$B$1350:$BI$1350,1,11-'01_Вводные'!$B$15))*'01_Вводные'!$B$298*'01_Вводные'!$B$22</f>
        <v/>
      </c>
      <c r="M1375">
        <f>IF(OR(12&lt;='01_Вводные'!$B$15,12-'01_Вводные'!$B$15&gt;60),0,INDEX('19_Расчет_аналитики'!$B$1350:$BI$1350,1,12-'01_Вводные'!$B$15))*'01_Вводные'!$B$298*'01_Вводные'!$B$22</f>
        <v/>
      </c>
      <c r="N1375">
        <f>IF(OR(13&lt;='01_Вводные'!$B$15,13-'01_Вводные'!$B$15&gt;60),0,INDEX('19_Расчет_аналитики'!$B$1350:$BI$1350,1,13-'01_Вводные'!$B$15))*'01_Вводные'!$B$298*'01_Вводные'!$B$22</f>
        <v/>
      </c>
      <c r="O1375">
        <f>IF(OR(14&lt;='01_Вводные'!$B$15,14-'01_Вводные'!$B$15&gt;60),0,INDEX('19_Расчет_аналитики'!$B$1350:$BI$1350,1,14-'01_Вводные'!$B$15))*'01_Вводные'!$B$298*'01_Вводные'!$B$22</f>
        <v/>
      </c>
      <c r="P1375">
        <f>IF(OR(15&lt;='01_Вводные'!$B$15,15-'01_Вводные'!$B$15&gt;60),0,INDEX('19_Расчет_аналитики'!$B$1350:$BI$1350,1,15-'01_Вводные'!$B$15))*'01_Вводные'!$B$298*'01_Вводные'!$B$22</f>
        <v/>
      </c>
      <c r="Q1375">
        <f>IF(OR(16&lt;='01_Вводные'!$B$15,16-'01_Вводные'!$B$15&gt;60),0,INDEX('19_Расчет_аналитики'!$B$1350:$BI$1350,1,16-'01_Вводные'!$B$15))*'01_Вводные'!$B$298*'01_Вводные'!$B$22</f>
        <v/>
      </c>
      <c r="R1375">
        <f>IF(OR(17&lt;='01_Вводные'!$B$15,17-'01_Вводные'!$B$15&gt;60),0,INDEX('19_Расчет_аналитики'!$B$1350:$BI$1350,1,17-'01_Вводные'!$B$15))*'01_Вводные'!$B$298*'01_Вводные'!$B$22</f>
        <v/>
      </c>
      <c r="S1375">
        <f>IF(OR(18&lt;='01_Вводные'!$B$15,18-'01_Вводные'!$B$15&gt;60),0,INDEX('19_Расчет_аналитики'!$B$1350:$BI$1350,1,18-'01_Вводные'!$B$15))*'01_Вводные'!$B$298*'01_Вводные'!$B$22</f>
        <v/>
      </c>
      <c r="T1375">
        <f>IF(OR(19&lt;='01_Вводные'!$B$15,19-'01_Вводные'!$B$15&gt;60),0,INDEX('19_Расчет_аналитики'!$B$1350:$BI$1350,1,19-'01_Вводные'!$B$15))*'01_Вводные'!$B$298*'01_Вводные'!$B$22</f>
        <v/>
      </c>
      <c r="U1375">
        <f>IF(OR(20&lt;='01_Вводные'!$B$15,20-'01_Вводные'!$B$15&gt;60),0,INDEX('19_Расчет_аналитики'!$B$1350:$BI$1350,1,20-'01_Вводные'!$B$15))*'01_Вводные'!$B$298*'01_Вводные'!$B$22</f>
        <v/>
      </c>
      <c r="V1375">
        <f>IF(OR(21&lt;='01_Вводные'!$B$15,21-'01_Вводные'!$B$15&gt;60),0,INDEX('19_Расчет_аналитики'!$B$1350:$BI$1350,1,21-'01_Вводные'!$B$15))*'01_Вводные'!$B$298*'01_Вводные'!$B$22</f>
        <v/>
      </c>
      <c r="W1375">
        <f>IF(OR(22&lt;='01_Вводные'!$B$15,22-'01_Вводные'!$B$15&gt;60),0,INDEX('19_Расчет_аналитики'!$B$1350:$BI$1350,1,22-'01_Вводные'!$B$15))*'01_Вводные'!$B$298*'01_Вводные'!$B$22</f>
        <v/>
      </c>
      <c r="X1375">
        <f>IF(OR(23&lt;='01_Вводные'!$B$15,23-'01_Вводные'!$B$15&gt;60),0,INDEX('19_Расчет_аналитики'!$B$1350:$BI$1350,1,23-'01_Вводные'!$B$15))*'01_Вводные'!$B$298*'01_Вводные'!$B$22</f>
        <v/>
      </c>
      <c r="Y1375">
        <f>IF(OR(24&lt;='01_Вводные'!$B$15,24-'01_Вводные'!$B$15&gt;60),0,INDEX('19_Расчет_аналитики'!$B$1350:$BI$1350,1,24-'01_Вводные'!$B$15))*'01_Вводные'!$B$298*'01_Вводные'!$B$22</f>
        <v/>
      </c>
      <c r="Z1375">
        <f>IF(OR(25&lt;='01_Вводные'!$B$15,25-'01_Вводные'!$B$15&gt;60),0,INDEX('19_Расчет_аналитики'!$B$1350:$BI$1350,1,25-'01_Вводные'!$B$15))*'01_Вводные'!$B$298*'01_Вводные'!$B$22</f>
        <v/>
      </c>
      <c r="AA1375">
        <f>IF(OR(26&lt;='01_Вводные'!$B$15,26-'01_Вводные'!$B$15&gt;60),0,INDEX('19_Расчет_аналитики'!$B$1350:$BI$1350,1,26-'01_Вводные'!$B$15))*'01_Вводные'!$B$298*'01_Вводные'!$B$22</f>
        <v/>
      </c>
      <c r="AB1375">
        <f>IF(OR(27&lt;='01_Вводные'!$B$15,27-'01_Вводные'!$B$15&gt;60),0,INDEX('19_Расчет_аналитики'!$B$1350:$BI$1350,1,27-'01_Вводные'!$B$15))*'01_Вводные'!$B$298*'01_Вводные'!$B$22</f>
        <v/>
      </c>
      <c r="AC1375">
        <f>IF(OR(28&lt;='01_Вводные'!$B$15,28-'01_Вводные'!$B$15&gt;60),0,INDEX('19_Расчет_аналитики'!$B$1350:$BI$1350,1,28-'01_Вводные'!$B$15))*'01_Вводные'!$B$298*'01_Вводные'!$B$22</f>
        <v/>
      </c>
      <c r="AD1375">
        <f>IF(OR(29&lt;='01_Вводные'!$B$15,29-'01_Вводные'!$B$15&gt;60),0,INDEX('19_Расчет_аналитики'!$B$1350:$BI$1350,1,29-'01_Вводные'!$B$15))*'01_Вводные'!$B$298*'01_Вводные'!$B$22</f>
        <v/>
      </c>
      <c r="AE1375">
        <f>IF(OR(30&lt;='01_Вводные'!$B$15,30-'01_Вводные'!$B$15&gt;60),0,INDEX('19_Расчет_аналитики'!$B$1350:$BI$1350,1,30-'01_Вводные'!$B$15))*'01_Вводные'!$B$298*'01_Вводные'!$B$22</f>
        <v/>
      </c>
      <c r="AF1375">
        <f>IF(OR(31&lt;='01_Вводные'!$B$15,31-'01_Вводные'!$B$15&gt;60),0,INDEX('19_Расчет_аналитики'!$B$1350:$BI$1350,1,31-'01_Вводные'!$B$15))*'01_Вводные'!$B$298*'01_Вводные'!$B$22</f>
        <v/>
      </c>
      <c r="AG1375">
        <f>IF(OR(32&lt;='01_Вводные'!$B$15,32-'01_Вводные'!$B$15&gt;60),0,INDEX('19_Расчет_аналитики'!$B$1350:$BI$1350,1,32-'01_Вводные'!$B$15))*'01_Вводные'!$B$298*'01_Вводные'!$B$22</f>
        <v/>
      </c>
      <c r="AH1375">
        <f>IF(OR(33&lt;='01_Вводные'!$B$15,33-'01_Вводные'!$B$15&gt;60),0,INDEX('19_Расчет_аналитики'!$B$1350:$BI$1350,1,33-'01_Вводные'!$B$15))*'01_Вводные'!$B$298*'01_Вводные'!$B$22</f>
        <v/>
      </c>
      <c r="AI1375">
        <f>IF(OR(34&lt;='01_Вводные'!$B$15,34-'01_Вводные'!$B$15&gt;60),0,INDEX('19_Расчет_аналитики'!$B$1350:$BI$1350,1,34-'01_Вводные'!$B$15))*'01_Вводные'!$B$298*'01_Вводные'!$B$22</f>
        <v/>
      </c>
      <c r="AJ1375">
        <f>IF(OR(35&lt;='01_Вводные'!$B$15,35-'01_Вводные'!$B$15&gt;60),0,INDEX('19_Расчет_аналитики'!$B$1350:$BI$1350,1,35-'01_Вводные'!$B$15))*'01_Вводные'!$B$298*'01_Вводные'!$B$22</f>
        <v/>
      </c>
      <c r="AK1375">
        <f>IF(OR(36&lt;='01_Вводные'!$B$15,36-'01_Вводные'!$B$15&gt;60),0,INDEX('19_Расчет_аналитики'!$B$1350:$BI$1350,1,36-'01_Вводные'!$B$15))*'01_Вводные'!$B$298*'01_Вводные'!$B$22</f>
        <v/>
      </c>
      <c r="AL1375">
        <f>IF(OR(37&lt;='01_Вводные'!$B$15,37-'01_Вводные'!$B$15&gt;60),0,INDEX('19_Расчет_аналитики'!$B$1350:$BI$1350,1,37-'01_Вводные'!$B$15))*'01_Вводные'!$B$298*'01_Вводные'!$B$22</f>
        <v/>
      </c>
      <c r="AM1375">
        <f>IF(OR(38&lt;='01_Вводные'!$B$15,38-'01_Вводные'!$B$15&gt;60),0,INDEX('19_Расчет_аналитики'!$B$1350:$BI$1350,1,38-'01_Вводные'!$B$15))*'01_Вводные'!$B$298*'01_Вводные'!$B$22</f>
        <v/>
      </c>
      <c r="AN1375">
        <f>IF(OR(39&lt;='01_Вводные'!$B$15,39-'01_Вводные'!$B$15&gt;60),0,INDEX('19_Расчет_аналитики'!$B$1350:$BI$1350,1,39-'01_Вводные'!$B$15))*'01_Вводные'!$B$298*'01_Вводные'!$B$22</f>
        <v/>
      </c>
      <c r="AO1375">
        <f>IF(OR(40&lt;='01_Вводные'!$B$15,40-'01_Вводные'!$B$15&gt;60),0,INDEX('19_Расчет_аналитики'!$B$1350:$BI$1350,1,40-'01_Вводные'!$B$15))*'01_Вводные'!$B$298*'01_Вводные'!$B$22</f>
        <v/>
      </c>
      <c r="AP1375">
        <f>IF(OR(41&lt;='01_Вводные'!$B$15,41-'01_Вводные'!$B$15&gt;60),0,INDEX('19_Расчет_аналитики'!$B$1350:$BI$1350,1,41-'01_Вводные'!$B$15))*'01_Вводные'!$B$298*'01_Вводные'!$B$22</f>
        <v/>
      </c>
      <c r="AQ1375">
        <f>IF(OR(42&lt;='01_Вводные'!$B$15,42-'01_Вводные'!$B$15&gt;60),0,INDEX('19_Расчет_аналитики'!$B$1350:$BI$1350,1,42-'01_Вводные'!$B$15))*'01_Вводные'!$B$298*'01_Вводные'!$B$22</f>
        <v/>
      </c>
      <c r="AR1375">
        <f>IF(OR(43&lt;='01_Вводные'!$B$15,43-'01_Вводные'!$B$15&gt;60),0,INDEX('19_Расчет_аналитики'!$B$1350:$BI$1350,1,43-'01_Вводные'!$B$15))*'01_Вводные'!$B$298*'01_Вводные'!$B$22</f>
        <v/>
      </c>
      <c r="AS1375">
        <f>IF(OR(44&lt;='01_Вводные'!$B$15,44-'01_Вводные'!$B$15&gt;60),0,INDEX('19_Расчет_аналитики'!$B$1350:$BI$1350,1,44-'01_Вводные'!$B$15))*'01_Вводные'!$B$298*'01_Вводные'!$B$22</f>
        <v/>
      </c>
      <c r="AT1375">
        <f>IF(OR(45&lt;='01_Вводные'!$B$15,45-'01_Вводные'!$B$15&gt;60),0,INDEX('19_Расчет_аналитики'!$B$1350:$BI$1350,1,45-'01_Вводные'!$B$15))*'01_Вводные'!$B$298*'01_Вводные'!$B$22</f>
        <v/>
      </c>
      <c r="AU1375">
        <f>IF(OR(46&lt;='01_Вводные'!$B$15,46-'01_Вводные'!$B$15&gt;60),0,INDEX('19_Расчет_аналитики'!$B$1350:$BI$1350,1,46-'01_Вводные'!$B$15))*'01_Вводные'!$B$298*'01_Вводные'!$B$22</f>
        <v/>
      </c>
      <c r="AV1375">
        <f>IF(OR(47&lt;='01_Вводные'!$B$15,47-'01_Вводные'!$B$15&gt;60),0,INDEX('19_Расчет_аналитики'!$B$1350:$BI$1350,1,47-'01_Вводные'!$B$15))*'01_Вводные'!$B$298*'01_Вводные'!$B$22</f>
        <v/>
      </c>
      <c r="AW1375">
        <f>IF(OR(48&lt;='01_Вводные'!$B$15,48-'01_Вводные'!$B$15&gt;60),0,INDEX('19_Расчет_аналитики'!$B$1350:$BI$1350,1,48-'01_Вводные'!$B$15))*'01_Вводные'!$B$298*'01_Вводные'!$B$22</f>
        <v/>
      </c>
      <c r="AX1375">
        <f>IF(OR(49&lt;='01_Вводные'!$B$15,49-'01_Вводные'!$B$15&gt;60),0,INDEX('19_Расчет_аналитики'!$B$1350:$BI$1350,1,49-'01_Вводные'!$B$15))*'01_Вводные'!$B$298*'01_Вводные'!$B$22</f>
        <v/>
      </c>
      <c r="AY1375">
        <f>IF(OR(50&lt;='01_Вводные'!$B$15,50-'01_Вводные'!$B$15&gt;60),0,INDEX('19_Расчет_аналитики'!$B$1350:$BI$1350,1,50-'01_Вводные'!$B$15))*'01_Вводные'!$B$298*'01_Вводные'!$B$22</f>
        <v/>
      </c>
      <c r="AZ1375">
        <f>IF(OR(51&lt;='01_Вводные'!$B$15,51-'01_Вводные'!$B$15&gt;60),0,INDEX('19_Расчет_аналитики'!$B$1350:$BI$1350,1,51-'01_Вводные'!$B$15))*'01_Вводные'!$B$298*'01_Вводные'!$B$22</f>
        <v/>
      </c>
      <c r="BA1375">
        <f>IF(OR(52&lt;='01_Вводные'!$B$15,52-'01_Вводные'!$B$15&gt;60),0,INDEX('19_Расчет_аналитики'!$B$1350:$BI$1350,1,52-'01_Вводные'!$B$15))*'01_Вводные'!$B$298*'01_Вводные'!$B$22</f>
        <v/>
      </c>
      <c r="BB1375">
        <f>IF(OR(53&lt;='01_Вводные'!$B$15,53-'01_Вводные'!$B$15&gt;60),0,INDEX('19_Расчет_аналитики'!$B$1350:$BI$1350,1,53-'01_Вводные'!$B$15))*'01_Вводные'!$B$298*'01_Вводные'!$B$22</f>
        <v/>
      </c>
      <c r="BC1375">
        <f>IF(OR(54&lt;='01_Вводные'!$B$15,54-'01_Вводные'!$B$15&gt;60),0,INDEX('19_Расчет_аналитики'!$B$1350:$BI$1350,1,54-'01_Вводные'!$B$15))*'01_Вводные'!$B$298*'01_Вводные'!$B$22</f>
        <v/>
      </c>
      <c r="BD1375">
        <f>IF(OR(55&lt;='01_Вводные'!$B$15,55-'01_Вводные'!$B$15&gt;60),0,INDEX('19_Расчет_аналитики'!$B$1350:$BI$1350,1,55-'01_Вводные'!$B$15))*'01_Вводные'!$B$298*'01_Вводные'!$B$22</f>
        <v/>
      </c>
      <c r="BE1375">
        <f>IF(OR(56&lt;='01_Вводные'!$B$15,56-'01_Вводные'!$B$15&gt;60),0,INDEX('19_Расчет_аналитики'!$B$1350:$BI$1350,1,56-'01_Вводные'!$B$15))*'01_Вводные'!$B$298*'01_Вводные'!$B$22</f>
        <v/>
      </c>
      <c r="BF1375">
        <f>IF(OR(57&lt;='01_Вводные'!$B$15,57-'01_Вводные'!$B$15&gt;60),0,INDEX('19_Расчет_аналитики'!$B$1350:$BI$1350,1,57-'01_Вводные'!$B$15))*'01_Вводные'!$B$298*'01_Вводные'!$B$22</f>
        <v/>
      </c>
      <c r="BG1375">
        <f>IF(OR(58&lt;='01_Вводные'!$B$15,58-'01_Вводные'!$B$15&gt;60),0,INDEX('19_Расчет_аналитики'!$B$1350:$BI$1350,1,58-'01_Вводные'!$B$15))*'01_Вводные'!$B$298*'01_Вводные'!$B$22</f>
        <v/>
      </c>
      <c r="BH1375">
        <f>IF(OR(59&lt;='01_Вводные'!$B$15,59-'01_Вводные'!$B$15&gt;60),0,INDEX('19_Расчет_аналитики'!$B$1350:$BI$1350,1,59-'01_Вводные'!$B$15))*'01_Вводные'!$B$298*'01_Вводные'!$B$22</f>
        <v/>
      </c>
      <c r="BI1375">
        <f>IF(OR(60&lt;='01_Вводные'!$B$15,60-'01_Вводные'!$B$15&gt;60),0,INDEX('19_Расчет_аналитики'!$B$1350:$BI$1350,1,60-'01_Вводные'!$B$15))*'01_Вводные'!$B$298*'01_Вводные'!$B$22</f>
        <v/>
      </c>
      <c r="BJ1375">
        <f>IF(OR(61&lt;='01_Вводные'!$B$15,61-'01_Вводные'!$B$15&gt;60),0,INDEX('19_Расчет_аналитики'!$B$1350:$BI$1350,1,61-'01_Вводные'!$B$15))*'01_Вводные'!$B$298*'01_Вводные'!$B$22</f>
        <v/>
      </c>
      <c r="BK1375">
        <f>IF(OR(62&lt;='01_Вводные'!$B$15,62-'01_Вводные'!$B$15&gt;60),0,INDEX('19_Расчет_аналитики'!$B$1350:$BI$1350,1,62-'01_Вводные'!$B$15))*'01_Вводные'!$B$298*'01_Вводные'!$B$22</f>
        <v/>
      </c>
      <c r="BL1375">
        <f>IF(OR(63&lt;='01_Вводные'!$B$15,63-'01_Вводные'!$B$15&gt;60),0,INDEX('19_Расчет_аналитики'!$B$1350:$BI$1350,1,63-'01_Вводные'!$B$15))*'01_Вводные'!$B$298*'01_Вводные'!$B$22</f>
        <v/>
      </c>
      <c r="BM1375">
        <f>IF(OR(64&lt;='01_Вводные'!$B$15,64-'01_Вводные'!$B$15&gt;60),0,INDEX('19_Расчет_аналитики'!$B$1350:$BI$1350,1,64-'01_Вводные'!$B$15))*'01_Вводные'!$B$298*'01_Вводные'!$B$22</f>
        <v/>
      </c>
      <c r="BN1375">
        <f>IF(OR(65&lt;='01_Вводные'!$B$15,65-'01_Вводные'!$B$15&gt;60),0,INDEX('19_Расчет_аналитики'!$B$1350:$BI$1350,1,65-'01_Вводные'!$B$15))*'01_Вводные'!$B$298*'01_Вводные'!$B$22</f>
        <v/>
      </c>
      <c r="BO1375">
        <f>IF(OR(66&lt;='01_Вводные'!$B$15,66-'01_Вводные'!$B$15&gt;60),0,INDEX('19_Расчет_аналитики'!$B$1350:$BI$1350,1,66-'01_Вводные'!$B$15))*'01_Вводные'!$B$298*'01_Вводные'!$B$22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SUMPRODUCT(('01_Вводные'!$D$314:$D$318*'01_Вводные'!$B$314:$B$318*IF('01_Вводные'!$B$9=0,0,'06_Сеть_и_дети'!B11/'01_Вводные'!$B$9)+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))/2)</f>
        <v/>
      </c>
      <c r="C1395">
        <f>SUMPRODUCT(('01_Вводные'!$D$314:$D$318*'01_Вводные'!$B$314:$B$318*IF('01_Вводные'!$B$9=0,0,'06_Сеть_и_дети'!C11/'01_Вводные'!$B$9)+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))/2)</f>
        <v/>
      </c>
      <c r="D1395">
        <f>SUMPRODUCT(('01_Вводные'!$D$314:$D$318*'01_Вводные'!$B$314:$B$318*IF('01_Вводные'!$B$9=0,0,'06_Сеть_и_дети'!D11/'01_Вводные'!$B$9)+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))/2)</f>
        <v/>
      </c>
      <c r="E1395">
        <f>SUMPRODUCT(('01_Вводные'!$D$314:$D$318*'01_Вводные'!$B$314:$B$318*IF('01_Вводные'!$B$9=0,0,'06_Сеть_и_дети'!E11/'01_Вводные'!$B$9)+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))/2)</f>
        <v/>
      </c>
      <c r="F1395">
        <f>SUMPRODUCT(('01_Вводные'!$D$314:$D$318*'01_Вводные'!$B$314:$B$318*IF('01_Вводные'!$B$9=0,0,'06_Сеть_и_дети'!F11/'01_Вводные'!$B$9)+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))/2)</f>
        <v/>
      </c>
      <c r="G1395">
        <f>SUMPRODUCT(('01_Вводные'!$D$314:$D$318*'01_Вводные'!$B$314:$B$318*IF('01_Вводные'!$B$9=0,0,'06_Сеть_и_дети'!G11/'01_Вводные'!$B$9)+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))/2)</f>
        <v/>
      </c>
      <c r="H1395">
        <f>SUMPRODUCT(('01_Вводные'!$D$314:$D$318*'01_Вводные'!$B$314:$B$318*IF('01_Вводные'!$B$9=0,0,'06_Сеть_и_дети'!H11/'01_Вводные'!$B$9)+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))/2)</f>
        <v/>
      </c>
      <c r="I1395">
        <f>SUMPRODUCT(('01_Вводные'!$D$314:$D$318*'01_Вводные'!$B$314:$B$318*IF('01_Вводные'!$B$9=0,0,'06_Сеть_и_дети'!I11/'01_Вводные'!$B$9)+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))/2)</f>
        <v/>
      </c>
      <c r="J1395">
        <f>SUMPRODUCT(('01_Вводные'!$D$314:$D$318*'01_Вводные'!$B$314:$B$318*IF('01_Вводные'!$B$9=0,0,'06_Сеть_и_дети'!J11/'01_Вводные'!$B$9)+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))/2)</f>
        <v/>
      </c>
      <c r="K1395">
        <f>SUMPRODUCT(('01_Вводные'!$D$314:$D$318*'01_Вводные'!$B$314:$B$318*IF('01_Вводные'!$B$9=0,0,'06_Сеть_и_дети'!K11/'01_Вводные'!$B$9)+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))/2)</f>
        <v/>
      </c>
      <c r="L1395">
        <f>SUMPRODUCT(('01_Вводные'!$D$314:$D$318*'01_Вводные'!$B$314:$B$318*IF('01_Вводные'!$B$9=0,0,'06_Сеть_и_дети'!L11/'01_Вводные'!$B$9)+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))/2)</f>
        <v/>
      </c>
      <c r="M1395">
        <f>SUMPRODUCT(('01_Вводные'!$D$314:$D$318*'01_Вводные'!$B$314:$B$318*IF('01_Вводные'!$B$9=0,0,'06_Сеть_и_дети'!M11/'01_Вводные'!$B$9)+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))/2)</f>
        <v/>
      </c>
      <c r="N1395">
        <f>SUMPRODUCT(('01_Вводные'!$D$314:$D$318*'01_Вводные'!$B$314:$B$318*IF('01_Вводные'!$B$9=0,0,'06_Сеть_и_дети'!N11/'01_Вводные'!$B$9)+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))/2)</f>
        <v/>
      </c>
      <c r="O1395">
        <f>SUMPRODUCT(('01_Вводные'!$D$314:$D$318*'01_Вводные'!$B$314:$B$318*IF('01_Вводные'!$B$9=0,0,'06_Сеть_и_дети'!O11/'01_Вводные'!$B$9)+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))/2)</f>
        <v/>
      </c>
      <c r="P1395">
        <f>SUMPRODUCT(('01_Вводные'!$D$314:$D$318*'01_Вводные'!$B$314:$B$318*IF('01_Вводные'!$B$9=0,0,'06_Сеть_и_дети'!P11/'01_Вводные'!$B$9)+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))/2)</f>
        <v/>
      </c>
      <c r="Q1395">
        <f>SUMPRODUCT(('01_Вводные'!$D$314:$D$318*'01_Вводные'!$B$314:$B$318*IF('01_Вводные'!$B$9=0,0,'06_Сеть_и_дети'!Q11/'01_Вводные'!$B$9)+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))/2)</f>
        <v/>
      </c>
      <c r="R1395">
        <f>SUMPRODUCT(('01_Вводные'!$D$314:$D$318*'01_Вводные'!$B$314:$B$318*IF('01_Вводные'!$B$9=0,0,'06_Сеть_и_дети'!R11/'01_Вводные'!$B$9)+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))/2)</f>
        <v/>
      </c>
      <c r="S1395">
        <f>SUMPRODUCT(('01_Вводные'!$D$314:$D$318*'01_Вводные'!$B$314:$B$318*IF('01_Вводные'!$B$9=0,0,'06_Сеть_и_дети'!S11/'01_Вводные'!$B$9)+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))/2)</f>
        <v/>
      </c>
      <c r="T1395">
        <f>SUMPRODUCT(('01_Вводные'!$D$314:$D$318*'01_Вводные'!$B$314:$B$318*IF('01_Вводные'!$B$9=0,0,'06_Сеть_и_дети'!T11/'01_Вводные'!$B$9)+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))/2)</f>
        <v/>
      </c>
      <c r="U1395">
        <f>SUMPRODUCT(('01_Вводные'!$D$314:$D$318*'01_Вводные'!$B$314:$B$318*IF('01_Вводные'!$B$9=0,0,'06_Сеть_и_дети'!U11/'01_Вводные'!$B$9)+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))/2)</f>
        <v/>
      </c>
      <c r="V1395">
        <f>SUMPRODUCT(('01_Вводные'!$D$314:$D$318*'01_Вводные'!$B$314:$B$318*IF('01_Вводные'!$B$9=0,0,'06_Сеть_и_дети'!V11/'01_Вводные'!$B$9)+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))/2)</f>
        <v/>
      </c>
      <c r="W1395">
        <f>SUMPRODUCT(('01_Вводные'!$D$314:$D$318*'01_Вводные'!$B$314:$B$318*IF('01_Вводные'!$B$9=0,0,'06_Сеть_и_дети'!W11/'01_Вводные'!$B$9)+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))/2)</f>
        <v/>
      </c>
      <c r="X1395">
        <f>SUMPRODUCT(('01_Вводные'!$D$314:$D$318*'01_Вводные'!$B$314:$B$318*IF('01_Вводные'!$B$9=0,0,'06_Сеть_и_дети'!X11/'01_Вводные'!$B$9)+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))/2)</f>
        <v/>
      </c>
      <c r="Y1395">
        <f>SUMPRODUCT(('01_Вводные'!$D$314:$D$318*'01_Вводные'!$B$314:$B$318*IF('01_Вводные'!$B$9=0,0,'06_Сеть_и_дети'!Y11/'01_Вводные'!$B$9)+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))/2)</f>
        <v/>
      </c>
      <c r="Z1395">
        <f>SUMPRODUCT(('01_Вводные'!$D$314:$D$318*'01_Вводные'!$B$314:$B$318*IF('01_Вводные'!$B$9=0,0,'06_Сеть_и_дети'!Z11/'01_Вводные'!$B$9)+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))/2)</f>
        <v/>
      </c>
      <c r="AA1395">
        <f>SUMPRODUCT(('01_Вводные'!$D$314:$D$318*'01_Вводные'!$B$314:$B$318*IF('01_Вводные'!$B$9=0,0,'06_Сеть_и_дети'!AA11/'01_Вводные'!$B$9)+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))/2)</f>
        <v/>
      </c>
      <c r="AB1395">
        <f>SUMPRODUCT(('01_Вводные'!$D$314:$D$318*'01_Вводные'!$B$314:$B$318*IF('01_Вводные'!$B$9=0,0,'06_Сеть_и_дети'!AB11/'01_Вводные'!$B$9)+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))/2)</f>
        <v/>
      </c>
      <c r="AC1395">
        <f>SUMPRODUCT(('01_Вводные'!$D$314:$D$318*'01_Вводные'!$B$314:$B$318*IF('01_Вводные'!$B$9=0,0,'06_Сеть_и_дети'!AC11/'01_Вводные'!$B$9)+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))/2)</f>
        <v/>
      </c>
      <c r="AD1395">
        <f>SUMPRODUCT(('01_Вводные'!$D$314:$D$318*'01_Вводные'!$B$314:$B$318*IF('01_Вводные'!$B$9=0,0,'06_Сеть_и_дети'!AD11/'01_Вводные'!$B$9)+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))/2)</f>
        <v/>
      </c>
      <c r="AE1395">
        <f>SUMPRODUCT(('01_Вводные'!$D$314:$D$318*'01_Вводные'!$B$314:$B$318*IF('01_Вводные'!$B$9=0,0,'06_Сеть_и_дети'!AE11/'01_Вводные'!$B$9)+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))/2)</f>
        <v/>
      </c>
      <c r="AF1395">
        <f>SUMPRODUCT(('01_Вводные'!$D$314:$D$318*'01_Вводные'!$B$314:$B$318*IF('01_Вводные'!$B$9=0,0,'06_Сеть_и_дети'!AF11/'01_Вводные'!$B$9)+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))/2)</f>
        <v/>
      </c>
      <c r="AG1395">
        <f>SUMPRODUCT(('01_Вводные'!$D$314:$D$318*'01_Вводные'!$B$314:$B$318*IF('01_Вводные'!$B$9=0,0,'06_Сеть_и_дети'!AG11/'01_Вводные'!$B$9)+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))/2)</f>
        <v/>
      </c>
      <c r="AH1395">
        <f>SUMPRODUCT(('01_Вводные'!$D$314:$D$318*'01_Вводные'!$B$314:$B$318*IF('01_Вводные'!$B$9=0,0,'06_Сеть_и_дети'!AH11/'01_Вводные'!$B$9)+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))/2)</f>
        <v/>
      </c>
      <c r="AI1395">
        <f>SUMPRODUCT(('01_Вводные'!$D$314:$D$318*'01_Вводные'!$B$314:$B$318*IF('01_Вводные'!$B$9=0,0,'06_Сеть_и_дети'!AI11/'01_Вводные'!$B$9)+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))/2)</f>
        <v/>
      </c>
      <c r="AJ1395">
        <f>SUMPRODUCT(('01_Вводные'!$D$314:$D$318*'01_Вводные'!$B$314:$B$318*IF('01_Вводные'!$B$9=0,0,'06_Сеть_и_дети'!AJ11/'01_Вводные'!$B$9)+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))/2)</f>
        <v/>
      </c>
      <c r="AK1395">
        <f>SUMPRODUCT(('01_Вводные'!$D$314:$D$318*'01_Вводные'!$B$314:$B$318*IF('01_Вводные'!$B$9=0,0,'06_Сеть_и_дети'!AK11/'01_Вводные'!$B$9)+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))/2)</f>
        <v/>
      </c>
      <c r="AL1395">
        <f>SUMPRODUCT(('01_Вводные'!$D$314:$D$318*'01_Вводные'!$B$314:$B$318*IF('01_Вводные'!$B$9=0,0,'06_Сеть_и_дети'!AL11/'01_Вводные'!$B$9)+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))/2)</f>
        <v/>
      </c>
      <c r="AM1395">
        <f>SUMPRODUCT(('01_Вводные'!$D$314:$D$318*'01_Вводные'!$B$314:$B$318*IF('01_Вводные'!$B$9=0,0,'06_Сеть_и_дети'!AM11/'01_Вводные'!$B$9)+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))/2)</f>
        <v/>
      </c>
      <c r="AN1395">
        <f>SUMPRODUCT(('01_Вводные'!$D$314:$D$318*'01_Вводные'!$B$314:$B$318*IF('01_Вводные'!$B$9=0,0,'06_Сеть_и_дети'!AN11/'01_Вводные'!$B$9)+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))/2)</f>
        <v/>
      </c>
      <c r="AO1395">
        <f>SUMPRODUCT(('01_Вводные'!$D$314:$D$318*'01_Вводные'!$B$314:$B$318*IF('01_Вводные'!$B$9=0,0,'06_Сеть_и_дети'!AO11/'01_Вводные'!$B$9)+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))/2)</f>
        <v/>
      </c>
      <c r="AP1395">
        <f>SUMPRODUCT(('01_Вводные'!$D$314:$D$318*'01_Вводные'!$B$314:$B$318*IF('01_Вводные'!$B$9=0,0,'06_Сеть_и_дети'!AP11/'01_Вводные'!$B$9)+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))/2)</f>
        <v/>
      </c>
      <c r="AQ1395">
        <f>SUMPRODUCT(('01_Вводные'!$D$314:$D$318*'01_Вводные'!$B$314:$B$318*IF('01_Вводные'!$B$9=0,0,'06_Сеть_и_дети'!AQ11/'01_Вводные'!$B$9)+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))/2)</f>
        <v/>
      </c>
      <c r="AR1395">
        <f>SUMPRODUCT(('01_Вводные'!$D$314:$D$318*'01_Вводные'!$B$314:$B$318*IF('01_Вводные'!$B$9=0,0,'06_Сеть_и_дети'!AR11/'01_Вводные'!$B$9)+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))/2)</f>
        <v/>
      </c>
      <c r="AS1395">
        <f>SUMPRODUCT(('01_Вводные'!$D$314:$D$318*'01_Вводные'!$B$314:$B$318*IF('01_Вводные'!$B$9=0,0,'06_Сеть_и_дети'!AS11/'01_Вводные'!$B$9)+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))/2)</f>
        <v/>
      </c>
      <c r="AT1395">
        <f>SUMPRODUCT(('01_Вводные'!$D$314:$D$318*'01_Вводные'!$B$314:$B$318*IF('01_Вводные'!$B$9=0,0,'06_Сеть_и_дети'!AT11/'01_Вводные'!$B$9)+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))/2)</f>
        <v/>
      </c>
      <c r="AU1395">
        <f>SUMPRODUCT(('01_Вводные'!$D$314:$D$318*'01_Вводные'!$B$314:$B$318*IF('01_Вводные'!$B$9=0,0,'06_Сеть_и_дети'!AU11/'01_Вводные'!$B$9)+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))/2)</f>
        <v/>
      </c>
      <c r="AV1395">
        <f>SUMPRODUCT(('01_Вводные'!$D$314:$D$318*'01_Вводные'!$B$314:$B$318*IF('01_Вводные'!$B$9=0,0,'06_Сеть_и_дети'!AV11/'01_Вводные'!$B$9)+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))/2)</f>
        <v/>
      </c>
      <c r="AW1395">
        <f>SUMPRODUCT(('01_Вводные'!$D$314:$D$318*'01_Вводные'!$B$314:$B$318*IF('01_Вводные'!$B$9=0,0,'06_Сеть_и_дети'!AW11/'01_Вводные'!$B$9)+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))/2)</f>
        <v/>
      </c>
      <c r="AX1395">
        <f>SUMPRODUCT(('01_Вводные'!$D$314:$D$318*'01_Вводные'!$B$314:$B$318*IF('01_Вводные'!$B$9=0,0,'06_Сеть_и_дети'!AX11/'01_Вводные'!$B$9)+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))/2)</f>
        <v/>
      </c>
      <c r="AY1395">
        <f>SUMPRODUCT(('01_Вводные'!$D$314:$D$318*'01_Вводные'!$B$314:$B$318*IF('01_Вводные'!$B$9=0,0,'06_Сеть_и_дети'!AY11/'01_Вводные'!$B$9)+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))/2)</f>
        <v/>
      </c>
      <c r="AZ1395">
        <f>SUMPRODUCT(('01_Вводные'!$D$314:$D$318*'01_Вводные'!$B$314:$B$318*IF('01_Вводные'!$B$9=0,0,'06_Сеть_и_дети'!AZ11/'01_Вводные'!$B$9)+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))/2)</f>
        <v/>
      </c>
      <c r="BA1395">
        <f>SUMPRODUCT(('01_Вводные'!$D$314:$D$318*'01_Вводные'!$B$314:$B$318*IF('01_Вводные'!$B$9=0,0,'06_Сеть_и_дети'!BA11/'01_Вводные'!$B$9)+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))/2)</f>
        <v/>
      </c>
      <c r="BB1395">
        <f>SUMPRODUCT(('01_Вводные'!$D$314:$D$318*'01_Вводные'!$B$314:$B$318*IF('01_Вводные'!$B$9=0,0,'06_Сеть_и_дети'!BB11/'01_Вводные'!$B$9)+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))/2)</f>
        <v/>
      </c>
      <c r="BC1395">
        <f>SUMPRODUCT(('01_Вводные'!$D$314:$D$318*'01_Вводные'!$B$314:$B$318*IF('01_Вводные'!$B$9=0,0,'06_Сеть_и_дети'!BC11/'01_Вводные'!$B$9)+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))/2)</f>
        <v/>
      </c>
      <c r="BD1395">
        <f>SUMPRODUCT(('01_Вводные'!$D$314:$D$318*'01_Вводные'!$B$314:$B$318*IF('01_Вводные'!$B$9=0,0,'06_Сеть_и_дети'!BD11/'01_Вводные'!$B$9)+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))/2)</f>
        <v/>
      </c>
      <c r="BE1395">
        <f>SUMPRODUCT(('01_Вводные'!$D$314:$D$318*'01_Вводные'!$B$314:$B$318*IF('01_Вводные'!$B$9=0,0,'06_Сеть_и_дети'!BE11/'01_Вводные'!$B$9)+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))/2)</f>
        <v/>
      </c>
      <c r="BF1395">
        <f>SUMPRODUCT(('01_Вводные'!$D$314:$D$318*'01_Вводные'!$B$314:$B$318*IF('01_Вводные'!$B$9=0,0,'06_Сеть_и_дети'!BF11/'01_Вводные'!$B$9)+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))/2)</f>
        <v/>
      </c>
      <c r="BG1395">
        <f>SUMPRODUCT(('01_Вводные'!$D$314:$D$318*'01_Вводные'!$B$314:$B$318*IF('01_Вводные'!$B$9=0,0,'06_Сеть_и_дети'!BG11/'01_Вводные'!$B$9)+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))/2)</f>
        <v/>
      </c>
      <c r="BH1395">
        <f>SUMPRODUCT(('01_Вводные'!$D$314:$D$318*'01_Вводные'!$B$314:$B$318*IF('01_Вводные'!$B$9=0,0,'06_Сеть_и_дети'!BH11/'01_Вводные'!$B$9)+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))/2)</f>
        <v/>
      </c>
      <c r="BI1395">
        <f>SUMPRODUCT(('01_Вводные'!$D$314:$D$318*'01_Вводные'!$B$314:$B$318*IF('01_Вводные'!$B$9=0,0,'06_Сеть_и_дети'!BI11/'01_Вводные'!$B$9)+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))/2)</f>
        <v/>
      </c>
      <c r="BJ1395">
        <f>SUMPRODUCT(('01_Вводные'!$D$314:$D$318*'01_Вводные'!$B$314:$B$318*IF('01_Вводные'!$B$9=0,0,'06_Сеть_и_дети'!BJ11/'01_Вводные'!$B$9)+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))/2)</f>
        <v/>
      </c>
      <c r="BK1395">
        <f>SUMPRODUCT(('01_Вводные'!$D$314:$D$318*'01_Вводные'!$B$314:$B$318*IF('01_Вводные'!$B$9=0,0,'06_Сеть_и_дети'!BK11/'01_Вводные'!$B$9)+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))/2)</f>
        <v/>
      </c>
      <c r="BL1395">
        <f>SUMPRODUCT(('01_Вводные'!$D$314:$D$318*'01_Вводные'!$B$314:$B$318*IF('01_Вводные'!$B$9=0,0,'06_Сеть_и_дети'!BL11/'01_Вводные'!$B$9)+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))/2)</f>
        <v/>
      </c>
      <c r="BM1395">
        <f>SUMPRODUCT(('01_Вводные'!$D$314:$D$318*'01_Вводные'!$B$314:$B$318*IF('01_Вводные'!$B$9=0,0,'06_Сеть_и_дети'!BM11/'01_Вводные'!$B$9)+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))/2)</f>
        <v/>
      </c>
      <c r="BN1395">
        <f>SUMPRODUCT(('01_Вводные'!$D$314:$D$318*'01_Вводные'!$B$314:$B$318*IF('01_Вводные'!$B$9=0,0,'06_Сеть_и_дети'!BN11/'01_Вводные'!$B$9)+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))/2)</f>
        <v/>
      </c>
      <c r="BO1395">
        <f>SUMPRODUCT(('01_Вводные'!$D$314:$D$318*'01_Вводные'!$B$314:$B$318*IF('01_Вводные'!$B$9=0,0,'06_Сеть_и_дети'!BO11/'01_Вводные'!$B$9)+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IF('19_Расчет_аналитики'!C1350&gt;=2,'19_Расчет_аналитики'!C1361*'01_Вводные'!$B$125/(1+'01_Вводные'!$B$131),0)</f>
        <v/>
      </c>
      <c r="D1666">
        <f>IF('19_Расчет_аналитики'!D1350&gt;=2,'19_Расчет_аналитики'!D1361*'01_Вводные'!$B$125/(1+'01_Вводные'!$B$131),0)</f>
        <v/>
      </c>
      <c r="E1666">
        <f>IF('19_Расчет_аналитики'!E1350&gt;=2,'19_Расчет_аналитики'!E1361*'01_Вводные'!$B$125/(1+'01_Вводные'!$B$131),0)</f>
        <v/>
      </c>
      <c r="F1666">
        <f>IF('19_Расчет_аналитики'!F1350&gt;=2,'19_Расчет_аналитики'!F1361*'01_Вводные'!$B$125/(1+'01_Вводные'!$B$131),0)</f>
        <v/>
      </c>
      <c r="G1666">
        <f>IF('19_Расчет_аналитики'!G1350&gt;=2,'19_Расчет_аналитики'!G1361*'01_Вводные'!$B$125/(1+'01_Вводные'!$B$131),0)</f>
        <v/>
      </c>
      <c r="H1666">
        <f>IF('19_Расчет_аналитики'!H1350&gt;=2,'19_Расчет_аналитики'!H1361*'01_Вводные'!$B$125/(1+'01_Вводные'!$B$131),0)</f>
        <v/>
      </c>
      <c r="I1666">
        <f>IF('19_Расчет_аналитики'!I1350&gt;=2,'19_Расчет_аналитики'!I1361*'01_Вводные'!$B$125/(1+'01_Вводные'!$B$131),0)</f>
        <v/>
      </c>
      <c r="J1666">
        <f>IF('19_Расчет_аналитики'!J1350&gt;=2,'19_Расчет_аналитики'!J1361*'01_Вводные'!$B$125/(1+'01_Вводные'!$B$131),0)</f>
        <v/>
      </c>
      <c r="K1666">
        <f>IF('19_Расчет_аналитики'!K1350&gt;=2,'19_Расчет_аналитики'!K1361*'01_Вводные'!$B$125/(1+'01_Вводные'!$B$131),0)</f>
        <v/>
      </c>
      <c r="L1666">
        <f>IF('19_Расчет_аналитики'!L1350&gt;=2,'19_Расчет_аналитики'!L1361*'01_Вводные'!$B$125/(1+'01_Вводные'!$B$131),0)</f>
        <v/>
      </c>
      <c r="M1666">
        <f>IF('19_Расчет_аналитики'!M1350&gt;=2,'19_Расчет_аналитики'!M1361*'01_Вводные'!$B$125/(1+'01_Вводные'!$B$131),0)</f>
        <v/>
      </c>
      <c r="N1666">
        <f>IF('19_Расчет_аналитики'!N1350&gt;=2,'19_Расчет_аналитики'!N1361*'01_Вводные'!$B$125/(1+'01_Вводные'!$B$131),0)</f>
        <v/>
      </c>
      <c r="O1666">
        <f>IF('19_Расчет_аналитики'!O1350&gt;=2,'19_Расчет_аналитики'!O1361*'01_Вводные'!$B$125/(1+'01_Вводные'!$B$131),0)</f>
        <v/>
      </c>
      <c r="P1666">
        <f>IF('19_Расчет_аналитики'!P1350&gt;=2,'19_Расчет_аналитики'!P1361*'01_Вводные'!$B$125/(1+'01_Вводные'!$B$131),0)</f>
        <v/>
      </c>
      <c r="Q1666">
        <f>IF('19_Расчет_аналитики'!Q1350&gt;=2,'19_Расчет_аналитики'!Q1361*'01_Вводные'!$B$125/(1+'01_Вводные'!$B$131),0)</f>
        <v/>
      </c>
      <c r="R1666">
        <f>IF('19_Расчет_аналитики'!R1350&gt;=2,'19_Расчет_аналитики'!R1361*'01_Вводные'!$B$125/(1+'01_Вводные'!$B$131),0)</f>
        <v/>
      </c>
      <c r="S1666">
        <f>IF('19_Расчет_аналитики'!S1350&gt;=2,'19_Расчет_аналитики'!S1361*'01_Вводные'!$B$125/(1+'01_Вводные'!$B$131),0)</f>
        <v/>
      </c>
      <c r="T1666">
        <f>IF('19_Расчет_аналитики'!T1350&gt;=2,'19_Расчет_аналитики'!T1361*'01_Вводные'!$B$125/(1+'01_Вводные'!$B$131),0)</f>
        <v/>
      </c>
      <c r="U1666">
        <f>IF('19_Расчет_аналитики'!U1350&gt;=2,'19_Расчет_аналитики'!U1361*'01_Вводные'!$B$125/(1+'01_Вводные'!$B$131),0)</f>
        <v/>
      </c>
      <c r="V1666">
        <f>IF('19_Расчет_аналитики'!V1350&gt;=2,'19_Расчет_аналитики'!V1361*'01_Вводные'!$B$125/(1+'01_Вводные'!$B$131),0)</f>
        <v/>
      </c>
      <c r="W1666">
        <f>IF('19_Расчет_аналитики'!W1350&gt;=2,'19_Расчет_аналитики'!W1361*'01_Вводные'!$B$125/(1+'01_Вводные'!$B$131),0)</f>
        <v/>
      </c>
      <c r="X1666">
        <f>IF('19_Расчет_аналитики'!X1350&gt;=2,'19_Расчет_аналитики'!X1361*'01_Вводные'!$B$125/(1+'01_Вводные'!$B$131),0)</f>
        <v/>
      </c>
      <c r="Y1666">
        <f>IF('19_Расчет_аналитики'!Y1350&gt;=2,'19_Расчет_аналитики'!Y1361*'01_Вводные'!$B$125/(1+'01_Вводные'!$B$131),0)</f>
        <v/>
      </c>
      <c r="Z1666">
        <f>IF('19_Расчет_аналитики'!Z1350&gt;=2,'19_Расчет_аналитики'!Z1361*'01_Вводные'!$B$125/(1+'01_Вводные'!$B$131),0)</f>
        <v/>
      </c>
      <c r="AA1666">
        <f>IF('19_Расчет_аналитики'!AA1350&gt;=2,'19_Расчет_аналитики'!AA1361*'01_Вводные'!$B$125/(1+'01_Вводные'!$B$131),0)</f>
        <v/>
      </c>
      <c r="AB1666">
        <f>IF('19_Расчет_аналитики'!AB1350&gt;=2,'19_Расчет_аналитики'!AB1361*'01_Вводные'!$B$125/(1+'01_Вводные'!$B$131),0)</f>
        <v/>
      </c>
      <c r="AC1666">
        <f>IF('19_Расчет_аналитики'!AC1350&gt;=2,'19_Расчет_аналитики'!AC1361*'01_Вводные'!$B$125/(1+'01_Вводные'!$B$131),0)</f>
        <v/>
      </c>
      <c r="AD1666">
        <f>IF('19_Расчет_аналитики'!AD1350&gt;=2,'19_Расчет_аналитики'!AD1361*'01_Вводные'!$B$125/(1+'01_Вводные'!$B$131),0)</f>
        <v/>
      </c>
      <c r="AE1666">
        <f>IF('19_Расчет_аналитики'!AE1350&gt;=2,'19_Расчет_аналитики'!AE1361*'01_Вводные'!$B$125/(1+'01_Вводные'!$B$131),0)</f>
        <v/>
      </c>
      <c r="AF1666">
        <f>IF('19_Расчет_аналитики'!AF1350&gt;=2,'19_Расчет_аналитики'!AF1361*'01_Вводные'!$B$125/(1+'01_Вводные'!$B$131),0)</f>
        <v/>
      </c>
      <c r="AG1666">
        <f>IF('19_Расчет_аналитики'!AG1350&gt;=2,'19_Расчет_аналитики'!AG1361*'01_Вводные'!$B$125/(1+'01_Вводные'!$B$131),0)</f>
        <v/>
      </c>
      <c r="AH1666">
        <f>IF('19_Расчет_аналитики'!AH1350&gt;=2,'19_Расчет_аналитики'!AH1361*'01_Вводные'!$B$125/(1+'01_Вводные'!$B$131),0)</f>
        <v/>
      </c>
      <c r="AI1666">
        <f>IF('19_Расчет_аналитики'!AI1350&gt;=2,'19_Расчет_аналитики'!AI1361*'01_Вводные'!$B$125/(1+'01_Вводные'!$B$131),0)</f>
        <v/>
      </c>
      <c r="AJ1666">
        <f>IF('19_Расчет_аналитики'!AJ1350&gt;=2,'19_Расчет_аналитики'!AJ1361*'01_Вводные'!$B$125/(1+'01_Вводные'!$B$131),0)</f>
        <v/>
      </c>
      <c r="AK1666">
        <f>IF('19_Расчет_аналитики'!AK1350&gt;=2,'19_Расчет_аналитики'!AK1361*'01_Вводные'!$B$125/(1+'01_Вводные'!$B$131),0)</f>
        <v/>
      </c>
      <c r="AL1666">
        <f>IF('19_Расчет_аналитики'!AL1350&gt;=2,'19_Расчет_аналитики'!AL1361*'01_Вводные'!$B$125/(1+'01_Вводные'!$B$131),0)</f>
        <v/>
      </c>
      <c r="AM1666">
        <f>IF('19_Расчет_аналитики'!AM1350&gt;=2,'19_Расчет_аналитики'!AM1361*'01_Вводные'!$B$125/(1+'01_Вводные'!$B$131),0)</f>
        <v/>
      </c>
      <c r="AN1666">
        <f>IF('19_Расчет_аналитики'!AN1350&gt;=2,'19_Расчет_аналитики'!AN1361*'01_Вводные'!$B$125/(1+'01_Вводные'!$B$131),0)</f>
        <v/>
      </c>
      <c r="AO1666">
        <f>IF('19_Расчет_аналитики'!AO1350&gt;=2,'19_Расчет_аналитики'!AO1361*'01_Вводные'!$B$125/(1+'01_Вводные'!$B$131),0)</f>
        <v/>
      </c>
      <c r="AP1666">
        <f>IF('19_Расчет_аналитики'!AP1350&gt;=2,'19_Расчет_аналитики'!AP1361*'01_Вводные'!$B$125/(1+'01_Вводные'!$B$131),0)</f>
        <v/>
      </c>
      <c r="AQ1666">
        <f>IF('19_Расчет_аналитики'!AQ1350&gt;=2,'19_Расчет_аналитики'!AQ1361*'01_Вводные'!$B$125/(1+'01_Вводные'!$B$131),0)</f>
        <v/>
      </c>
      <c r="AR1666">
        <f>IF('19_Расчет_аналитики'!AR1350&gt;=2,'19_Расчет_аналитики'!AR1361*'01_Вводные'!$B$125/(1+'01_Вводные'!$B$131),0)</f>
        <v/>
      </c>
      <c r="AS1666">
        <f>IF('19_Расчет_аналитики'!AS1350&gt;=2,'19_Расчет_аналитики'!AS1361*'01_Вводные'!$B$125/(1+'01_Вводные'!$B$131),0)</f>
        <v/>
      </c>
      <c r="AT1666">
        <f>IF('19_Расчет_аналитики'!AT1350&gt;=2,'19_Расчет_аналитики'!AT1361*'01_Вводные'!$B$125/(1+'01_Вводные'!$B$131),0)</f>
        <v/>
      </c>
      <c r="AU1666">
        <f>IF('19_Расчет_аналитики'!AU1350&gt;=2,'19_Расчет_аналитики'!AU1361*'01_Вводные'!$B$125/(1+'01_Вводные'!$B$131),0)</f>
        <v/>
      </c>
      <c r="AV1666">
        <f>IF('19_Расчет_аналитики'!AV1350&gt;=2,'19_Расчет_аналитики'!AV1361*'01_Вводные'!$B$125/(1+'01_Вводные'!$B$131),0)</f>
        <v/>
      </c>
      <c r="AW1666">
        <f>IF('19_Расчет_аналитики'!AW1350&gt;=2,'19_Расчет_аналитики'!AW1361*'01_Вводные'!$B$125/(1+'01_Вводные'!$B$131),0)</f>
        <v/>
      </c>
      <c r="AX1666">
        <f>IF('19_Расчет_аналитики'!AX1350&gt;=2,'19_Расчет_аналитики'!AX1361*'01_Вводные'!$B$125/(1+'01_Вводные'!$B$131),0)</f>
        <v/>
      </c>
      <c r="AY1666">
        <f>IF('19_Расчет_аналитики'!AY1350&gt;=2,'19_Расчет_аналитики'!AY1361*'01_Вводные'!$B$125/(1+'01_Вводные'!$B$131),0)</f>
        <v/>
      </c>
      <c r="AZ1666">
        <f>IF('19_Расчет_аналитики'!AZ1350&gt;=2,'19_Расчет_аналитики'!AZ1361*'01_Вводные'!$B$125/(1+'01_Вводные'!$B$131),0)</f>
        <v/>
      </c>
      <c r="BA1666">
        <f>IF('19_Расчет_аналитики'!BA1350&gt;=2,'19_Расчет_аналитики'!BA1361*'01_Вводные'!$B$125/(1+'01_Вводные'!$B$131),0)</f>
        <v/>
      </c>
      <c r="BB1666">
        <f>IF('19_Расчет_аналитики'!BB1350&gt;=2,'19_Расчет_аналитики'!BB1361*'01_Вводные'!$B$125/(1+'01_Вводные'!$B$131),0)</f>
        <v/>
      </c>
      <c r="BC1666">
        <f>IF('19_Расчет_аналитики'!BC1350&gt;=2,'19_Расчет_аналитики'!BC1361*'01_Вводные'!$B$125/(1+'01_Вводные'!$B$131),0)</f>
        <v/>
      </c>
      <c r="BD1666">
        <f>IF('19_Расчет_аналитики'!BD1350&gt;=2,'19_Расчет_аналитики'!BD1361*'01_Вводные'!$B$125/(1+'01_Вводные'!$B$131),0)</f>
        <v/>
      </c>
      <c r="BE1666">
        <f>IF('19_Расчет_аналитики'!BE1350&gt;=2,'19_Расчет_аналитики'!BE1361*'01_Вводные'!$B$125/(1+'01_Вводные'!$B$131),0)</f>
        <v/>
      </c>
      <c r="BF1666">
        <f>IF('19_Расчет_аналитики'!BF1350&gt;=2,'19_Расчет_аналитики'!BF1361*'01_Вводные'!$B$125/(1+'01_Вводные'!$B$131),0)</f>
        <v/>
      </c>
      <c r="BG1666">
        <f>IF('19_Расчет_аналитики'!BG1350&gt;=2,'19_Расчет_аналитики'!BG1361*'01_Вводные'!$B$125/(1+'01_Вводные'!$B$131),0)</f>
        <v/>
      </c>
      <c r="BH1666">
        <f>IF('19_Расчет_аналитики'!BH1350&gt;=2,'19_Расчет_аналитики'!BH1361*'01_Вводные'!$B$125/(1+'01_Вводные'!$B$131),0)</f>
        <v/>
      </c>
      <c r="BI1666">
        <f>IF('19_Расчет_аналитики'!BI1350&gt;=2,'19_Расчет_аналитики'!BI1361*'01_Вводные'!$B$125/(1+'01_Вводные'!$B$131),0)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IF(OR(1&lt;='01_Вводные'!$B$15,1-'01_Вводные'!$B$15&gt;60),0,INDEX('19_Расчет_аналитики'!$B$2362:$BI$2362,1,1-'01_Вводные'!$B$15))*'01_Вводные'!$B$298*'01_Вводные'!$B$22</f>
        <v/>
      </c>
      <c r="C2387">
        <f>IF(OR(2&lt;='01_Вводные'!$B$15,2-'01_Вводные'!$B$15&gt;60),0,INDEX('19_Расчет_аналитики'!$B$2362:$BI$2362,1,2-'01_Вводные'!$B$15))*'01_Вводные'!$B$298*'01_Вводные'!$B$22</f>
        <v/>
      </c>
      <c r="D2387">
        <f>IF(OR(3&lt;='01_Вводные'!$B$15,3-'01_Вводные'!$B$15&gt;60),0,INDEX('19_Расчет_аналитики'!$B$2362:$BI$2362,1,3-'01_Вводные'!$B$15))*'01_Вводные'!$B$298*'01_Вводные'!$B$22</f>
        <v/>
      </c>
      <c r="E2387">
        <f>IF(OR(4&lt;='01_Вводные'!$B$15,4-'01_Вводные'!$B$15&gt;60),0,INDEX('19_Расчет_аналитики'!$B$2362:$BI$2362,1,4-'01_Вводные'!$B$15))*'01_Вводные'!$B$298*'01_Вводные'!$B$22</f>
        <v/>
      </c>
      <c r="F2387">
        <f>IF(OR(5&lt;='01_Вводные'!$B$15,5-'01_Вводные'!$B$15&gt;60),0,INDEX('19_Расчет_аналитики'!$B$2362:$BI$2362,1,5-'01_Вводные'!$B$15))*'01_Вводные'!$B$298*'01_Вводные'!$B$22</f>
        <v/>
      </c>
      <c r="G2387">
        <f>IF(OR(6&lt;='01_Вводные'!$B$15,6-'01_Вводные'!$B$15&gt;60),0,INDEX('19_Расчет_аналитики'!$B$2362:$BI$2362,1,6-'01_Вводные'!$B$15))*'01_Вводные'!$B$298*'01_Вводные'!$B$22</f>
        <v/>
      </c>
      <c r="H2387">
        <f>IF(OR(7&lt;='01_Вводные'!$B$15,7-'01_Вводные'!$B$15&gt;60),0,INDEX('19_Расчет_аналитики'!$B$2362:$BI$2362,1,7-'01_Вводные'!$B$15))*'01_Вводные'!$B$298*'01_Вводные'!$B$22</f>
        <v/>
      </c>
      <c r="I2387">
        <f>IF(OR(8&lt;='01_Вводные'!$B$15,8-'01_Вводные'!$B$15&gt;60),0,INDEX('19_Расчет_аналитики'!$B$2362:$BI$2362,1,8-'01_Вводные'!$B$15))*'01_Вводные'!$B$298*'01_Вводные'!$B$22</f>
        <v/>
      </c>
      <c r="J2387">
        <f>IF(OR(9&lt;='01_Вводные'!$B$15,9-'01_Вводные'!$B$15&gt;60),0,INDEX('19_Расчет_аналитики'!$B$2362:$BI$2362,1,9-'01_Вводные'!$B$15))*'01_Вводные'!$B$298*'01_Вводные'!$B$22</f>
        <v/>
      </c>
      <c r="K2387">
        <f>IF(OR(10&lt;='01_Вводные'!$B$15,10-'01_Вводные'!$B$15&gt;60),0,INDEX('19_Расчет_аналитики'!$B$2362:$BI$2362,1,10-'01_Вводные'!$B$15))*'01_Вводные'!$B$298*'01_Вводные'!$B$22</f>
        <v/>
      </c>
      <c r="L2387">
        <f>IF(OR(11&lt;='01_Вводные'!$B$15,11-'01_Вводные'!$B$15&gt;60),0,INDEX('19_Расчет_аналитики'!$B$2362:$BI$2362,1,11-'01_Вводные'!$B$15))*'01_Вводные'!$B$298*'01_Вводные'!$B$22</f>
        <v/>
      </c>
      <c r="M2387">
        <f>IF(OR(12&lt;='01_Вводные'!$B$15,12-'01_Вводные'!$B$15&gt;60),0,INDEX('19_Расчет_аналитики'!$B$2362:$BI$2362,1,12-'01_Вводные'!$B$15))*'01_Вводные'!$B$298*'01_Вводные'!$B$22</f>
        <v/>
      </c>
      <c r="N2387">
        <f>IF(OR(13&lt;='01_Вводные'!$B$15,13-'01_Вводные'!$B$15&gt;60),0,INDEX('19_Расчет_аналитики'!$B$2362:$BI$2362,1,13-'01_Вводные'!$B$15))*'01_Вводные'!$B$298*'01_Вводные'!$B$22</f>
        <v/>
      </c>
      <c r="O2387">
        <f>IF(OR(14&lt;='01_Вводные'!$B$15,14-'01_Вводные'!$B$15&gt;60),0,INDEX('19_Расчет_аналитики'!$B$2362:$BI$2362,1,14-'01_Вводные'!$B$15))*'01_Вводные'!$B$298*'01_Вводные'!$B$22</f>
        <v/>
      </c>
      <c r="P2387">
        <f>IF(OR(15&lt;='01_Вводные'!$B$15,15-'01_Вводные'!$B$15&gt;60),0,INDEX('19_Расчет_аналитики'!$B$2362:$BI$2362,1,15-'01_Вводные'!$B$15))*'01_Вводные'!$B$298*'01_Вводные'!$B$22</f>
        <v/>
      </c>
      <c r="Q2387">
        <f>IF(OR(16&lt;='01_Вводные'!$B$15,16-'01_Вводные'!$B$15&gt;60),0,INDEX('19_Расчет_аналитики'!$B$2362:$BI$2362,1,16-'01_Вводные'!$B$15))*'01_Вводные'!$B$298*'01_Вводные'!$B$22</f>
        <v/>
      </c>
      <c r="R2387">
        <f>IF(OR(17&lt;='01_Вводные'!$B$15,17-'01_Вводные'!$B$15&gt;60),0,INDEX('19_Расчет_аналитики'!$B$2362:$BI$2362,1,17-'01_Вводные'!$B$15))*'01_Вводные'!$B$298*'01_Вводные'!$B$22</f>
        <v/>
      </c>
      <c r="S2387">
        <f>IF(OR(18&lt;='01_Вводные'!$B$15,18-'01_Вводные'!$B$15&gt;60),0,INDEX('19_Расчет_аналитики'!$B$2362:$BI$2362,1,18-'01_Вводные'!$B$15))*'01_Вводные'!$B$298*'01_Вводные'!$B$22</f>
        <v/>
      </c>
      <c r="T2387">
        <f>IF(OR(19&lt;='01_Вводные'!$B$15,19-'01_Вводные'!$B$15&gt;60),0,INDEX('19_Расчет_аналитики'!$B$2362:$BI$2362,1,19-'01_Вводные'!$B$15))*'01_Вводные'!$B$298*'01_Вводные'!$B$22</f>
        <v/>
      </c>
      <c r="U2387">
        <f>IF(OR(20&lt;='01_Вводные'!$B$15,20-'01_Вводные'!$B$15&gt;60),0,INDEX('19_Расчет_аналитики'!$B$2362:$BI$2362,1,20-'01_Вводные'!$B$15))*'01_Вводные'!$B$298*'01_Вводные'!$B$22</f>
        <v/>
      </c>
      <c r="V2387">
        <f>IF(OR(21&lt;='01_Вводные'!$B$15,21-'01_Вводные'!$B$15&gt;60),0,INDEX('19_Расчет_аналитики'!$B$2362:$BI$2362,1,21-'01_Вводные'!$B$15))*'01_Вводные'!$B$298*'01_Вводные'!$B$22</f>
        <v/>
      </c>
      <c r="W2387">
        <f>IF(OR(22&lt;='01_Вводные'!$B$15,22-'01_Вводные'!$B$15&gt;60),0,INDEX('19_Расчет_аналитики'!$B$2362:$BI$2362,1,22-'01_Вводные'!$B$15))*'01_Вводные'!$B$298*'01_Вводные'!$B$22</f>
        <v/>
      </c>
      <c r="X2387">
        <f>IF(OR(23&lt;='01_Вводные'!$B$15,23-'01_Вводные'!$B$15&gt;60),0,INDEX('19_Расчет_аналитики'!$B$2362:$BI$2362,1,23-'01_Вводные'!$B$15))*'01_Вводные'!$B$298*'01_Вводные'!$B$22</f>
        <v/>
      </c>
      <c r="Y2387">
        <f>IF(OR(24&lt;='01_Вводные'!$B$15,24-'01_Вводные'!$B$15&gt;60),0,INDEX('19_Расчет_аналитики'!$B$2362:$BI$2362,1,24-'01_Вводные'!$B$15))*'01_Вводные'!$B$298*'01_Вводные'!$B$22</f>
        <v/>
      </c>
      <c r="Z2387">
        <f>IF(OR(25&lt;='01_Вводные'!$B$15,25-'01_Вводные'!$B$15&gt;60),0,INDEX('19_Расчет_аналитики'!$B$2362:$BI$2362,1,25-'01_Вводные'!$B$15))*'01_Вводные'!$B$298*'01_Вводные'!$B$22</f>
        <v/>
      </c>
      <c r="AA2387">
        <f>IF(OR(26&lt;='01_Вводные'!$B$15,26-'01_Вводные'!$B$15&gt;60),0,INDEX('19_Расчет_аналитики'!$B$2362:$BI$2362,1,26-'01_Вводные'!$B$15))*'01_Вводные'!$B$298*'01_Вводные'!$B$22</f>
        <v/>
      </c>
      <c r="AB2387">
        <f>IF(OR(27&lt;='01_Вводные'!$B$15,27-'01_Вводные'!$B$15&gt;60),0,INDEX('19_Расчет_аналитики'!$B$2362:$BI$2362,1,27-'01_Вводные'!$B$15))*'01_Вводные'!$B$298*'01_Вводные'!$B$22</f>
        <v/>
      </c>
      <c r="AC2387">
        <f>IF(OR(28&lt;='01_Вводные'!$B$15,28-'01_Вводные'!$B$15&gt;60),0,INDEX('19_Расчет_аналитики'!$B$2362:$BI$2362,1,28-'01_Вводные'!$B$15))*'01_Вводные'!$B$298*'01_Вводные'!$B$22</f>
        <v/>
      </c>
      <c r="AD2387">
        <f>IF(OR(29&lt;='01_Вводные'!$B$15,29-'01_Вводные'!$B$15&gt;60),0,INDEX('19_Расчет_аналитики'!$B$2362:$BI$2362,1,29-'01_Вводные'!$B$15))*'01_Вводные'!$B$298*'01_Вводные'!$B$22</f>
        <v/>
      </c>
      <c r="AE2387">
        <f>IF(OR(30&lt;='01_Вводные'!$B$15,30-'01_Вводные'!$B$15&gt;60),0,INDEX('19_Расчет_аналитики'!$B$2362:$BI$2362,1,30-'01_Вводные'!$B$15))*'01_Вводные'!$B$298*'01_Вводные'!$B$22</f>
        <v/>
      </c>
      <c r="AF2387">
        <f>IF(OR(31&lt;='01_Вводные'!$B$15,31-'01_Вводные'!$B$15&gt;60),0,INDEX('19_Расчет_аналитики'!$B$2362:$BI$2362,1,31-'01_Вводные'!$B$15))*'01_Вводные'!$B$298*'01_Вводные'!$B$22</f>
        <v/>
      </c>
      <c r="AG2387">
        <f>IF(OR(32&lt;='01_Вводные'!$B$15,32-'01_Вводные'!$B$15&gt;60),0,INDEX('19_Расчет_аналитики'!$B$2362:$BI$2362,1,32-'01_Вводные'!$B$15))*'01_Вводные'!$B$298*'01_Вводные'!$B$22</f>
        <v/>
      </c>
      <c r="AH2387">
        <f>IF(OR(33&lt;='01_Вводные'!$B$15,33-'01_Вводные'!$B$15&gt;60),0,INDEX('19_Расчет_аналитики'!$B$2362:$BI$2362,1,33-'01_Вводные'!$B$15))*'01_Вводные'!$B$298*'01_Вводные'!$B$22</f>
        <v/>
      </c>
      <c r="AI2387">
        <f>IF(OR(34&lt;='01_Вводные'!$B$15,34-'01_Вводные'!$B$15&gt;60),0,INDEX('19_Расчет_аналитики'!$B$2362:$BI$2362,1,34-'01_Вводные'!$B$15))*'01_Вводные'!$B$298*'01_Вводные'!$B$22</f>
        <v/>
      </c>
      <c r="AJ2387">
        <f>IF(OR(35&lt;='01_Вводные'!$B$15,35-'01_Вводные'!$B$15&gt;60),0,INDEX('19_Расчет_аналитики'!$B$2362:$BI$2362,1,35-'01_Вводные'!$B$15))*'01_Вводные'!$B$298*'01_Вводные'!$B$22</f>
        <v/>
      </c>
      <c r="AK2387">
        <f>IF(OR(36&lt;='01_Вводные'!$B$15,36-'01_Вводные'!$B$15&gt;60),0,INDEX('19_Расчет_аналитики'!$B$2362:$BI$2362,1,36-'01_Вводные'!$B$15))*'01_Вводные'!$B$298*'01_Вводные'!$B$22</f>
        <v/>
      </c>
      <c r="AL2387">
        <f>IF(OR(37&lt;='01_Вводные'!$B$15,37-'01_Вводные'!$B$15&gt;60),0,INDEX('19_Расчет_аналитики'!$B$2362:$BI$2362,1,37-'01_Вводные'!$B$15))*'01_Вводные'!$B$298*'01_Вводные'!$B$22</f>
        <v/>
      </c>
      <c r="AM2387">
        <f>IF(OR(38&lt;='01_Вводные'!$B$15,38-'01_Вводные'!$B$15&gt;60),0,INDEX('19_Расчет_аналитики'!$B$2362:$BI$2362,1,38-'01_Вводные'!$B$15))*'01_Вводные'!$B$298*'01_Вводные'!$B$22</f>
        <v/>
      </c>
      <c r="AN2387">
        <f>IF(OR(39&lt;='01_Вводные'!$B$15,39-'01_Вводные'!$B$15&gt;60),0,INDEX('19_Расчет_аналитики'!$B$2362:$BI$2362,1,39-'01_Вводные'!$B$15))*'01_Вводные'!$B$298*'01_Вводные'!$B$22</f>
        <v/>
      </c>
      <c r="AO2387">
        <f>IF(OR(40&lt;='01_Вводные'!$B$15,40-'01_Вводные'!$B$15&gt;60),0,INDEX('19_Расчет_аналитики'!$B$2362:$BI$2362,1,40-'01_Вводные'!$B$15))*'01_Вводные'!$B$298*'01_Вводные'!$B$22</f>
        <v/>
      </c>
      <c r="AP2387">
        <f>IF(OR(41&lt;='01_Вводные'!$B$15,41-'01_Вводные'!$B$15&gt;60),0,INDEX('19_Расчет_аналитики'!$B$2362:$BI$2362,1,41-'01_Вводные'!$B$15))*'01_Вводные'!$B$298*'01_Вводные'!$B$22</f>
        <v/>
      </c>
      <c r="AQ2387">
        <f>IF(OR(42&lt;='01_Вводные'!$B$15,42-'01_Вводные'!$B$15&gt;60),0,INDEX('19_Расчет_аналитики'!$B$2362:$BI$2362,1,42-'01_Вводные'!$B$15))*'01_Вводные'!$B$298*'01_Вводные'!$B$22</f>
        <v/>
      </c>
      <c r="AR2387">
        <f>IF(OR(43&lt;='01_Вводные'!$B$15,43-'01_Вводные'!$B$15&gt;60),0,INDEX('19_Расчет_аналитики'!$B$2362:$BI$2362,1,43-'01_Вводные'!$B$15))*'01_Вводные'!$B$298*'01_Вводные'!$B$22</f>
        <v/>
      </c>
      <c r="AS2387">
        <f>IF(OR(44&lt;='01_Вводные'!$B$15,44-'01_Вводные'!$B$15&gt;60),0,INDEX('19_Расчет_аналитики'!$B$2362:$BI$2362,1,44-'01_Вводные'!$B$15))*'01_Вводные'!$B$298*'01_Вводные'!$B$22</f>
        <v/>
      </c>
      <c r="AT2387">
        <f>IF(OR(45&lt;='01_Вводные'!$B$15,45-'01_Вводные'!$B$15&gt;60),0,INDEX('19_Расчет_аналитики'!$B$2362:$BI$2362,1,45-'01_Вводные'!$B$15))*'01_Вводные'!$B$298*'01_Вводные'!$B$22</f>
        <v/>
      </c>
      <c r="AU2387">
        <f>IF(OR(46&lt;='01_Вводные'!$B$15,46-'01_Вводные'!$B$15&gt;60),0,INDEX('19_Расчет_аналитики'!$B$2362:$BI$2362,1,46-'01_Вводные'!$B$15))*'01_Вводные'!$B$298*'01_Вводные'!$B$22</f>
        <v/>
      </c>
      <c r="AV2387">
        <f>IF(OR(47&lt;='01_Вводные'!$B$15,47-'01_Вводные'!$B$15&gt;60),0,INDEX('19_Расчет_аналитики'!$B$2362:$BI$2362,1,47-'01_Вводные'!$B$15))*'01_Вводные'!$B$298*'01_Вводные'!$B$22</f>
        <v/>
      </c>
      <c r="AW2387">
        <f>IF(OR(48&lt;='01_Вводные'!$B$15,48-'01_Вводные'!$B$15&gt;60),0,INDEX('19_Расчет_аналитики'!$B$2362:$BI$2362,1,48-'01_Вводные'!$B$15))*'01_Вводные'!$B$298*'01_Вводные'!$B$22</f>
        <v/>
      </c>
      <c r="AX2387">
        <f>IF(OR(49&lt;='01_Вводные'!$B$15,49-'01_Вводные'!$B$15&gt;60),0,INDEX('19_Расчет_аналитики'!$B$2362:$BI$2362,1,49-'01_Вводные'!$B$15))*'01_Вводные'!$B$298*'01_Вводные'!$B$22</f>
        <v/>
      </c>
      <c r="AY2387">
        <f>IF(OR(50&lt;='01_Вводные'!$B$15,50-'01_Вводные'!$B$15&gt;60),0,INDEX('19_Расчет_аналитики'!$B$2362:$BI$2362,1,50-'01_Вводные'!$B$15))*'01_Вводные'!$B$298*'01_Вводные'!$B$22</f>
        <v/>
      </c>
      <c r="AZ2387">
        <f>IF(OR(51&lt;='01_Вводные'!$B$15,51-'01_Вводные'!$B$15&gt;60),0,INDEX('19_Расчет_аналитики'!$B$2362:$BI$2362,1,51-'01_Вводные'!$B$15))*'01_Вводные'!$B$298*'01_Вводные'!$B$22</f>
        <v/>
      </c>
      <c r="BA2387">
        <f>IF(OR(52&lt;='01_Вводные'!$B$15,52-'01_Вводные'!$B$15&gt;60),0,INDEX('19_Расчет_аналитики'!$B$2362:$BI$2362,1,52-'01_Вводные'!$B$15))*'01_Вводные'!$B$298*'01_Вводные'!$B$22</f>
        <v/>
      </c>
      <c r="BB2387">
        <f>IF(OR(53&lt;='01_Вводные'!$B$15,53-'01_Вводные'!$B$15&gt;60),0,INDEX('19_Расчет_аналитики'!$B$2362:$BI$2362,1,53-'01_Вводные'!$B$15))*'01_Вводные'!$B$298*'01_Вводные'!$B$22</f>
        <v/>
      </c>
      <c r="BC2387">
        <f>IF(OR(54&lt;='01_Вводные'!$B$15,54-'01_Вводные'!$B$15&gt;60),0,INDEX('19_Расчет_аналитики'!$B$2362:$BI$2362,1,54-'01_Вводные'!$B$15))*'01_Вводные'!$B$298*'01_Вводные'!$B$22</f>
        <v/>
      </c>
      <c r="BD2387">
        <f>IF(OR(55&lt;='01_Вводные'!$B$15,55-'01_Вводные'!$B$15&gt;60),0,INDEX('19_Расчет_аналитики'!$B$2362:$BI$2362,1,55-'01_Вводные'!$B$15))*'01_Вводные'!$B$298*'01_Вводные'!$B$22</f>
        <v/>
      </c>
      <c r="BE2387">
        <f>IF(OR(56&lt;='01_Вводные'!$B$15,56-'01_Вводные'!$B$15&gt;60),0,INDEX('19_Расчет_аналитики'!$B$2362:$BI$2362,1,56-'01_Вводные'!$B$15))*'01_Вводные'!$B$298*'01_Вводные'!$B$22</f>
        <v/>
      </c>
      <c r="BF2387">
        <f>IF(OR(57&lt;='01_Вводные'!$B$15,57-'01_Вводные'!$B$15&gt;60),0,INDEX('19_Расчет_аналитики'!$B$2362:$BI$2362,1,57-'01_Вводные'!$B$15))*'01_Вводные'!$B$298*'01_Вводные'!$B$22</f>
        <v/>
      </c>
      <c r="BG2387">
        <f>IF(OR(58&lt;='01_Вводные'!$B$15,58-'01_Вводные'!$B$15&gt;60),0,INDEX('19_Расчет_аналитики'!$B$2362:$BI$2362,1,58-'01_Вводные'!$B$15))*'01_Вводные'!$B$298*'01_Вводные'!$B$22</f>
        <v/>
      </c>
      <c r="BH2387">
        <f>IF(OR(59&lt;='01_Вводные'!$B$15,59-'01_Вводные'!$B$15&gt;60),0,INDEX('19_Расчет_аналитики'!$B$2362:$BI$2362,1,59-'01_Вводные'!$B$15))*'01_Вводные'!$B$298*'01_Вводные'!$B$22</f>
        <v/>
      </c>
      <c r="BI2387">
        <f>IF(OR(60&lt;='01_Вводные'!$B$15,60-'01_Вводные'!$B$15&gt;60),0,INDEX('19_Расчет_аналитики'!$B$2362:$BI$2362,1,60-'01_Вводные'!$B$15))*'01_Вводные'!$B$298*'01_Вводные'!$B$22</f>
        <v/>
      </c>
      <c r="BJ2387">
        <f>IF(OR(61&lt;='01_Вводные'!$B$15,61-'01_Вводные'!$B$15&gt;60),0,INDEX('19_Расчет_аналитики'!$B$2362:$BI$2362,1,61-'01_Вводные'!$B$15))*'01_Вводные'!$B$298*'01_Вводные'!$B$22</f>
        <v/>
      </c>
      <c r="BK2387">
        <f>IF(OR(62&lt;='01_Вводные'!$B$15,62-'01_Вводные'!$B$15&gt;60),0,INDEX('19_Расчет_аналитики'!$B$2362:$BI$2362,1,62-'01_Вводные'!$B$15))*'01_Вводные'!$B$298*'01_Вводные'!$B$22</f>
        <v/>
      </c>
      <c r="BL2387">
        <f>IF(OR(63&lt;='01_Вводные'!$B$15,63-'01_Вводные'!$B$15&gt;60),0,INDEX('19_Расчет_аналитики'!$B$2362:$BI$2362,1,63-'01_Вводные'!$B$15))*'01_Вводные'!$B$298*'01_Вводные'!$B$22</f>
        <v/>
      </c>
      <c r="BM2387">
        <f>IF(OR(64&lt;='01_Вводные'!$B$15,64-'01_Вводные'!$B$15&gt;60),0,INDEX('19_Расчет_аналитики'!$B$2362:$BI$2362,1,64-'01_Вводные'!$B$15))*'01_Вводные'!$B$298*'01_Вводные'!$B$22</f>
        <v/>
      </c>
      <c r="BN2387">
        <f>IF(OR(65&lt;='01_Вводные'!$B$15,65-'01_Вводные'!$B$15&gt;60),0,INDEX('19_Расчет_аналитики'!$B$2362:$BI$2362,1,65-'01_Вводные'!$B$15))*'01_Вводные'!$B$298*'01_Вводные'!$B$22</f>
        <v/>
      </c>
      <c r="BO2387">
        <f>IF(OR(66&lt;='01_Вводные'!$B$15,66-'01_Вводные'!$B$15&gt;60),0,INDEX('19_Расчет_аналитики'!$B$2362:$BI$2362,1,66-'01_Вводные'!$B$15))*'01_Вводные'!$B$298*'01_Вводные'!$B$22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SUMPRODUCT(('01_Вводные'!$D$314:$D$318*'01_Вводные'!$B$314:$B$318*IF('01_Вводные'!$B$9=0,0,'06_Сеть_и_дети'!B11/'01_Вводные'!$B$9)+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))/2)</f>
        <v/>
      </c>
      <c r="C2407">
        <f>SUMPRODUCT(('01_Вводные'!$D$314:$D$318*'01_Вводные'!$B$314:$B$318*IF('01_Вводные'!$B$9=0,0,'06_Сеть_и_дети'!C11/'01_Вводные'!$B$9)+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))/2)</f>
        <v/>
      </c>
      <c r="D2407">
        <f>SUMPRODUCT(('01_Вводные'!$D$314:$D$318*'01_Вводные'!$B$314:$B$318*IF('01_Вводные'!$B$9=0,0,'06_Сеть_и_дети'!D11/'01_Вводные'!$B$9)+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))/2)</f>
        <v/>
      </c>
      <c r="E2407">
        <f>SUMPRODUCT(('01_Вводные'!$D$314:$D$318*'01_Вводные'!$B$314:$B$318*IF('01_Вводные'!$B$9=0,0,'06_Сеть_и_дети'!E11/'01_Вводные'!$B$9)+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))/2)</f>
        <v/>
      </c>
      <c r="F2407">
        <f>SUMPRODUCT(('01_Вводные'!$D$314:$D$318*'01_Вводные'!$B$314:$B$318*IF('01_Вводные'!$B$9=0,0,'06_Сеть_и_дети'!F11/'01_Вводные'!$B$9)+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))/2)</f>
        <v/>
      </c>
      <c r="G2407">
        <f>SUMPRODUCT(('01_Вводные'!$D$314:$D$318*'01_Вводные'!$B$314:$B$318*IF('01_Вводные'!$B$9=0,0,'06_Сеть_и_дети'!G11/'01_Вводные'!$B$9)+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))/2)</f>
        <v/>
      </c>
      <c r="H2407">
        <f>SUMPRODUCT(('01_Вводные'!$D$314:$D$318*'01_Вводные'!$B$314:$B$318*IF('01_Вводные'!$B$9=0,0,'06_Сеть_и_дети'!H11/'01_Вводные'!$B$9)+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))/2)</f>
        <v/>
      </c>
      <c r="I2407">
        <f>SUMPRODUCT(('01_Вводные'!$D$314:$D$318*'01_Вводные'!$B$314:$B$318*IF('01_Вводные'!$B$9=0,0,'06_Сеть_и_дети'!I11/'01_Вводные'!$B$9)+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))/2)</f>
        <v/>
      </c>
      <c r="J2407">
        <f>SUMPRODUCT(('01_Вводные'!$D$314:$D$318*'01_Вводные'!$B$314:$B$318*IF('01_Вводные'!$B$9=0,0,'06_Сеть_и_дети'!J11/'01_Вводные'!$B$9)+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))/2)</f>
        <v/>
      </c>
      <c r="K2407">
        <f>SUMPRODUCT(('01_Вводные'!$D$314:$D$318*'01_Вводные'!$B$314:$B$318*IF('01_Вводные'!$B$9=0,0,'06_Сеть_и_дети'!K11/'01_Вводные'!$B$9)+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))/2)</f>
        <v/>
      </c>
      <c r="L2407">
        <f>SUMPRODUCT(('01_Вводные'!$D$314:$D$318*'01_Вводные'!$B$314:$B$318*IF('01_Вводные'!$B$9=0,0,'06_Сеть_и_дети'!L11/'01_Вводные'!$B$9)+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))/2)</f>
        <v/>
      </c>
      <c r="M2407">
        <f>SUMPRODUCT(('01_Вводные'!$D$314:$D$318*'01_Вводные'!$B$314:$B$318*IF('01_Вводные'!$B$9=0,0,'06_Сеть_и_дети'!M11/'01_Вводные'!$B$9)+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))/2)</f>
        <v/>
      </c>
      <c r="N2407">
        <f>SUMPRODUCT(('01_Вводные'!$D$314:$D$318*'01_Вводные'!$B$314:$B$318*IF('01_Вводные'!$B$9=0,0,'06_Сеть_и_дети'!N11/'01_Вводные'!$B$9)+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))/2)</f>
        <v/>
      </c>
      <c r="O2407">
        <f>SUMPRODUCT(('01_Вводные'!$D$314:$D$318*'01_Вводные'!$B$314:$B$318*IF('01_Вводные'!$B$9=0,0,'06_Сеть_и_дети'!O11/'01_Вводные'!$B$9)+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))/2)</f>
        <v/>
      </c>
      <c r="P2407">
        <f>SUMPRODUCT(('01_Вводные'!$D$314:$D$318*'01_Вводные'!$B$314:$B$318*IF('01_Вводные'!$B$9=0,0,'06_Сеть_и_дети'!P11/'01_Вводные'!$B$9)+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))/2)</f>
        <v/>
      </c>
      <c r="Q2407">
        <f>SUMPRODUCT(('01_Вводные'!$D$314:$D$318*'01_Вводные'!$B$314:$B$318*IF('01_Вводные'!$B$9=0,0,'06_Сеть_и_дети'!Q11/'01_Вводные'!$B$9)+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))/2)</f>
        <v/>
      </c>
      <c r="R2407">
        <f>SUMPRODUCT(('01_Вводные'!$D$314:$D$318*'01_Вводные'!$B$314:$B$318*IF('01_Вводные'!$B$9=0,0,'06_Сеть_и_дети'!R11/'01_Вводные'!$B$9)+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))/2)</f>
        <v/>
      </c>
      <c r="S2407">
        <f>SUMPRODUCT(('01_Вводные'!$D$314:$D$318*'01_Вводные'!$B$314:$B$318*IF('01_Вводные'!$B$9=0,0,'06_Сеть_и_дети'!S11/'01_Вводные'!$B$9)+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))/2)</f>
        <v/>
      </c>
      <c r="T2407">
        <f>SUMPRODUCT(('01_Вводные'!$D$314:$D$318*'01_Вводные'!$B$314:$B$318*IF('01_Вводные'!$B$9=0,0,'06_Сеть_и_дети'!T11/'01_Вводные'!$B$9)+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))/2)</f>
        <v/>
      </c>
      <c r="U2407">
        <f>SUMPRODUCT(('01_Вводные'!$D$314:$D$318*'01_Вводные'!$B$314:$B$318*IF('01_Вводные'!$B$9=0,0,'06_Сеть_и_дети'!U11/'01_Вводные'!$B$9)+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))/2)</f>
        <v/>
      </c>
      <c r="V2407">
        <f>SUMPRODUCT(('01_Вводные'!$D$314:$D$318*'01_Вводные'!$B$314:$B$318*IF('01_Вводные'!$B$9=0,0,'06_Сеть_и_дети'!V11/'01_Вводные'!$B$9)+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))/2)</f>
        <v/>
      </c>
      <c r="W2407">
        <f>SUMPRODUCT(('01_Вводные'!$D$314:$D$318*'01_Вводные'!$B$314:$B$318*IF('01_Вводные'!$B$9=0,0,'06_Сеть_и_дети'!W11/'01_Вводные'!$B$9)+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))/2)</f>
        <v/>
      </c>
      <c r="X2407">
        <f>SUMPRODUCT(('01_Вводные'!$D$314:$D$318*'01_Вводные'!$B$314:$B$318*IF('01_Вводные'!$B$9=0,0,'06_Сеть_и_дети'!X11/'01_Вводные'!$B$9)+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))/2)</f>
        <v/>
      </c>
      <c r="Y2407">
        <f>SUMPRODUCT(('01_Вводные'!$D$314:$D$318*'01_Вводные'!$B$314:$B$318*IF('01_Вводные'!$B$9=0,0,'06_Сеть_и_дети'!Y11/'01_Вводные'!$B$9)+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))/2)</f>
        <v/>
      </c>
      <c r="Z2407">
        <f>SUMPRODUCT(('01_Вводные'!$D$314:$D$318*'01_Вводные'!$B$314:$B$318*IF('01_Вводные'!$B$9=0,0,'06_Сеть_и_дети'!Z11/'01_Вводные'!$B$9)+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))/2)</f>
        <v/>
      </c>
      <c r="AA2407">
        <f>SUMPRODUCT(('01_Вводные'!$D$314:$D$318*'01_Вводные'!$B$314:$B$318*IF('01_Вводные'!$B$9=0,0,'06_Сеть_и_дети'!AA11/'01_Вводные'!$B$9)+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))/2)</f>
        <v/>
      </c>
      <c r="AB2407">
        <f>SUMPRODUCT(('01_Вводные'!$D$314:$D$318*'01_Вводные'!$B$314:$B$318*IF('01_Вводные'!$B$9=0,0,'06_Сеть_и_дети'!AB11/'01_Вводные'!$B$9)+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))/2)</f>
        <v/>
      </c>
      <c r="AC2407">
        <f>SUMPRODUCT(('01_Вводные'!$D$314:$D$318*'01_Вводные'!$B$314:$B$318*IF('01_Вводные'!$B$9=0,0,'06_Сеть_и_дети'!AC11/'01_Вводные'!$B$9)+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))/2)</f>
        <v/>
      </c>
      <c r="AD2407">
        <f>SUMPRODUCT(('01_Вводные'!$D$314:$D$318*'01_Вводные'!$B$314:$B$318*IF('01_Вводные'!$B$9=0,0,'06_Сеть_и_дети'!AD11/'01_Вводные'!$B$9)+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))/2)</f>
        <v/>
      </c>
      <c r="AE2407">
        <f>SUMPRODUCT(('01_Вводные'!$D$314:$D$318*'01_Вводные'!$B$314:$B$318*IF('01_Вводные'!$B$9=0,0,'06_Сеть_и_дети'!AE11/'01_Вводные'!$B$9)+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))/2)</f>
        <v/>
      </c>
      <c r="AF2407">
        <f>SUMPRODUCT(('01_Вводные'!$D$314:$D$318*'01_Вводные'!$B$314:$B$318*IF('01_Вводные'!$B$9=0,0,'06_Сеть_и_дети'!AF11/'01_Вводные'!$B$9)+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))/2)</f>
        <v/>
      </c>
      <c r="AG2407">
        <f>SUMPRODUCT(('01_Вводные'!$D$314:$D$318*'01_Вводные'!$B$314:$B$318*IF('01_Вводные'!$B$9=0,0,'06_Сеть_и_дети'!AG11/'01_Вводные'!$B$9)+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))/2)</f>
        <v/>
      </c>
      <c r="AH2407">
        <f>SUMPRODUCT(('01_Вводные'!$D$314:$D$318*'01_Вводные'!$B$314:$B$318*IF('01_Вводные'!$B$9=0,0,'06_Сеть_и_дети'!AH11/'01_Вводные'!$B$9)+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))/2)</f>
        <v/>
      </c>
      <c r="AI2407">
        <f>SUMPRODUCT(('01_Вводные'!$D$314:$D$318*'01_Вводные'!$B$314:$B$318*IF('01_Вводные'!$B$9=0,0,'06_Сеть_и_дети'!AI11/'01_Вводные'!$B$9)+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))/2)</f>
        <v/>
      </c>
      <c r="AJ2407">
        <f>SUMPRODUCT(('01_Вводные'!$D$314:$D$318*'01_Вводные'!$B$314:$B$318*IF('01_Вводные'!$B$9=0,0,'06_Сеть_и_дети'!AJ11/'01_Вводные'!$B$9)+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))/2)</f>
        <v/>
      </c>
      <c r="AK2407">
        <f>SUMPRODUCT(('01_Вводные'!$D$314:$D$318*'01_Вводные'!$B$314:$B$318*IF('01_Вводные'!$B$9=0,0,'06_Сеть_и_дети'!AK11/'01_Вводные'!$B$9)+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))/2)</f>
        <v/>
      </c>
      <c r="AL2407">
        <f>SUMPRODUCT(('01_Вводные'!$D$314:$D$318*'01_Вводные'!$B$314:$B$318*IF('01_Вводные'!$B$9=0,0,'06_Сеть_и_дети'!AL11/'01_Вводные'!$B$9)+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))/2)</f>
        <v/>
      </c>
      <c r="AM2407">
        <f>SUMPRODUCT(('01_Вводные'!$D$314:$D$318*'01_Вводные'!$B$314:$B$318*IF('01_Вводные'!$B$9=0,0,'06_Сеть_и_дети'!AM11/'01_Вводные'!$B$9)+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))/2)</f>
        <v/>
      </c>
      <c r="AN2407">
        <f>SUMPRODUCT(('01_Вводные'!$D$314:$D$318*'01_Вводные'!$B$314:$B$318*IF('01_Вводные'!$B$9=0,0,'06_Сеть_и_дети'!AN11/'01_Вводные'!$B$9)+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))/2)</f>
        <v/>
      </c>
      <c r="AO2407">
        <f>SUMPRODUCT(('01_Вводные'!$D$314:$D$318*'01_Вводные'!$B$314:$B$318*IF('01_Вводные'!$B$9=0,0,'06_Сеть_и_дети'!AO11/'01_Вводные'!$B$9)+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))/2)</f>
        <v/>
      </c>
      <c r="AP2407">
        <f>SUMPRODUCT(('01_Вводные'!$D$314:$D$318*'01_Вводные'!$B$314:$B$318*IF('01_Вводные'!$B$9=0,0,'06_Сеть_и_дети'!AP11/'01_Вводные'!$B$9)+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))/2)</f>
        <v/>
      </c>
      <c r="AQ2407">
        <f>SUMPRODUCT(('01_Вводные'!$D$314:$D$318*'01_Вводные'!$B$314:$B$318*IF('01_Вводные'!$B$9=0,0,'06_Сеть_и_дети'!AQ11/'01_Вводные'!$B$9)+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))/2)</f>
        <v/>
      </c>
      <c r="AR2407">
        <f>SUMPRODUCT(('01_Вводные'!$D$314:$D$318*'01_Вводные'!$B$314:$B$318*IF('01_Вводные'!$B$9=0,0,'06_Сеть_и_дети'!AR11/'01_Вводные'!$B$9)+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))/2)</f>
        <v/>
      </c>
      <c r="AS2407">
        <f>SUMPRODUCT(('01_Вводные'!$D$314:$D$318*'01_Вводные'!$B$314:$B$318*IF('01_Вводные'!$B$9=0,0,'06_Сеть_и_дети'!AS11/'01_Вводные'!$B$9)+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))/2)</f>
        <v/>
      </c>
      <c r="AT2407">
        <f>SUMPRODUCT(('01_Вводные'!$D$314:$D$318*'01_Вводные'!$B$314:$B$318*IF('01_Вводные'!$B$9=0,0,'06_Сеть_и_дети'!AT11/'01_Вводные'!$B$9)+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))/2)</f>
        <v/>
      </c>
      <c r="AU2407">
        <f>SUMPRODUCT(('01_Вводные'!$D$314:$D$318*'01_Вводные'!$B$314:$B$318*IF('01_Вводные'!$B$9=0,0,'06_Сеть_и_дети'!AU11/'01_Вводные'!$B$9)+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))/2)</f>
        <v/>
      </c>
      <c r="AV2407">
        <f>SUMPRODUCT(('01_Вводные'!$D$314:$D$318*'01_Вводные'!$B$314:$B$318*IF('01_Вводные'!$B$9=0,0,'06_Сеть_и_дети'!AV11/'01_Вводные'!$B$9)+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))/2)</f>
        <v/>
      </c>
      <c r="AW2407">
        <f>SUMPRODUCT(('01_Вводные'!$D$314:$D$318*'01_Вводные'!$B$314:$B$318*IF('01_Вводные'!$B$9=0,0,'06_Сеть_и_дети'!AW11/'01_Вводные'!$B$9)+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))/2)</f>
        <v/>
      </c>
      <c r="AX2407">
        <f>SUMPRODUCT(('01_Вводные'!$D$314:$D$318*'01_Вводные'!$B$314:$B$318*IF('01_Вводные'!$B$9=0,0,'06_Сеть_и_дети'!AX11/'01_Вводные'!$B$9)+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))/2)</f>
        <v/>
      </c>
      <c r="AY2407">
        <f>SUMPRODUCT(('01_Вводные'!$D$314:$D$318*'01_Вводные'!$B$314:$B$318*IF('01_Вводные'!$B$9=0,0,'06_Сеть_и_дети'!AY11/'01_Вводные'!$B$9)+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))/2)</f>
        <v/>
      </c>
      <c r="AZ2407">
        <f>SUMPRODUCT(('01_Вводные'!$D$314:$D$318*'01_Вводные'!$B$314:$B$318*IF('01_Вводные'!$B$9=0,0,'06_Сеть_и_дети'!AZ11/'01_Вводные'!$B$9)+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))/2)</f>
        <v/>
      </c>
      <c r="BA2407">
        <f>SUMPRODUCT(('01_Вводные'!$D$314:$D$318*'01_Вводные'!$B$314:$B$318*IF('01_Вводные'!$B$9=0,0,'06_Сеть_и_дети'!BA11/'01_Вводные'!$B$9)+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))/2)</f>
        <v/>
      </c>
      <c r="BB2407">
        <f>SUMPRODUCT(('01_Вводные'!$D$314:$D$318*'01_Вводные'!$B$314:$B$318*IF('01_Вводные'!$B$9=0,0,'06_Сеть_и_дети'!BB11/'01_Вводные'!$B$9)+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))/2)</f>
        <v/>
      </c>
      <c r="BC2407">
        <f>SUMPRODUCT(('01_Вводные'!$D$314:$D$318*'01_Вводные'!$B$314:$B$318*IF('01_Вводные'!$B$9=0,0,'06_Сеть_и_дети'!BC11/'01_Вводные'!$B$9)+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))/2)</f>
        <v/>
      </c>
      <c r="BD2407">
        <f>SUMPRODUCT(('01_Вводные'!$D$314:$D$318*'01_Вводные'!$B$314:$B$318*IF('01_Вводные'!$B$9=0,0,'06_Сеть_и_дети'!BD11/'01_Вводные'!$B$9)+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))/2)</f>
        <v/>
      </c>
      <c r="BE2407">
        <f>SUMPRODUCT(('01_Вводные'!$D$314:$D$318*'01_Вводные'!$B$314:$B$318*IF('01_Вводные'!$B$9=0,0,'06_Сеть_и_дети'!BE11/'01_Вводные'!$B$9)+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))/2)</f>
        <v/>
      </c>
      <c r="BF2407">
        <f>SUMPRODUCT(('01_Вводные'!$D$314:$D$318*'01_Вводные'!$B$314:$B$318*IF('01_Вводные'!$B$9=0,0,'06_Сеть_и_дети'!BF11/'01_Вводные'!$B$9)+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))/2)</f>
        <v/>
      </c>
      <c r="BG2407">
        <f>SUMPRODUCT(('01_Вводные'!$D$314:$D$318*'01_Вводные'!$B$314:$B$318*IF('01_Вводные'!$B$9=0,0,'06_Сеть_и_дети'!BG11/'01_Вводные'!$B$9)+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))/2)</f>
        <v/>
      </c>
      <c r="BH2407">
        <f>SUMPRODUCT(('01_Вводные'!$D$314:$D$318*'01_Вводные'!$B$314:$B$318*IF('01_Вводные'!$B$9=0,0,'06_Сеть_и_дети'!BH11/'01_Вводные'!$B$9)+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))/2)</f>
        <v/>
      </c>
      <c r="BI2407">
        <f>SUMPRODUCT(('01_Вводные'!$D$314:$D$318*'01_Вводные'!$B$314:$B$318*IF('01_Вводные'!$B$9=0,0,'06_Сеть_и_дети'!BI11/'01_Вводные'!$B$9)+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))/2)</f>
        <v/>
      </c>
      <c r="BJ2407">
        <f>SUMPRODUCT(('01_Вводные'!$D$314:$D$318*'01_Вводные'!$B$314:$B$318*IF('01_Вводные'!$B$9=0,0,'06_Сеть_и_дети'!BJ11/'01_Вводные'!$B$9)+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))/2)</f>
        <v/>
      </c>
      <c r="BK2407">
        <f>SUMPRODUCT(('01_Вводные'!$D$314:$D$318*'01_Вводные'!$B$314:$B$318*IF('01_Вводные'!$B$9=0,0,'06_Сеть_и_дети'!BK11/'01_Вводные'!$B$9)+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))/2)</f>
        <v/>
      </c>
      <c r="BL2407">
        <f>SUMPRODUCT(('01_Вводные'!$D$314:$D$318*'01_Вводные'!$B$314:$B$318*IF('01_Вводные'!$B$9=0,0,'06_Сеть_и_дети'!BL11/'01_Вводные'!$B$9)+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))/2)</f>
        <v/>
      </c>
      <c r="BM2407">
        <f>SUMPRODUCT(('01_Вводные'!$D$314:$D$318*'01_Вводные'!$B$314:$B$318*IF('01_Вводные'!$B$9=0,0,'06_Сеть_и_дети'!BM11/'01_Вводные'!$B$9)+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))/2)</f>
        <v/>
      </c>
      <c r="BN2407">
        <f>SUMPRODUCT(('01_Вводные'!$D$314:$D$318*'01_Вводные'!$B$314:$B$318*IF('01_Вводные'!$B$9=0,0,'06_Сеть_и_дети'!BN11/'01_Вводные'!$B$9)+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))/2)</f>
        <v/>
      </c>
      <c r="BO2407">
        <f>SUMPRODUCT(('01_Вводные'!$D$314:$D$318*'01_Вводные'!$B$314:$B$318*IF('01_Вводные'!$B$9=0,0,'06_Сеть_и_дети'!BO11/'01_Вводные'!$B$9)+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IF('19_Расчет_аналитики'!C2362&gt;=2,'19_Расчет_аналитики'!C2373*'01_Вводные'!$B$125/(1+'01_Вводные'!$B$131),0)</f>
        <v/>
      </c>
      <c r="D2678">
        <f>IF('19_Расчет_аналитики'!D2362&gt;=2,'19_Расчет_аналитики'!D2373*'01_Вводные'!$B$125/(1+'01_Вводные'!$B$131),0)</f>
        <v/>
      </c>
      <c r="E2678">
        <f>IF('19_Расчет_аналитики'!E2362&gt;=2,'19_Расчет_аналитики'!E2373*'01_Вводные'!$B$125/(1+'01_Вводные'!$B$131),0)</f>
        <v/>
      </c>
      <c r="F2678">
        <f>IF('19_Расчет_аналитики'!F2362&gt;=2,'19_Расчет_аналитики'!F2373*'01_Вводные'!$B$125/(1+'01_Вводные'!$B$131),0)</f>
        <v/>
      </c>
      <c r="G2678">
        <f>IF('19_Расчет_аналитики'!G2362&gt;=2,'19_Расчет_аналитики'!G2373*'01_Вводные'!$B$125/(1+'01_Вводные'!$B$131),0)</f>
        <v/>
      </c>
      <c r="H2678">
        <f>IF('19_Расчет_аналитики'!H2362&gt;=2,'19_Расчет_аналитики'!H2373*'01_Вводные'!$B$125/(1+'01_Вводные'!$B$131),0)</f>
        <v/>
      </c>
      <c r="I2678">
        <f>IF('19_Расчет_аналитики'!I2362&gt;=2,'19_Расчет_аналитики'!I2373*'01_Вводные'!$B$125/(1+'01_Вводные'!$B$131),0)</f>
        <v/>
      </c>
      <c r="J2678">
        <f>IF('19_Расчет_аналитики'!J2362&gt;=2,'19_Расчет_аналитики'!J2373*'01_Вводные'!$B$125/(1+'01_Вводные'!$B$131),0)</f>
        <v/>
      </c>
      <c r="K2678">
        <f>IF('19_Расчет_аналитики'!K2362&gt;=2,'19_Расчет_аналитики'!K2373*'01_Вводные'!$B$125/(1+'01_Вводные'!$B$131),0)</f>
        <v/>
      </c>
      <c r="L2678">
        <f>IF('19_Расчет_аналитики'!L2362&gt;=2,'19_Расчет_аналитики'!L2373*'01_Вводные'!$B$125/(1+'01_Вводные'!$B$131),0)</f>
        <v/>
      </c>
      <c r="M2678">
        <f>IF('19_Расчет_аналитики'!M2362&gt;=2,'19_Расчет_аналитики'!M2373*'01_Вводные'!$B$125/(1+'01_Вводные'!$B$131),0)</f>
        <v/>
      </c>
      <c r="N2678">
        <f>IF('19_Расчет_аналитики'!N2362&gt;=2,'19_Расчет_аналитики'!N2373*'01_Вводные'!$B$125/(1+'01_Вводные'!$B$131),0)</f>
        <v/>
      </c>
      <c r="O2678">
        <f>IF('19_Расчет_аналитики'!O2362&gt;=2,'19_Расчет_аналитики'!O2373*'01_Вводные'!$B$125/(1+'01_Вводные'!$B$131),0)</f>
        <v/>
      </c>
      <c r="P2678">
        <f>IF('19_Расчет_аналитики'!P2362&gt;=2,'19_Расчет_аналитики'!P2373*'01_Вводные'!$B$125/(1+'01_Вводные'!$B$131),0)</f>
        <v/>
      </c>
      <c r="Q2678">
        <f>IF('19_Расчет_аналитики'!Q2362&gt;=2,'19_Расчет_аналитики'!Q2373*'01_Вводные'!$B$125/(1+'01_Вводные'!$B$131),0)</f>
        <v/>
      </c>
      <c r="R2678">
        <f>IF('19_Расчет_аналитики'!R2362&gt;=2,'19_Расчет_аналитики'!R2373*'01_Вводные'!$B$125/(1+'01_Вводные'!$B$131),0)</f>
        <v/>
      </c>
      <c r="S2678">
        <f>IF('19_Расчет_аналитики'!S2362&gt;=2,'19_Расчет_аналитики'!S2373*'01_Вводные'!$B$125/(1+'01_Вводные'!$B$131),0)</f>
        <v/>
      </c>
      <c r="T2678">
        <f>IF('19_Расчет_аналитики'!T2362&gt;=2,'19_Расчет_аналитики'!T2373*'01_Вводные'!$B$125/(1+'01_Вводные'!$B$131),0)</f>
        <v/>
      </c>
      <c r="U2678">
        <f>IF('19_Расчет_аналитики'!U2362&gt;=2,'19_Расчет_аналитики'!U2373*'01_Вводные'!$B$125/(1+'01_Вводные'!$B$131),0)</f>
        <v/>
      </c>
      <c r="V2678">
        <f>IF('19_Расчет_аналитики'!V2362&gt;=2,'19_Расчет_аналитики'!V2373*'01_Вводные'!$B$125/(1+'01_Вводные'!$B$131),0)</f>
        <v/>
      </c>
      <c r="W2678">
        <f>IF('19_Расчет_аналитики'!W2362&gt;=2,'19_Расчет_аналитики'!W2373*'01_Вводные'!$B$125/(1+'01_Вводные'!$B$131),0)</f>
        <v/>
      </c>
      <c r="X2678">
        <f>IF('19_Расчет_аналитики'!X2362&gt;=2,'19_Расчет_аналитики'!X2373*'01_Вводные'!$B$125/(1+'01_Вводные'!$B$131),0)</f>
        <v/>
      </c>
      <c r="Y2678">
        <f>IF('19_Расчет_аналитики'!Y2362&gt;=2,'19_Расчет_аналитики'!Y2373*'01_Вводные'!$B$125/(1+'01_Вводные'!$B$131),0)</f>
        <v/>
      </c>
      <c r="Z2678">
        <f>IF('19_Расчет_аналитики'!Z2362&gt;=2,'19_Расчет_аналитики'!Z2373*'01_Вводные'!$B$125/(1+'01_Вводные'!$B$131),0)</f>
        <v/>
      </c>
      <c r="AA2678">
        <f>IF('19_Расчет_аналитики'!AA2362&gt;=2,'19_Расчет_аналитики'!AA2373*'01_Вводные'!$B$125/(1+'01_Вводные'!$B$131),0)</f>
        <v/>
      </c>
      <c r="AB2678">
        <f>IF('19_Расчет_аналитики'!AB2362&gt;=2,'19_Расчет_аналитики'!AB2373*'01_Вводные'!$B$125/(1+'01_Вводные'!$B$131),0)</f>
        <v/>
      </c>
      <c r="AC2678">
        <f>IF('19_Расчет_аналитики'!AC2362&gt;=2,'19_Расчет_аналитики'!AC2373*'01_Вводные'!$B$125/(1+'01_Вводные'!$B$131),0)</f>
        <v/>
      </c>
      <c r="AD2678">
        <f>IF('19_Расчет_аналитики'!AD2362&gt;=2,'19_Расчет_аналитики'!AD2373*'01_Вводные'!$B$125/(1+'01_Вводные'!$B$131),0)</f>
        <v/>
      </c>
      <c r="AE2678">
        <f>IF('19_Расчет_аналитики'!AE2362&gt;=2,'19_Расчет_аналитики'!AE2373*'01_Вводные'!$B$125/(1+'01_Вводные'!$B$131),0)</f>
        <v/>
      </c>
      <c r="AF2678">
        <f>IF('19_Расчет_аналитики'!AF2362&gt;=2,'19_Расчет_аналитики'!AF2373*'01_Вводные'!$B$125/(1+'01_Вводные'!$B$131),0)</f>
        <v/>
      </c>
      <c r="AG2678">
        <f>IF('19_Расчет_аналитики'!AG2362&gt;=2,'19_Расчет_аналитики'!AG2373*'01_Вводные'!$B$125/(1+'01_Вводные'!$B$131),0)</f>
        <v/>
      </c>
      <c r="AH2678">
        <f>IF('19_Расчет_аналитики'!AH2362&gt;=2,'19_Расчет_аналитики'!AH2373*'01_Вводные'!$B$125/(1+'01_Вводные'!$B$131),0)</f>
        <v/>
      </c>
      <c r="AI2678">
        <f>IF('19_Расчет_аналитики'!AI2362&gt;=2,'19_Расчет_аналитики'!AI2373*'01_Вводные'!$B$125/(1+'01_Вводные'!$B$131),0)</f>
        <v/>
      </c>
      <c r="AJ2678">
        <f>IF('19_Расчет_аналитики'!AJ2362&gt;=2,'19_Расчет_аналитики'!AJ2373*'01_Вводные'!$B$125/(1+'01_Вводные'!$B$131),0)</f>
        <v/>
      </c>
      <c r="AK2678">
        <f>IF('19_Расчет_аналитики'!AK2362&gt;=2,'19_Расчет_аналитики'!AK2373*'01_Вводные'!$B$125/(1+'01_Вводные'!$B$131),0)</f>
        <v/>
      </c>
      <c r="AL2678">
        <f>IF('19_Расчет_аналитики'!AL2362&gt;=2,'19_Расчет_аналитики'!AL2373*'01_Вводные'!$B$125/(1+'01_Вводные'!$B$131),0)</f>
        <v/>
      </c>
      <c r="AM2678">
        <f>IF('19_Расчет_аналитики'!AM2362&gt;=2,'19_Расчет_аналитики'!AM2373*'01_Вводные'!$B$125/(1+'01_Вводные'!$B$131),0)</f>
        <v/>
      </c>
      <c r="AN2678">
        <f>IF('19_Расчет_аналитики'!AN2362&gt;=2,'19_Расчет_аналитики'!AN2373*'01_Вводные'!$B$125/(1+'01_Вводные'!$B$131),0)</f>
        <v/>
      </c>
      <c r="AO2678">
        <f>IF('19_Расчет_аналитики'!AO2362&gt;=2,'19_Расчет_аналитики'!AO2373*'01_Вводные'!$B$125/(1+'01_Вводные'!$B$131),0)</f>
        <v/>
      </c>
      <c r="AP2678">
        <f>IF('19_Расчет_аналитики'!AP2362&gt;=2,'19_Расчет_аналитики'!AP2373*'01_Вводные'!$B$125/(1+'01_Вводные'!$B$131),0)</f>
        <v/>
      </c>
      <c r="AQ2678">
        <f>IF('19_Расчет_аналитики'!AQ2362&gt;=2,'19_Расчет_аналитики'!AQ2373*'01_Вводные'!$B$125/(1+'01_Вводные'!$B$131),0)</f>
        <v/>
      </c>
      <c r="AR2678">
        <f>IF('19_Расчет_аналитики'!AR2362&gt;=2,'19_Расчет_аналитики'!AR2373*'01_Вводные'!$B$125/(1+'01_Вводные'!$B$131),0)</f>
        <v/>
      </c>
      <c r="AS2678">
        <f>IF('19_Расчет_аналитики'!AS2362&gt;=2,'19_Расчет_аналитики'!AS2373*'01_Вводные'!$B$125/(1+'01_Вводные'!$B$131),0)</f>
        <v/>
      </c>
      <c r="AT2678">
        <f>IF('19_Расчет_аналитики'!AT2362&gt;=2,'19_Расчет_аналитики'!AT2373*'01_Вводные'!$B$125/(1+'01_Вводные'!$B$131),0)</f>
        <v/>
      </c>
      <c r="AU2678">
        <f>IF('19_Расчет_аналитики'!AU2362&gt;=2,'19_Расчет_аналитики'!AU2373*'01_Вводные'!$B$125/(1+'01_Вводные'!$B$131),0)</f>
        <v/>
      </c>
      <c r="AV2678">
        <f>IF('19_Расчет_аналитики'!AV2362&gt;=2,'19_Расчет_аналитики'!AV2373*'01_Вводные'!$B$125/(1+'01_Вводные'!$B$131),0)</f>
        <v/>
      </c>
      <c r="AW2678">
        <f>IF('19_Расчет_аналитики'!AW2362&gt;=2,'19_Расчет_аналитики'!AW2373*'01_Вводные'!$B$125/(1+'01_Вводные'!$B$131),0)</f>
        <v/>
      </c>
      <c r="AX2678">
        <f>IF('19_Расчет_аналитики'!AX2362&gt;=2,'19_Расчет_аналитики'!AX2373*'01_Вводные'!$B$125/(1+'01_Вводные'!$B$131),0)</f>
        <v/>
      </c>
      <c r="AY2678">
        <f>IF('19_Расчет_аналитики'!AY2362&gt;=2,'19_Расчет_аналитики'!AY2373*'01_Вводные'!$B$125/(1+'01_Вводные'!$B$131),0)</f>
        <v/>
      </c>
      <c r="AZ2678">
        <f>IF('19_Расчет_аналитики'!AZ2362&gt;=2,'19_Расчет_аналитики'!AZ2373*'01_Вводные'!$B$125/(1+'01_Вводные'!$B$131),0)</f>
        <v/>
      </c>
      <c r="BA2678">
        <f>IF('19_Расчет_аналитики'!BA2362&gt;=2,'19_Расчет_аналитики'!BA2373*'01_Вводные'!$B$125/(1+'01_Вводные'!$B$131),0)</f>
        <v/>
      </c>
      <c r="BB2678">
        <f>IF('19_Расчет_аналитики'!BB2362&gt;=2,'19_Расчет_аналитики'!BB2373*'01_Вводные'!$B$125/(1+'01_Вводные'!$B$131),0)</f>
        <v/>
      </c>
      <c r="BC2678">
        <f>IF('19_Расчет_аналитики'!BC2362&gt;=2,'19_Расчет_аналитики'!BC2373*'01_Вводные'!$B$125/(1+'01_Вводные'!$B$131),0)</f>
        <v/>
      </c>
      <c r="BD2678">
        <f>IF('19_Расчет_аналитики'!BD2362&gt;=2,'19_Расчет_аналитики'!BD2373*'01_Вводные'!$B$125/(1+'01_Вводные'!$B$131),0)</f>
        <v/>
      </c>
      <c r="BE2678">
        <f>IF('19_Расчет_аналитики'!BE2362&gt;=2,'19_Расчет_аналитики'!BE2373*'01_Вводные'!$B$125/(1+'01_Вводные'!$B$131),0)</f>
        <v/>
      </c>
      <c r="BF2678">
        <f>IF('19_Расчет_аналитики'!BF2362&gt;=2,'19_Расчет_аналитики'!BF2373*'01_Вводные'!$B$125/(1+'01_Вводные'!$B$131),0)</f>
        <v/>
      </c>
      <c r="BG2678">
        <f>IF('19_Расчет_аналитики'!BG2362&gt;=2,'19_Расчет_аналитики'!BG2373*'01_Вводные'!$B$125/(1+'01_Вводные'!$B$131),0)</f>
        <v/>
      </c>
      <c r="BH2678">
        <f>IF('19_Расчет_аналитики'!BH2362&gt;=2,'19_Расчет_аналитики'!BH2373*'01_Вводные'!$B$125/(1+'01_Вводные'!$B$131),0)</f>
        <v/>
      </c>
      <c r="BI2678">
        <f>IF('19_Расчет_аналитики'!BI2362&gt;=2,'19_Расчет_аналитики'!BI2373*'01_Вводные'!$B$125/(1+'01_Вводные'!$B$131),0)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IF('01_Вводные'!$B$234="Да",IF(OR(1&lt;='01_Вводные'!$B$15,1-'01_Вводные'!$B$15&gt;60),0,INDEX('19_Расчет_аналитики'!$B$3374:$BI$3374,1,1-'01_Вводные'!$B$15))*'01_Вводные'!$B$298*'01_Вводные'!$B$22,0)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IF('01_Вводные'!$B$234="Да",IF(OR(2&lt;='01_Вводные'!$B$15,2-'01_Вводные'!$B$15&gt;60),0,INDEX('19_Расчет_аналитики'!$B$3374:$BI$3374,1,2-'01_Вводные'!$B$15))*'01_Вводные'!$B$298*'01_Вводные'!$B$22,0)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IF('01_Вводные'!$B$234="Да",IF(OR(3&lt;='01_Вводные'!$B$15,3-'01_Вводные'!$B$15&gt;60),0,INDEX('19_Расчет_аналитики'!$B$3374:$BI$3374,1,3-'01_Вводные'!$B$15))*'01_Вводные'!$B$298*'01_Вводные'!$B$22,0)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IF('01_Вводные'!$B$234="Да",IF(OR(4&lt;='01_Вводные'!$B$15,4-'01_Вводные'!$B$15&gt;60),0,INDEX('19_Расчет_аналитики'!$B$3374:$BI$3374,1,4-'01_Вводные'!$B$15))*'01_Вводные'!$B$298*'01_Вводные'!$B$22,0)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IF('01_Вводные'!$B$234="Да",IF(OR(5&lt;='01_Вводные'!$B$15,5-'01_Вводные'!$B$15&gt;60),0,INDEX('19_Расчет_аналитики'!$B$3374:$BI$3374,1,5-'01_Вводные'!$B$15))*'01_Вводные'!$B$298*'01_Вводные'!$B$22,0)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IF('01_Вводные'!$B$234="Да",IF(OR(6&lt;='01_Вводные'!$B$15,6-'01_Вводные'!$B$15&gt;60),0,INDEX('19_Расчет_аналитики'!$B$3374:$BI$3374,1,6-'01_Вводные'!$B$15))*'01_Вводные'!$B$298*'01_Вводные'!$B$22,0)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IF('01_Вводные'!$B$234="Да",IF(OR(7&lt;='01_Вводные'!$B$15,7-'01_Вводные'!$B$15&gt;60),0,INDEX('19_Расчет_аналитики'!$B$3374:$BI$3374,1,7-'01_Вводные'!$B$15))*'01_Вводные'!$B$298*'01_Вводные'!$B$22,0)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IF('01_Вводные'!$B$234="Да",IF(OR(8&lt;='01_Вводные'!$B$15,8-'01_Вводные'!$B$15&gt;60),0,INDEX('19_Расчет_аналитики'!$B$3374:$BI$3374,1,8-'01_Вводные'!$B$15))*'01_Вводные'!$B$298*'01_Вводные'!$B$22,0)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IF('01_Вводные'!$B$234="Да",IF(OR(9&lt;='01_Вводные'!$B$15,9-'01_Вводные'!$B$15&gt;60),0,INDEX('19_Расчет_аналитики'!$B$3374:$BI$3374,1,9-'01_Вводные'!$B$15))*'01_Вводные'!$B$298*'01_Вводные'!$B$22,0)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IF('01_Вводные'!$B$234="Да",IF(OR(10&lt;='01_Вводные'!$B$15,10-'01_Вводные'!$B$15&gt;60),0,INDEX('19_Расчет_аналитики'!$B$3374:$BI$3374,1,10-'01_Вводные'!$B$15))*'01_Вводные'!$B$298*'01_Вводные'!$B$22,0)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IF('01_Вводные'!$B$234="Да",IF(OR(11&lt;='01_Вводные'!$B$15,11-'01_Вводные'!$B$15&gt;60),0,INDEX('19_Расчет_аналитики'!$B$3374:$BI$3374,1,11-'01_Вводные'!$B$15))*'01_Вводные'!$B$298*'01_Вводные'!$B$22,0)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IF('01_Вводные'!$B$234="Да",IF(OR(12&lt;='01_Вводные'!$B$15,12-'01_Вводные'!$B$15&gt;60),0,INDEX('19_Расчет_аналитики'!$B$3374:$BI$3374,1,12-'01_Вводные'!$B$15))*'01_Вводные'!$B$298*'01_Вводные'!$B$22,0)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IF('01_Вводные'!$B$234="Да",IF(OR(13&lt;='01_Вводные'!$B$15,13-'01_Вводные'!$B$15&gt;60),0,INDEX('19_Расчет_аналитики'!$B$3374:$BI$3374,1,13-'01_Вводные'!$B$15))*'01_Вводные'!$B$298*'01_Вводные'!$B$22,0)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IF('01_Вводные'!$B$234="Да",IF(OR(14&lt;='01_Вводные'!$B$15,14-'01_Вводные'!$B$15&gt;60),0,INDEX('19_Расчет_аналитики'!$B$3374:$BI$3374,1,14-'01_Вводные'!$B$15))*'01_Вводные'!$B$298*'01_Вводные'!$B$22,0)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IF('01_Вводные'!$B$234="Да",IF(OR(15&lt;='01_Вводные'!$B$15,15-'01_Вводные'!$B$15&gt;60),0,INDEX('19_Расчет_аналитики'!$B$3374:$BI$3374,1,15-'01_Вводные'!$B$15))*'01_Вводные'!$B$298*'01_Вводные'!$B$22,0)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IF('01_Вводные'!$B$234="Да",IF(OR(16&lt;='01_Вводные'!$B$15,16-'01_Вводные'!$B$15&gt;60),0,INDEX('19_Расчет_аналитики'!$B$3374:$BI$3374,1,16-'01_Вводные'!$B$15))*'01_Вводные'!$B$298*'01_Вводные'!$B$22,0)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IF('01_Вводные'!$B$234="Да",IF(OR(17&lt;='01_Вводные'!$B$15,17-'01_Вводные'!$B$15&gt;60),0,INDEX('19_Расчет_аналитики'!$B$3374:$BI$3374,1,17-'01_Вводные'!$B$15))*'01_Вводные'!$B$298*'01_Вводные'!$B$22,0)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IF('01_Вводные'!$B$234="Да",IF(OR(18&lt;='01_Вводные'!$B$15,18-'01_Вводные'!$B$15&gt;60),0,INDEX('19_Расчет_аналитики'!$B$3374:$BI$3374,1,18-'01_Вводные'!$B$15))*'01_Вводные'!$B$298*'01_Вводные'!$B$22,0)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IF('01_Вводные'!$B$234="Да",IF(OR(19&lt;='01_Вводные'!$B$15,19-'01_Вводные'!$B$15&gt;60),0,INDEX('19_Расчет_аналитики'!$B$3374:$BI$3374,1,19-'01_Вводные'!$B$15))*'01_Вводные'!$B$298*'01_Вводные'!$B$22,0)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IF('01_Вводные'!$B$234="Да",IF(OR(20&lt;='01_Вводные'!$B$15,20-'01_Вводные'!$B$15&gt;60),0,INDEX('19_Расчет_аналитики'!$B$3374:$BI$3374,1,20-'01_Вводные'!$B$15))*'01_Вводные'!$B$298*'01_Вводные'!$B$22,0)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IF('01_Вводные'!$B$234="Да",IF(OR(21&lt;='01_Вводные'!$B$15,21-'01_Вводные'!$B$15&gt;60),0,INDEX('19_Расчет_аналитики'!$B$3374:$BI$3374,1,21-'01_Вводные'!$B$15))*'01_Вводные'!$B$298*'01_Вводные'!$B$22,0)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IF('01_Вводные'!$B$234="Да",IF(OR(22&lt;='01_Вводные'!$B$15,22-'01_Вводные'!$B$15&gt;60),0,INDEX('19_Расчет_аналитики'!$B$3374:$BI$3374,1,22-'01_Вводные'!$B$15))*'01_Вводные'!$B$298*'01_Вводные'!$B$22,0)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IF('01_Вводные'!$B$234="Да",IF(OR(23&lt;='01_Вводные'!$B$15,23-'01_Вводные'!$B$15&gt;60),0,INDEX('19_Расчет_аналитики'!$B$3374:$BI$3374,1,23-'01_Вводные'!$B$15))*'01_Вводные'!$B$298*'01_Вводные'!$B$22,0)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IF('01_Вводные'!$B$234="Да",IF(OR(24&lt;='01_Вводные'!$B$15,24-'01_Вводные'!$B$15&gt;60),0,INDEX('19_Расчет_аналитики'!$B$3374:$BI$3374,1,24-'01_Вводные'!$B$15))*'01_Вводные'!$B$298*'01_Вводные'!$B$22,0)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IF('01_Вводные'!$B$234="Да",IF(OR(25&lt;='01_Вводные'!$B$15,25-'01_Вводные'!$B$15&gt;60),0,INDEX('19_Расчет_аналитики'!$B$3374:$BI$3374,1,25-'01_Вводные'!$B$15))*'01_Вводные'!$B$298*'01_Вводные'!$B$22,0)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IF('01_Вводные'!$B$234="Да",IF(OR(26&lt;='01_Вводные'!$B$15,26-'01_Вводные'!$B$15&gt;60),0,INDEX('19_Расчет_аналитики'!$B$3374:$BI$3374,1,26-'01_Вводные'!$B$15))*'01_Вводные'!$B$298*'01_Вводные'!$B$22,0)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IF('01_Вводные'!$B$234="Да",IF(OR(27&lt;='01_Вводные'!$B$15,27-'01_Вводные'!$B$15&gt;60),0,INDEX('19_Расчет_аналитики'!$B$3374:$BI$3374,1,27-'01_Вводные'!$B$15))*'01_Вводные'!$B$298*'01_Вводные'!$B$22,0)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IF('01_Вводные'!$B$234="Да",IF(OR(28&lt;='01_Вводные'!$B$15,28-'01_Вводные'!$B$15&gt;60),0,INDEX('19_Расчет_аналитики'!$B$3374:$BI$3374,1,28-'01_Вводные'!$B$15))*'01_Вводные'!$B$298*'01_Вводные'!$B$22,0)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IF('01_Вводные'!$B$234="Да",IF(OR(29&lt;='01_Вводные'!$B$15,29-'01_Вводные'!$B$15&gt;60),0,INDEX('19_Расчет_аналитики'!$B$3374:$BI$3374,1,29-'01_Вводные'!$B$15))*'01_Вводные'!$B$298*'01_Вводные'!$B$22,0)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IF('01_Вводные'!$B$234="Да",IF(OR(30&lt;='01_Вводные'!$B$15,30-'01_Вводные'!$B$15&gt;60),0,INDEX('19_Расчет_аналитики'!$B$3374:$BI$3374,1,30-'01_Вводные'!$B$15))*'01_Вводные'!$B$298*'01_Вводные'!$B$22,0)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IF('01_Вводные'!$B$234="Да",IF(OR(31&lt;='01_Вводные'!$B$15,31-'01_Вводные'!$B$15&gt;60),0,INDEX('19_Расчет_аналитики'!$B$3374:$BI$3374,1,31-'01_Вводные'!$B$15))*'01_Вводные'!$B$298*'01_Вводные'!$B$22,0)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IF('01_Вводные'!$B$234="Да",IF(OR(32&lt;='01_Вводные'!$B$15,32-'01_Вводные'!$B$15&gt;60),0,INDEX('19_Расчет_аналитики'!$B$3374:$BI$3374,1,32-'01_Вводные'!$B$15))*'01_Вводные'!$B$298*'01_Вводные'!$B$22,0)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IF('01_Вводные'!$B$234="Да",IF(OR(33&lt;='01_Вводные'!$B$15,33-'01_Вводные'!$B$15&gt;60),0,INDEX('19_Расчет_аналитики'!$B$3374:$BI$3374,1,33-'01_Вводные'!$B$15))*'01_Вводные'!$B$298*'01_Вводные'!$B$22,0)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IF('01_Вводные'!$B$234="Да",IF(OR(34&lt;='01_Вводные'!$B$15,34-'01_Вводные'!$B$15&gt;60),0,INDEX('19_Расчет_аналитики'!$B$3374:$BI$3374,1,34-'01_Вводные'!$B$15))*'01_Вводные'!$B$298*'01_Вводные'!$B$22,0)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IF('01_Вводные'!$B$234="Да",IF(OR(35&lt;='01_Вводные'!$B$15,35-'01_Вводные'!$B$15&gt;60),0,INDEX('19_Расчет_аналитики'!$B$3374:$BI$3374,1,35-'01_Вводные'!$B$15))*'01_Вводные'!$B$298*'01_Вводные'!$B$22,0)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IF('01_Вводные'!$B$234="Да",IF(OR(36&lt;='01_Вводные'!$B$15,36-'01_Вводные'!$B$15&gt;60),0,INDEX('19_Расчет_аналитики'!$B$3374:$BI$3374,1,36-'01_Вводные'!$B$15))*'01_Вводные'!$B$298*'01_Вводные'!$B$22,0)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IF('01_Вводные'!$B$234="Да",IF(OR(37&lt;='01_Вводные'!$B$15,37-'01_Вводные'!$B$15&gt;60),0,INDEX('19_Расчет_аналитики'!$B$3374:$BI$3374,1,37-'01_Вводные'!$B$15))*'01_Вводные'!$B$298*'01_Вводные'!$B$22,0)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IF('01_Вводные'!$B$234="Да",IF(OR(38&lt;='01_Вводные'!$B$15,38-'01_Вводные'!$B$15&gt;60),0,INDEX('19_Расчет_аналитики'!$B$3374:$BI$3374,1,38-'01_Вводные'!$B$15))*'01_Вводные'!$B$298*'01_Вводные'!$B$22,0)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IF('01_Вводные'!$B$234="Да",IF(OR(39&lt;='01_Вводные'!$B$15,39-'01_Вводные'!$B$15&gt;60),0,INDEX('19_Расчет_аналитики'!$B$3374:$BI$3374,1,39-'01_Вводные'!$B$15))*'01_Вводные'!$B$298*'01_Вводные'!$B$22,0)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IF('01_Вводные'!$B$234="Да",IF(OR(40&lt;='01_Вводные'!$B$15,40-'01_Вводные'!$B$15&gt;60),0,INDEX('19_Расчет_аналитики'!$B$3374:$BI$3374,1,40-'01_Вводные'!$B$15))*'01_Вводные'!$B$298*'01_Вводные'!$B$22,0)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IF('01_Вводные'!$B$234="Да",IF(OR(41&lt;='01_Вводные'!$B$15,41-'01_Вводные'!$B$15&gt;60),0,INDEX('19_Расчет_аналитики'!$B$3374:$BI$3374,1,41-'01_Вводные'!$B$15))*'01_Вводные'!$B$298*'01_Вводные'!$B$22,0)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IF('01_Вводные'!$B$234="Да",IF(OR(42&lt;='01_Вводные'!$B$15,42-'01_Вводные'!$B$15&gt;60),0,INDEX('19_Расчет_аналитики'!$B$3374:$BI$3374,1,42-'01_Вводные'!$B$15))*'01_Вводные'!$B$298*'01_Вводные'!$B$22,0)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IF('01_Вводные'!$B$234="Да",IF(OR(43&lt;='01_Вводные'!$B$15,43-'01_Вводные'!$B$15&gt;60),0,INDEX('19_Расчет_аналитики'!$B$3374:$BI$3374,1,43-'01_Вводные'!$B$15))*'01_Вводные'!$B$298*'01_Вводные'!$B$22,0)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IF('01_Вводные'!$B$234="Да",IF(OR(44&lt;='01_Вводные'!$B$15,44-'01_Вводные'!$B$15&gt;60),0,INDEX('19_Расчет_аналитики'!$B$3374:$BI$3374,1,44-'01_Вводные'!$B$15))*'01_Вводные'!$B$298*'01_Вводные'!$B$22,0)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IF('01_Вводные'!$B$234="Да",IF(OR(45&lt;='01_Вводные'!$B$15,45-'01_Вводные'!$B$15&gt;60),0,INDEX('19_Расчет_аналитики'!$B$3374:$BI$3374,1,45-'01_Вводные'!$B$15))*'01_Вводные'!$B$298*'01_Вводные'!$B$22,0)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IF('01_Вводные'!$B$234="Да",IF(OR(46&lt;='01_Вводные'!$B$15,46-'01_Вводные'!$B$15&gt;60),0,INDEX('19_Расчет_аналитики'!$B$3374:$BI$3374,1,46-'01_Вводные'!$B$15))*'01_Вводные'!$B$298*'01_Вводные'!$B$22,0)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IF('01_Вводные'!$B$234="Да",IF(OR(47&lt;='01_Вводные'!$B$15,47-'01_Вводные'!$B$15&gt;60),0,INDEX('19_Расчет_аналитики'!$B$3374:$BI$3374,1,47-'01_Вводные'!$B$15))*'01_Вводные'!$B$298*'01_Вводные'!$B$22,0)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IF('01_Вводные'!$B$234="Да",IF(OR(48&lt;='01_Вводные'!$B$15,48-'01_Вводные'!$B$15&gt;60),0,INDEX('19_Расчет_аналитики'!$B$3374:$BI$3374,1,48-'01_Вводные'!$B$15))*'01_Вводные'!$B$298*'01_Вводные'!$B$22,0)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IF('01_Вводные'!$B$234="Да",IF(OR(49&lt;='01_Вводные'!$B$15,49-'01_Вводные'!$B$15&gt;60),0,INDEX('19_Расчет_аналитики'!$B$3374:$BI$3374,1,49-'01_Вводные'!$B$15))*'01_Вводные'!$B$298*'01_Вводные'!$B$22,0)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IF('01_Вводные'!$B$234="Да",IF(OR(50&lt;='01_Вводные'!$B$15,50-'01_Вводные'!$B$15&gt;60),0,INDEX('19_Расчет_аналитики'!$B$3374:$BI$3374,1,50-'01_Вводные'!$B$15))*'01_Вводные'!$B$298*'01_Вводные'!$B$22,0)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IF('01_Вводные'!$B$234="Да",IF(OR(51&lt;='01_Вводные'!$B$15,51-'01_Вводные'!$B$15&gt;60),0,INDEX('19_Расчет_аналитики'!$B$3374:$BI$3374,1,51-'01_Вводные'!$B$15))*'01_Вводные'!$B$298*'01_Вводные'!$B$22,0)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IF('01_Вводные'!$B$234="Да",IF(OR(52&lt;='01_Вводные'!$B$15,52-'01_Вводные'!$B$15&gt;60),0,INDEX('19_Расчет_аналитики'!$B$3374:$BI$3374,1,52-'01_Вводные'!$B$15))*'01_Вводные'!$B$298*'01_Вводные'!$B$22,0)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IF('01_Вводные'!$B$234="Да",IF(OR(53&lt;='01_Вводные'!$B$15,53-'01_Вводные'!$B$15&gt;60),0,INDEX('19_Расчет_аналитики'!$B$3374:$BI$3374,1,53-'01_Вводные'!$B$15))*'01_Вводные'!$B$298*'01_Вводные'!$B$22,0)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IF('01_Вводные'!$B$234="Да",IF(OR(54&lt;='01_Вводные'!$B$15,54-'01_Вводные'!$B$15&gt;60),0,INDEX('19_Расчет_аналитики'!$B$3374:$BI$3374,1,54-'01_Вводные'!$B$15))*'01_Вводные'!$B$298*'01_Вводные'!$B$22,0)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IF('01_Вводные'!$B$234="Да",IF(OR(55&lt;='01_Вводные'!$B$15,55-'01_Вводные'!$B$15&gt;60),0,INDEX('19_Расчет_аналитики'!$B$3374:$BI$3374,1,55-'01_Вводные'!$B$15))*'01_Вводные'!$B$298*'01_Вводные'!$B$22,0)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IF('01_Вводные'!$B$234="Да",IF(OR(56&lt;='01_Вводные'!$B$15,56-'01_Вводные'!$B$15&gt;60),0,INDEX('19_Расчет_аналитики'!$B$3374:$BI$3374,1,56-'01_Вводные'!$B$15))*'01_Вводные'!$B$298*'01_Вводные'!$B$22,0)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IF('01_Вводные'!$B$234="Да",IF(OR(57&lt;='01_Вводные'!$B$15,57-'01_Вводные'!$B$15&gt;60),0,INDEX('19_Расчет_аналитики'!$B$3374:$BI$3374,1,57-'01_Вводные'!$B$15))*'01_Вводные'!$B$298*'01_Вводные'!$B$22,0)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IF('01_Вводные'!$B$234="Да",IF(OR(58&lt;='01_Вводные'!$B$15,58-'01_Вводные'!$B$15&gt;60),0,INDEX('19_Расчет_аналитики'!$B$3374:$BI$3374,1,58-'01_Вводные'!$B$15))*'01_Вводные'!$B$298*'01_Вводные'!$B$22,0)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IF('01_Вводные'!$B$234="Да",IF(OR(59&lt;='01_Вводные'!$B$15,59-'01_Вводные'!$B$15&gt;60),0,INDEX('19_Расчет_аналитики'!$B$3374:$BI$3374,1,59-'01_Вводные'!$B$15))*'01_Вводные'!$B$298*'01_Вводные'!$B$22,0)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IF('01_Вводные'!$B$234="Да",IF(OR(60&lt;='01_Вводные'!$B$15,60-'01_Вводные'!$B$15&gt;60),0,INDEX('19_Расчет_аналитики'!$B$3374:$BI$3374,1,60-'01_Вводные'!$B$15))*'01_Вводные'!$B$298*'01_Вводные'!$B$22,0)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IF('01_Вводные'!$B$234="Да",IF(OR(61&lt;='01_Вводные'!$B$15,61-'01_Вводные'!$B$15&gt;60),0,INDEX('19_Расчет_аналитики'!$B$3374:$BI$3374,1,61-'01_Вводные'!$B$15))*'01_Вводные'!$B$298*'01_Вводные'!$B$22,0)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IF('01_Вводные'!$B$234="Да",IF(OR(62&lt;='01_Вводные'!$B$15,62-'01_Вводные'!$B$15&gt;60),0,INDEX('19_Расчет_аналитики'!$B$3374:$BI$3374,1,62-'01_Вводные'!$B$15))*'01_Вводные'!$B$298*'01_Вводные'!$B$22,0)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IF('01_Вводные'!$B$234="Да",IF(OR(63&lt;='01_Вводные'!$B$15,63-'01_Вводные'!$B$15&gt;60),0,INDEX('19_Расчет_аналитики'!$B$3374:$BI$3374,1,63-'01_Вводные'!$B$15))*'01_Вводные'!$B$298*'01_Вводные'!$B$22,0)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IF('01_Вводные'!$B$234="Да",IF(OR(64&lt;='01_Вводные'!$B$15,64-'01_Вводные'!$B$15&gt;60),0,INDEX('19_Расчет_аналитики'!$B$3374:$BI$3374,1,64-'01_Вводные'!$B$15))*'01_Вводные'!$B$298*'01_Вводные'!$B$22,0)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IF('01_Вводные'!$B$234="Да",IF(OR(65&lt;='01_Вводные'!$B$15,65-'01_Вводные'!$B$15&gt;60),0,INDEX('19_Расчет_аналитики'!$B$3374:$BI$3374,1,65-'01_Вводные'!$B$15))*'01_Вводные'!$B$298*'01_Вводные'!$B$22,0)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IF('01_Вводные'!$B$234="Да",IF(OR(66&lt;='01_Вводные'!$B$15,66-'01_Вводные'!$B$15&gt;60),0,INDEX('19_Расчет_аналитики'!$B$3374:$BI$3374,1,66-'01_Вводные'!$B$15))*'01_Вводные'!$B$298*'01_Вводные'!$B$22,0)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))/2),0)</f>
        <v/>
      </c>
      <c r="C3419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))/2),0)</f>
        <v/>
      </c>
      <c r="D3419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))/2),0)</f>
        <v/>
      </c>
      <c r="E3419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))/2),0)</f>
        <v/>
      </c>
      <c r="F3419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))/2),0)</f>
        <v/>
      </c>
      <c r="G3419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))/2),0)</f>
        <v/>
      </c>
      <c r="H3419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))/2),0)</f>
        <v/>
      </c>
      <c r="I3419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))/2),0)</f>
        <v/>
      </c>
      <c r="J3419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))/2),0)</f>
        <v/>
      </c>
      <c r="K3419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))/2),0)</f>
        <v/>
      </c>
      <c r="L3419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))/2),0)</f>
        <v/>
      </c>
      <c r="M3419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))/2),0)</f>
        <v/>
      </c>
      <c r="N3419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))/2),0)</f>
        <v/>
      </c>
      <c r="O3419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))/2),0)</f>
        <v/>
      </c>
      <c r="P3419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))/2),0)</f>
        <v/>
      </c>
      <c r="Q3419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))/2),0)</f>
        <v/>
      </c>
      <c r="R3419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))/2),0)</f>
        <v/>
      </c>
      <c r="S3419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))/2),0)</f>
        <v/>
      </c>
      <c r="T3419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))/2),0)</f>
        <v/>
      </c>
      <c r="U3419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))/2),0)</f>
        <v/>
      </c>
      <c r="V3419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))/2),0)</f>
        <v/>
      </c>
      <c r="W3419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))/2),0)</f>
        <v/>
      </c>
      <c r="X3419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))/2),0)</f>
        <v/>
      </c>
      <c r="Y3419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))/2),0)</f>
        <v/>
      </c>
      <c r="Z3419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))/2),0)</f>
        <v/>
      </c>
      <c r="AA3419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))/2),0)</f>
        <v/>
      </c>
      <c r="AB3419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))/2),0)</f>
        <v/>
      </c>
      <c r="AC3419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))/2),0)</f>
        <v/>
      </c>
      <c r="AD3419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))/2),0)</f>
        <v/>
      </c>
      <c r="AE3419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))/2),0)</f>
        <v/>
      </c>
      <c r="AF3419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))/2),0)</f>
        <v/>
      </c>
      <c r="AG3419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))/2),0)</f>
        <v/>
      </c>
      <c r="AH3419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))/2),0)</f>
        <v/>
      </c>
      <c r="AI3419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))/2),0)</f>
        <v/>
      </c>
      <c r="AJ3419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))/2),0)</f>
        <v/>
      </c>
      <c r="AK3419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))/2),0)</f>
        <v/>
      </c>
      <c r="AL3419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))/2),0)</f>
        <v/>
      </c>
      <c r="AM3419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))/2),0)</f>
        <v/>
      </c>
      <c r="AN3419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))/2),0)</f>
        <v/>
      </c>
      <c r="AO3419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))/2),0)</f>
        <v/>
      </c>
      <c r="AP3419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))/2),0)</f>
        <v/>
      </c>
      <c r="AQ3419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))/2),0)</f>
        <v/>
      </c>
      <c r="AR3419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))/2),0)</f>
        <v/>
      </c>
      <c r="AS3419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))/2),0)</f>
        <v/>
      </c>
      <c r="AT3419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))/2),0)</f>
        <v/>
      </c>
      <c r="AU3419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))/2),0)</f>
        <v/>
      </c>
      <c r="AV3419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))/2),0)</f>
        <v/>
      </c>
      <c r="AW3419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))/2),0)</f>
        <v/>
      </c>
      <c r="AX3419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))/2),0)</f>
        <v/>
      </c>
      <c r="AY3419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))/2),0)</f>
        <v/>
      </c>
      <c r="AZ3419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))/2),0)</f>
        <v/>
      </c>
      <c r="BA3419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))/2),0)</f>
        <v/>
      </c>
      <c r="BB3419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))/2),0)</f>
        <v/>
      </c>
      <c r="BC3419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))/2),0)</f>
        <v/>
      </c>
      <c r="BD3419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))/2),0)</f>
        <v/>
      </c>
      <c r="BE3419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))/2),0)</f>
        <v/>
      </c>
      <c r="BF3419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))/2),0)</f>
        <v/>
      </c>
      <c r="BG3419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))/2),0)</f>
        <v/>
      </c>
      <c r="BH3419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))/2),0)</f>
        <v/>
      </c>
      <c r="BI3419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))/2),0)</f>
        <v/>
      </c>
      <c r="BJ3419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))/2),0)</f>
        <v/>
      </c>
      <c r="BK3419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))/2),0)</f>
        <v/>
      </c>
      <c r="BL3419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))/2),0)</f>
        <v/>
      </c>
      <c r="BM3419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))/2),0)</f>
        <v/>
      </c>
      <c r="BN3419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))/2),0)</f>
        <v/>
      </c>
      <c r="BO3419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IF('01_Вводные'!$B$234="Да",IF('19_Расчет_аналитики'!C3374&gt;=2,'19_Расчет_аналитики'!C3385*'01_Вводные'!$B$125/(1+'01_Вводные'!$B$131),0),0)</f>
        <v/>
      </c>
      <c r="D3690">
        <f>IF('01_Вводные'!$B$234="Да",IF('19_Расчет_аналитики'!D3374&gt;=2,'19_Расчет_аналитики'!D3385*'01_Вводные'!$B$125/(1+'01_Вводные'!$B$131),0),0)</f>
        <v/>
      </c>
      <c r="E3690">
        <f>IF('01_Вводные'!$B$234="Да",IF('19_Расчет_аналитики'!E3374&gt;=2,'19_Расчет_аналитики'!E3385*'01_Вводные'!$B$125/(1+'01_Вводные'!$B$131),0),0)</f>
        <v/>
      </c>
      <c r="F3690">
        <f>IF('01_Вводные'!$B$234="Да",IF('19_Расчет_аналитики'!F3374&gt;=2,'19_Расчет_аналитики'!F3385*'01_Вводные'!$B$125/(1+'01_Вводные'!$B$131),0),0)</f>
        <v/>
      </c>
      <c r="G3690">
        <f>IF('01_Вводные'!$B$234="Да",IF('19_Расчет_аналитики'!G3374&gt;=2,'19_Расчет_аналитики'!G3385*'01_Вводные'!$B$125/(1+'01_Вводные'!$B$131),0),0)</f>
        <v/>
      </c>
      <c r="H3690">
        <f>IF('01_Вводные'!$B$234="Да",IF('19_Расчет_аналитики'!H3374&gt;=2,'19_Расчет_аналитики'!H3385*'01_Вводные'!$B$125/(1+'01_Вводные'!$B$131),0),0)</f>
        <v/>
      </c>
      <c r="I3690">
        <f>IF('01_Вводные'!$B$234="Да",IF('19_Расчет_аналитики'!I3374&gt;=2,'19_Расчет_аналитики'!I3385*'01_Вводные'!$B$125/(1+'01_Вводные'!$B$131),0),0)</f>
        <v/>
      </c>
      <c r="J3690">
        <f>IF('01_Вводные'!$B$234="Да",IF('19_Расчет_аналитики'!J3374&gt;=2,'19_Расчет_аналитики'!J3385*'01_Вводные'!$B$125/(1+'01_Вводные'!$B$131),0),0)</f>
        <v/>
      </c>
      <c r="K3690">
        <f>IF('01_Вводные'!$B$234="Да",IF('19_Расчет_аналитики'!K3374&gt;=2,'19_Расчет_аналитики'!K3385*'01_Вводные'!$B$125/(1+'01_Вводные'!$B$131),0),0)</f>
        <v/>
      </c>
      <c r="L3690">
        <f>IF('01_Вводные'!$B$234="Да",IF('19_Расчет_аналитики'!L3374&gt;=2,'19_Расчет_аналитики'!L3385*'01_Вводные'!$B$125/(1+'01_Вводные'!$B$131),0),0)</f>
        <v/>
      </c>
      <c r="M3690">
        <f>IF('01_Вводные'!$B$234="Да",IF('19_Расчет_аналитики'!M3374&gt;=2,'19_Расчет_аналитики'!M3385*'01_Вводные'!$B$125/(1+'01_Вводные'!$B$131),0),0)</f>
        <v/>
      </c>
      <c r="N3690">
        <f>IF('01_Вводные'!$B$234="Да",IF('19_Расчет_аналитики'!N3374&gt;=2,'19_Расчет_аналитики'!N3385*'01_Вводные'!$B$125/(1+'01_Вводные'!$B$131),0),0)</f>
        <v/>
      </c>
      <c r="O3690">
        <f>IF('01_Вводные'!$B$234="Да",IF('19_Расчет_аналитики'!O3374&gt;=2,'19_Расчет_аналитики'!O3385*'01_Вводные'!$B$125/(1+'01_Вводные'!$B$131),0),0)</f>
        <v/>
      </c>
      <c r="P3690">
        <f>IF('01_Вводные'!$B$234="Да",IF('19_Расчет_аналитики'!P3374&gt;=2,'19_Расчет_аналитики'!P3385*'01_Вводные'!$B$125/(1+'01_Вводные'!$B$131),0),0)</f>
        <v/>
      </c>
      <c r="Q3690">
        <f>IF('01_Вводные'!$B$234="Да",IF('19_Расчет_аналитики'!Q3374&gt;=2,'19_Расчет_аналитики'!Q3385*'01_Вводные'!$B$125/(1+'01_Вводные'!$B$131),0),0)</f>
        <v/>
      </c>
      <c r="R3690">
        <f>IF('01_Вводные'!$B$234="Да",IF('19_Расчет_аналитики'!R3374&gt;=2,'19_Расчет_аналитики'!R3385*'01_Вводные'!$B$125/(1+'01_Вводные'!$B$131),0),0)</f>
        <v/>
      </c>
      <c r="S3690">
        <f>IF('01_Вводные'!$B$234="Да",IF('19_Расчет_аналитики'!S3374&gt;=2,'19_Расчет_аналитики'!S3385*'01_Вводные'!$B$125/(1+'01_Вводные'!$B$131),0),0)</f>
        <v/>
      </c>
      <c r="T3690">
        <f>IF('01_Вводные'!$B$234="Да",IF('19_Расчет_аналитики'!T3374&gt;=2,'19_Расчет_аналитики'!T3385*'01_Вводные'!$B$125/(1+'01_Вводные'!$B$131),0),0)</f>
        <v/>
      </c>
      <c r="U3690">
        <f>IF('01_Вводные'!$B$234="Да",IF('19_Расчет_аналитики'!U3374&gt;=2,'19_Расчет_аналитики'!U3385*'01_Вводные'!$B$125/(1+'01_Вводные'!$B$131),0),0)</f>
        <v/>
      </c>
      <c r="V3690">
        <f>IF('01_Вводные'!$B$234="Да",IF('19_Расчет_аналитики'!V3374&gt;=2,'19_Расчет_аналитики'!V3385*'01_Вводные'!$B$125/(1+'01_Вводные'!$B$131),0),0)</f>
        <v/>
      </c>
      <c r="W3690">
        <f>IF('01_Вводные'!$B$234="Да",IF('19_Расчет_аналитики'!W3374&gt;=2,'19_Расчет_аналитики'!W3385*'01_Вводные'!$B$125/(1+'01_Вводные'!$B$131),0),0)</f>
        <v/>
      </c>
      <c r="X3690">
        <f>IF('01_Вводные'!$B$234="Да",IF('19_Расчет_аналитики'!X3374&gt;=2,'19_Расчет_аналитики'!X3385*'01_Вводные'!$B$125/(1+'01_Вводные'!$B$131),0),0)</f>
        <v/>
      </c>
      <c r="Y3690">
        <f>IF('01_Вводные'!$B$234="Да",IF('19_Расчет_аналитики'!Y3374&gt;=2,'19_Расчет_аналитики'!Y3385*'01_Вводные'!$B$125/(1+'01_Вводные'!$B$131),0),0)</f>
        <v/>
      </c>
      <c r="Z3690">
        <f>IF('01_Вводные'!$B$234="Да",IF('19_Расчет_аналитики'!Z3374&gt;=2,'19_Расчет_аналитики'!Z3385*'01_Вводные'!$B$125/(1+'01_Вводные'!$B$131),0),0)</f>
        <v/>
      </c>
      <c r="AA3690">
        <f>IF('01_Вводные'!$B$234="Да",IF('19_Расчет_аналитики'!AA3374&gt;=2,'19_Расчет_аналитики'!AA3385*'01_Вводные'!$B$125/(1+'01_Вводные'!$B$131),0),0)</f>
        <v/>
      </c>
      <c r="AB3690">
        <f>IF('01_Вводные'!$B$234="Да",IF('19_Расчет_аналитики'!AB3374&gt;=2,'19_Расчет_аналитики'!AB3385*'01_Вводные'!$B$125/(1+'01_Вводные'!$B$131),0),0)</f>
        <v/>
      </c>
      <c r="AC3690">
        <f>IF('01_Вводные'!$B$234="Да",IF('19_Расчет_аналитики'!AC3374&gt;=2,'19_Расчет_аналитики'!AC3385*'01_Вводные'!$B$125/(1+'01_Вводные'!$B$131),0),0)</f>
        <v/>
      </c>
      <c r="AD3690">
        <f>IF('01_Вводные'!$B$234="Да",IF('19_Расчет_аналитики'!AD3374&gt;=2,'19_Расчет_аналитики'!AD3385*'01_Вводные'!$B$125/(1+'01_Вводные'!$B$131),0),0)</f>
        <v/>
      </c>
      <c r="AE3690">
        <f>IF('01_Вводные'!$B$234="Да",IF('19_Расчет_аналитики'!AE3374&gt;=2,'19_Расчет_аналитики'!AE3385*'01_Вводные'!$B$125/(1+'01_Вводные'!$B$131),0),0)</f>
        <v/>
      </c>
      <c r="AF3690">
        <f>IF('01_Вводные'!$B$234="Да",IF('19_Расчет_аналитики'!AF3374&gt;=2,'19_Расчет_аналитики'!AF3385*'01_Вводные'!$B$125/(1+'01_Вводные'!$B$131),0),0)</f>
        <v/>
      </c>
      <c r="AG3690">
        <f>IF('01_Вводные'!$B$234="Да",IF('19_Расчет_аналитики'!AG3374&gt;=2,'19_Расчет_аналитики'!AG3385*'01_Вводные'!$B$125/(1+'01_Вводные'!$B$131),0),0)</f>
        <v/>
      </c>
      <c r="AH3690">
        <f>IF('01_Вводные'!$B$234="Да",IF('19_Расчет_аналитики'!AH3374&gt;=2,'19_Расчет_аналитики'!AH3385*'01_Вводные'!$B$125/(1+'01_Вводные'!$B$131),0),0)</f>
        <v/>
      </c>
      <c r="AI3690">
        <f>IF('01_Вводные'!$B$234="Да",IF('19_Расчет_аналитики'!AI3374&gt;=2,'19_Расчет_аналитики'!AI3385*'01_Вводные'!$B$125/(1+'01_Вводные'!$B$131),0),0)</f>
        <v/>
      </c>
      <c r="AJ3690">
        <f>IF('01_Вводные'!$B$234="Да",IF('19_Расчет_аналитики'!AJ3374&gt;=2,'19_Расчет_аналитики'!AJ3385*'01_Вводные'!$B$125/(1+'01_Вводные'!$B$131),0),0)</f>
        <v/>
      </c>
      <c r="AK3690">
        <f>IF('01_Вводные'!$B$234="Да",IF('19_Расчет_аналитики'!AK3374&gt;=2,'19_Расчет_аналитики'!AK3385*'01_Вводные'!$B$125/(1+'01_Вводные'!$B$131),0),0)</f>
        <v/>
      </c>
      <c r="AL3690">
        <f>IF('01_Вводные'!$B$234="Да",IF('19_Расчет_аналитики'!AL3374&gt;=2,'19_Расчет_аналитики'!AL3385*'01_Вводные'!$B$125/(1+'01_Вводные'!$B$131),0),0)</f>
        <v/>
      </c>
      <c r="AM3690">
        <f>IF('01_Вводные'!$B$234="Да",IF('19_Расчет_аналитики'!AM3374&gt;=2,'19_Расчет_аналитики'!AM3385*'01_Вводные'!$B$125/(1+'01_Вводные'!$B$131),0),0)</f>
        <v/>
      </c>
      <c r="AN3690">
        <f>IF('01_Вводные'!$B$234="Да",IF('19_Расчет_аналитики'!AN3374&gt;=2,'19_Расчет_аналитики'!AN3385*'01_Вводные'!$B$125/(1+'01_Вводные'!$B$131),0),0)</f>
        <v/>
      </c>
      <c r="AO3690">
        <f>IF('01_Вводные'!$B$234="Да",IF('19_Расчет_аналитики'!AO3374&gt;=2,'19_Расчет_аналитики'!AO3385*'01_Вводные'!$B$125/(1+'01_Вводные'!$B$131),0),0)</f>
        <v/>
      </c>
      <c r="AP3690">
        <f>IF('01_Вводные'!$B$234="Да",IF('19_Расчет_аналитики'!AP3374&gt;=2,'19_Расчет_аналитики'!AP3385*'01_Вводные'!$B$125/(1+'01_Вводные'!$B$131),0),0)</f>
        <v/>
      </c>
      <c r="AQ3690">
        <f>IF('01_Вводные'!$B$234="Да",IF('19_Расчет_аналитики'!AQ3374&gt;=2,'19_Расчет_аналитики'!AQ3385*'01_Вводные'!$B$125/(1+'01_Вводные'!$B$131),0),0)</f>
        <v/>
      </c>
      <c r="AR3690">
        <f>IF('01_Вводные'!$B$234="Да",IF('19_Расчет_аналитики'!AR3374&gt;=2,'19_Расчет_аналитики'!AR3385*'01_Вводные'!$B$125/(1+'01_Вводные'!$B$131),0),0)</f>
        <v/>
      </c>
      <c r="AS3690">
        <f>IF('01_Вводные'!$B$234="Да",IF('19_Расчет_аналитики'!AS3374&gt;=2,'19_Расчет_аналитики'!AS3385*'01_Вводные'!$B$125/(1+'01_Вводные'!$B$131),0),0)</f>
        <v/>
      </c>
      <c r="AT3690">
        <f>IF('01_Вводные'!$B$234="Да",IF('19_Расчет_аналитики'!AT3374&gt;=2,'19_Расчет_аналитики'!AT3385*'01_Вводные'!$B$125/(1+'01_Вводные'!$B$131),0),0)</f>
        <v/>
      </c>
      <c r="AU3690">
        <f>IF('01_Вводные'!$B$234="Да",IF('19_Расчет_аналитики'!AU3374&gt;=2,'19_Расчет_аналитики'!AU3385*'01_Вводные'!$B$125/(1+'01_Вводные'!$B$131),0),0)</f>
        <v/>
      </c>
      <c r="AV3690">
        <f>IF('01_Вводные'!$B$234="Да",IF('19_Расчет_аналитики'!AV3374&gt;=2,'19_Расчет_аналитики'!AV3385*'01_Вводные'!$B$125/(1+'01_Вводные'!$B$131),0),0)</f>
        <v/>
      </c>
      <c r="AW3690">
        <f>IF('01_Вводные'!$B$234="Да",IF('19_Расчет_аналитики'!AW3374&gt;=2,'19_Расчет_аналитики'!AW3385*'01_Вводные'!$B$125/(1+'01_Вводные'!$B$131),0),0)</f>
        <v/>
      </c>
      <c r="AX3690">
        <f>IF('01_Вводные'!$B$234="Да",IF('19_Расчет_аналитики'!AX3374&gt;=2,'19_Расчет_аналитики'!AX3385*'01_Вводные'!$B$125/(1+'01_Вводные'!$B$131),0),0)</f>
        <v/>
      </c>
      <c r="AY3690">
        <f>IF('01_Вводные'!$B$234="Да",IF('19_Расчет_аналитики'!AY3374&gt;=2,'19_Расчет_аналитики'!AY3385*'01_Вводные'!$B$125/(1+'01_Вводные'!$B$131),0),0)</f>
        <v/>
      </c>
      <c r="AZ3690">
        <f>IF('01_Вводные'!$B$234="Да",IF('19_Расчет_аналитики'!AZ3374&gt;=2,'19_Расчет_аналитики'!AZ3385*'01_Вводные'!$B$125/(1+'01_Вводные'!$B$131),0),0)</f>
        <v/>
      </c>
      <c r="BA3690">
        <f>IF('01_Вводные'!$B$234="Да",IF('19_Расчет_аналитики'!BA3374&gt;=2,'19_Расчет_аналитики'!BA3385*'01_Вводные'!$B$125/(1+'01_Вводные'!$B$131),0),0)</f>
        <v/>
      </c>
      <c r="BB3690">
        <f>IF('01_Вводные'!$B$234="Да",IF('19_Расчет_аналитики'!BB3374&gt;=2,'19_Расчет_аналитики'!BB3385*'01_Вводные'!$B$125/(1+'01_Вводные'!$B$131),0),0)</f>
        <v/>
      </c>
      <c r="BC3690">
        <f>IF('01_Вводные'!$B$234="Да",IF('19_Расчет_аналитики'!BC3374&gt;=2,'19_Расчет_аналитики'!BC3385*'01_Вводные'!$B$125/(1+'01_Вводные'!$B$131),0),0)</f>
        <v/>
      </c>
      <c r="BD3690">
        <f>IF('01_Вводные'!$B$234="Да",IF('19_Расчет_аналитики'!BD3374&gt;=2,'19_Расчет_аналитики'!BD3385*'01_Вводные'!$B$125/(1+'01_Вводные'!$B$131),0),0)</f>
        <v/>
      </c>
      <c r="BE3690">
        <f>IF('01_Вводные'!$B$234="Да",IF('19_Расчет_аналитики'!BE3374&gt;=2,'19_Расчет_аналитики'!BE3385*'01_Вводные'!$B$125/(1+'01_Вводные'!$B$131),0),0)</f>
        <v/>
      </c>
      <c r="BF3690">
        <f>IF('01_Вводные'!$B$234="Да",IF('19_Расчет_аналитики'!BF3374&gt;=2,'19_Расчет_аналитики'!BF3385*'01_Вводные'!$B$125/(1+'01_Вводные'!$B$131),0),0)</f>
        <v/>
      </c>
      <c r="BG3690">
        <f>IF('01_Вводные'!$B$234="Да",IF('19_Расчет_аналитики'!BG3374&gt;=2,'19_Расчет_аналитики'!BG3385*'01_Вводные'!$B$125/(1+'01_Вводные'!$B$131),0),0)</f>
        <v/>
      </c>
      <c r="BH3690">
        <f>IF('01_Вводные'!$B$234="Да",IF('19_Расчет_аналитики'!BH3374&gt;=2,'19_Расчет_аналитики'!BH3385*'01_Вводные'!$B$125/(1+'01_Вводные'!$B$131),0),0)</f>
        <v/>
      </c>
      <c r="BI3690">
        <f>IF('01_Вводные'!$B$234="Да",IF('19_Расчет_аналитики'!BI3374&gt;=2,'19_Расчет_аналитики'!BI3385*'01_Вводные'!$B$125/(1+'01_Вводные'!$B$131),0),0)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IF('01_Вводные'!$B$234="Да",IF(OR(1&lt;='01_Вводные'!$B$15,1-'01_Вводные'!$B$15&gt;60),0,INDEX('19_Расчет_аналитики'!$B$4386:$BI$4386,1,1-'01_Вводные'!$B$15))*'01_Вводные'!$B$298*'01_Вводные'!$B$22,0)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IF('01_Вводные'!$B$234="Да",IF(OR(2&lt;='01_Вводные'!$B$15,2-'01_Вводные'!$B$15&gt;60),0,INDEX('19_Расчет_аналитики'!$B$4386:$BI$4386,1,2-'01_Вводные'!$B$15))*'01_Вводные'!$B$298*'01_Вводные'!$B$22,0)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IF('01_Вводные'!$B$234="Да",IF(OR(3&lt;='01_Вводные'!$B$15,3-'01_Вводные'!$B$15&gt;60),0,INDEX('19_Расчет_аналитики'!$B$4386:$BI$4386,1,3-'01_Вводные'!$B$15))*'01_Вводные'!$B$298*'01_Вводные'!$B$22,0)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IF('01_Вводные'!$B$234="Да",IF(OR(4&lt;='01_Вводные'!$B$15,4-'01_Вводные'!$B$15&gt;60),0,INDEX('19_Расчет_аналитики'!$B$4386:$BI$4386,1,4-'01_Вводные'!$B$15))*'01_Вводные'!$B$298*'01_Вводные'!$B$22,0)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IF('01_Вводные'!$B$234="Да",IF(OR(5&lt;='01_Вводные'!$B$15,5-'01_Вводные'!$B$15&gt;60),0,INDEX('19_Расчет_аналитики'!$B$4386:$BI$4386,1,5-'01_Вводные'!$B$15))*'01_Вводные'!$B$298*'01_Вводные'!$B$22,0)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IF('01_Вводные'!$B$234="Да",IF(OR(6&lt;='01_Вводные'!$B$15,6-'01_Вводные'!$B$15&gt;60),0,INDEX('19_Расчет_аналитики'!$B$4386:$BI$4386,1,6-'01_Вводные'!$B$15))*'01_Вводные'!$B$298*'01_Вводные'!$B$22,0)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IF('01_Вводные'!$B$234="Да",IF(OR(7&lt;='01_Вводные'!$B$15,7-'01_Вводные'!$B$15&gt;60),0,INDEX('19_Расчет_аналитики'!$B$4386:$BI$4386,1,7-'01_Вводные'!$B$15))*'01_Вводные'!$B$298*'01_Вводные'!$B$22,0)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IF('01_Вводные'!$B$234="Да",IF(OR(8&lt;='01_Вводные'!$B$15,8-'01_Вводные'!$B$15&gt;60),0,INDEX('19_Расчет_аналитики'!$B$4386:$BI$4386,1,8-'01_Вводные'!$B$15))*'01_Вводные'!$B$298*'01_Вводные'!$B$22,0)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IF('01_Вводные'!$B$234="Да",IF(OR(9&lt;='01_Вводные'!$B$15,9-'01_Вводные'!$B$15&gt;60),0,INDEX('19_Расчет_аналитики'!$B$4386:$BI$4386,1,9-'01_Вводные'!$B$15))*'01_Вводные'!$B$298*'01_Вводные'!$B$22,0)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IF('01_Вводные'!$B$234="Да",IF(OR(10&lt;='01_Вводные'!$B$15,10-'01_Вводные'!$B$15&gt;60),0,INDEX('19_Расчет_аналитики'!$B$4386:$BI$4386,1,10-'01_Вводные'!$B$15))*'01_Вводные'!$B$298*'01_Вводные'!$B$22,0)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IF('01_Вводные'!$B$234="Да",IF(OR(11&lt;='01_Вводные'!$B$15,11-'01_Вводные'!$B$15&gt;60),0,INDEX('19_Расчет_аналитики'!$B$4386:$BI$4386,1,11-'01_Вводные'!$B$15))*'01_Вводные'!$B$298*'01_Вводные'!$B$22,0)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IF('01_Вводные'!$B$234="Да",IF(OR(12&lt;='01_Вводные'!$B$15,12-'01_Вводные'!$B$15&gt;60),0,INDEX('19_Расчет_аналитики'!$B$4386:$BI$4386,1,12-'01_Вводные'!$B$15))*'01_Вводные'!$B$298*'01_Вводные'!$B$22,0)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IF('01_Вводные'!$B$234="Да",IF(OR(13&lt;='01_Вводные'!$B$15,13-'01_Вводные'!$B$15&gt;60),0,INDEX('19_Расчет_аналитики'!$B$4386:$BI$4386,1,13-'01_Вводные'!$B$15))*'01_Вводные'!$B$298*'01_Вводные'!$B$22,0)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IF('01_Вводные'!$B$234="Да",IF(OR(14&lt;='01_Вводные'!$B$15,14-'01_Вводные'!$B$15&gt;60),0,INDEX('19_Расчет_аналитики'!$B$4386:$BI$4386,1,14-'01_Вводные'!$B$15))*'01_Вводные'!$B$298*'01_Вводные'!$B$22,0)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IF('01_Вводные'!$B$234="Да",IF(OR(15&lt;='01_Вводные'!$B$15,15-'01_Вводные'!$B$15&gt;60),0,INDEX('19_Расчет_аналитики'!$B$4386:$BI$4386,1,15-'01_Вводные'!$B$15))*'01_Вводные'!$B$298*'01_Вводные'!$B$22,0)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IF('01_Вводные'!$B$234="Да",IF(OR(16&lt;='01_Вводные'!$B$15,16-'01_Вводные'!$B$15&gt;60),0,INDEX('19_Расчет_аналитики'!$B$4386:$BI$4386,1,16-'01_Вводные'!$B$15))*'01_Вводные'!$B$298*'01_Вводные'!$B$22,0)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IF('01_Вводные'!$B$234="Да",IF(OR(17&lt;='01_Вводные'!$B$15,17-'01_Вводные'!$B$15&gt;60),0,INDEX('19_Расчет_аналитики'!$B$4386:$BI$4386,1,17-'01_Вводные'!$B$15))*'01_Вводные'!$B$298*'01_Вводные'!$B$22,0)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IF('01_Вводные'!$B$234="Да",IF(OR(18&lt;='01_Вводные'!$B$15,18-'01_Вводные'!$B$15&gt;60),0,INDEX('19_Расчет_аналитики'!$B$4386:$BI$4386,1,18-'01_Вводные'!$B$15))*'01_Вводные'!$B$298*'01_Вводные'!$B$22,0)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IF('01_Вводные'!$B$234="Да",IF(OR(19&lt;='01_Вводные'!$B$15,19-'01_Вводные'!$B$15&gt;60),0,INDEX('19_Расчет_аналитики'!$B$4386:$BI$4386,1,19-'01_Вводные'!$B$15))*'01_Вводные'!$B$298*'01_Вводные'!$B$22,0)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IF('01_Вводные'!$B$234="Да",IF(OR(20&lt;='01_Вводные'!$B$15,20-'01_Вводные'!$B$15&gt;60),0,INDEX('19_Расчет_аналитики'!$B$4386:$BI$4386,1,20-'01_Вводные'!$B$15))*'01_Вводные'!$B$298*'01_Вводные'!$B$22,0)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IF('01_Вводные'!$B$234="Да",IF(OR(21&lt;='01_Вводные'!$B$15,21-'01_Вводные'!$B$15&gt;60),0,INDEX('19_Расчет_аналитики'!$B$4386:$BI$4386,1,21-'01_Вводные'!$B$15))*'01_Вводные'!$B$298*'01_Вводные'!$B$22,0)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IF('01_Вводные'!$B$234="Да",IF(OR(22&lt;='01_Вводные'!$B$15,22-'01_Вводные'!$B$15&gt;60),0,INDEX('19_Расчет_аналитики'!$B$4386:$BI$4386,1,22-'01_Вводные'!$B$15))*'01_Вводные'!$B$298*'01_Вводные'!$B$22,0)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IF('01_Вводные'!$B$234="Да",IF(OR(23&lt;='01_Вводные'!$B$15,23-'01_Вводные'!$B$15&gt;60),0,INDEX('19_Расчет_аналитики'!$B$4386:$BI$4386,1,23-'01_Вводные'!$B$15))*'01_Вводные'!$B$298*'01_Вводные'!$B$22,0)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IF('01_Вводные'!$B$234="Да",IF(OR(24&lt;='01_Вводные'!$B$15,24-'01_Вводные'!$B$15&gt;60),0,INDEX('19_Расчет_аналитики'!$B$4386:$BI$4386,1,24-'01_Вводные'!$B$15))*'01_Вводные'!$B$298*'01_Вводные'!$B$22,0)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IF('01_Вводные'!$B$234="Да",IF(OR(25&lt;='01_Вводные'!$B$15,25-'01_Вводные'!$B$15&gt;60),0,INDEX('19_Расчет_аналитики'!$B$4386:$BI$4386,1,25-'01_Вводные'!$B$15))*'01_Вводные'!$B$298*'01_Вводные'!$B$22,0)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IF('01_Вводные'!$B$234="Да",IF(OR(26&lt;='01_Вводные'!$B$15,26-'01_Вводные'!$B$15&gt;60),0,INDEX('19_Расчет_аналитики'!$B$4386:$BI$4386,1,26-'01_Вводные'!$B$15))*'01_Вводные'!$B$298*'01_Вводные'!$B$22,0)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IF('01_Вводные'!$B$234="Да",IF(OR(27&lt;='01_Вводные'!$B$15,27-'01_Вводные'!$B$15&gt;60),0,INDEX('19_Расчет_аналитики'!$B$4386:$BI$4386,1,27-'01_Вводные'!$B$15))*'01_Вводные'!$B$298*'01_Вводные'!$B$22,0)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IF('01_Вводные'!$B$234="Да",IF(OR(28&lt;='01_Вводные'!$B$15,28-'01_Вводные'!$B$15&gt;60),0,INDEX('19_Расчет_аналитики'!$B$4386:$BI$4386,1,28-'01_Вводные'!$B$15))*'01_Вводные'!$B$298*'01_Вводные'!$B$22,0)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IF('01_Вводные'!$B$234="Да",IF(OR(29&lt;='01_Вводные'!$B$15,29-'01_Вводные'!$B$15&gt;60),0,INDEX('19_Расчет_аналитики'!$B$4386:$BI$4386,1,29-'01_Вводные'!$B$15))*'01_Вводные'!$B$298*'01_Вводные'!$B$22,0)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IF('01_Вводные'!$B$234="Да",IF(OR(30&lt;='01_Вводные'!$B$15,30-'01_Вводные'!$B$15&gt;60),0,INDEX('19_Расчет_аналитики'!$B$4386:$BI$4386,1,30-'01_Вводные'!$B$15))*'01_Вводные'!$B$298*'01_Вводные'!$B$22,0)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IF('01_Вводные'!$B$234="Да",IF(OR(31&lt;='01_Вводные'!$B$15,31-'01_Вводные'!$B$15&gt;60),0,INDEX('19_Расчет_аналитики'!$B$4386:$BI$4386,1,31-'01_Вводные'!$B$15))*'01_Вводные'!$B$298*'01_Вводные'!$B$22,0)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IF('01_Вводные'!$B$234="Да",IF(OR(32&lt;='01_Вводные'!$B$15,32-'01_Вводные'!$B$15&gt;60),0,INDEX('19_Расчет_аналитики'!$B$4386:$BI$4386,1,32-'01_Вводные'!$B$15))*'01_Вводные'!$B$298*'01_Вводные'!$B$22,0)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IF('01_Вводные'!$B$234="Да",IF(OR(33&lt;='01_Вводные'!$B$15,33-'01_Вводные'!$B$15&gt;60),0,INDEX('19_Расчет_аналитики'!$B$4386:$BI$4386,1,33-'01_Вводные'!$B$15))*'01_Вводные'!$B$298*'01_Вводные'!$B$22,0)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IF('01_Вводные'!$B$234="Да",IF(OR(34&lt;='01_Вводные'!$B$15,34-'01_Вводные'!$B$15&gt;60),0,INDEX('19_Расчет_аналитики'!$B$4386:$BI$4386,1,34-'01_Вводные'!$B$15))*'01_Вводные'!$B$298*'01_Вводные'!$B$22,0)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IF('01_Вводные'!$B$234="Да",IF(OR(35&lt;='01_Вводные'!$B$15,35-'01_Вводные'!$B$15&gt;60),0,INDEX('19_Расчет_аналитики'!$B$4386:$BI$4386,1,35-'01_Вводные'!$B$15))*'01_Вводные'!$B$298*'01_Вводные'!$B$22,0)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IF('01_Вводные'!$B$234="Да",IF(OR(36&lt;='01_Вводные'!$B$15,36-'01_Вводные'!$B$15&gt;60),0,INDEX('19_Расчет_аналитики'!$B$4386:$BI$4386,1,36-'01_Вводные'!$B$15))*'01_Вводные'!$B$298*'01_Вводные'!$B$22,0)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IF('01_Вводные'!$B$234="Да",IF(OR(37&lt;='01_Вводные'!$B$15,37-'01_Вводные'!$B$15&gt;60),0,INDEX('19_Расчет_аналитики'!$B$4386:$BI$4386,1,37-'01_Вводные'!$B$15))*'01_Вводные'!$B$298*'01_Вводные'!$B$22,0)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IF('01_Вводные'!$B$234="Да",IF(OR(38&lt;='01_Вводные'!$B$15,38-'01_Вводные'!$B$15&gt;60),0,INDEX('19_Расчет_аналитики'!$B$4386:$BI$4386,1,38-'01_Вводные'!$B$15))*'01_Вводные'!$B$298*'01_Вводные'!$B$22,0)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IF('01_Вводные'!$B$234="Да",IF(OR(39&lt;='01_Вводные'!$B$15,39-'01_Вводные'!$B$15&gt;60),0,INDEX('19_Расчет_аналитики'!$B$4386:$BI$4386,1,39-'01_Вводные'!$B$15))*'01_Вводные'!$B$298*'01_Вводные'!$B$22,0)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IF('01_Вводные'!$B$234="Да",IF(OR(40&lt;='01_Вводные'!$B$15,40-'01_Вводные'!$B$15&gt;60),0,INDEX('19_Расчет_аналитики'!$B$4386:$BI$4386,1,40-'01_Вводные'!$B$15))*'01_Вводные'!$B$298*'01_Вводные'!$B$22,0)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IF('01_Вводные'!$B$234="Да",IF(OR(41&lt;='01_Вводные'!$B$15,41-'01_Вводные'!$B$15&gt;60),0,INDEX('19_Расчет_аналитики'!$B$4386:$BI$4386,1,41-'01_Вводные'!$B$15))*'01_Вводные'!$B$298*'01_Вводные'!$B$22,0)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IF('01_Вводные'!$B$234="Да",IF(OR(42&lt;='01_Вводные'!$B$15,42-'01_Вводные'!$B$15&gt;60),0,INDEX('19_Расчет_аналитики'!$B$4386:$BI$4386,1,42-'01_Вводные'!$B$15))*'01_Вводные'!$B$298*'01_Вводные'!$B$22,0)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IF('01_Вводные'!$B$234="Да",IF(OR(43&lt;='01_Вводные'!$B$15,43-'01_Вводные'!$B$15&gt;60),0,INDEX('19_Расчет_аналитики'!$B$4386:$BI$4386,1,43-'01_Вводные'!$B$15))*'01_Вводные'!$B$298*'01_Вводные'!$B$22,0)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IF('01_Вводные'!$B$234="Да",IF(OR(44&lt;='01_Вводные'!$B$15,44-'01_Вводные'!$B$15&gt;60),0,INDEX('19_Расчет_аналитики'!$B$4386:$BI$4386,1,44-'01_Вводные'!$B$15))*'01_Вводные'!$B$298*'01_Вводные'!$B$22,0)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IF('01_Вводные'!$B$234="Да",IF(OR(45&lt;='01_Вводные'!$B$15,45-'01_Вводные'!$B$15&gt;60),0,INDEX('19_Расчет_аналитики'!$B$4386:$BI$4386,1,45-'01_Вводные'!$B$15))*'01_Вводные'!$B$298*'01_Вводные'!$B$22,0)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IF('01_Вводные'!$B$234="Да",IF(OR(46&lt;='01_Вводные'!$B$15,46-'01_Вводные'!$B$15&gt;60),0,INDEX('19_Расчет_аналитики'!$B$4386:$BI$4386,1,46-'01_Вводные'!$B$15))*'01_Вводные'!$B$298*'01_Вводные'!$B$22,0)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IF('01_Вводные'!$B$234="Да",IF(OR(47&lt;='01_Вводные'!$B$15,47-'01_Вводные'!$B$15&gt;60),0,INDEX('19_Расчет_аналитики'!$B$4386:$BI$4386,1,47-'01_Вводные'!$B$15))*'01_Вводные'!$B$298*'01_Вводные'!$B$22,0)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IF('01_Вводные'!$B$234="Да",IF(OR(48&lt;='01_Вводные'!$B$15,48-'01_Вводные'!$B$15&gt;60),0,INDEX('19_Расчет_аналитики'!$B$4386:$BI$4386,1,48-'01_Вводные'!$B$15))*'01_Вводные'!$B$298*'01_Вводные'!$B$22,0)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IF('01_Вводные'!$B$234="Да",IF(OR(49&lt;='01_Вводные'!$B$15,49-'01_Вводные'!$B$15&gt;60),0,INDEX('19_Расчет_аналитики'!$B$4386:$BI$4386,1,49-'01_Вводные'!$B$15))*'01_Вводные'!$B$298*'01_Вводные'!$B$22,0)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IF('01_Вводные'!$B$234="Да",IF(OR(50&lt;='01_Вводные'!$B$15,50-'01_Вводные'!$B$15&gt;60),0,INDEX('19_Расчет_аналитики'!$B$4386:$BI$4386,1,50-'01_Вводные'!$B$15))*'01_Вводные'!$B$298*'01_Вводные'!$B$22,0)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IF('01_Вводные'!$B$234="Да",IF(OR(51&lt;='01_Вводные'!$B$15,51-'01_Вводные'!$B$15&gt;60),0,INDEX('19_Расчет_аналитики'!$B$4386:$BI$4386,1,51-'01_Вводные'!$B$15))*'01_Вводные'!$B$298*'01_Вводные'!$B$22,0)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IF('01_Вводные'!$B$234="Да",IF(OR(52&lt;='01_Вводные'!$B$15,52-'01_Вводные'!$B$15&gt;60),0,INDEX('19_Расчет_аналитики'!$B$4386:$BI$4386,1,52-'01_Вводные'!$B$15))*'01_Вводные'!$B$298*'01_Вводные'!$B$22,0)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IF('01_Вводные'!$B$234="Да",IF(OR(53&lt;='01_Вводные'!$B$15,53-'01_Вводные'!$B$15&gt;60),0,INDEX('19_Расчет_аналитики'!$B$4386:$BI$4386,1,53-'01_Вводные'!$B$15))*'01_Вводные'!$B$298*'01_Вводные'!$B$22,0)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IF('01_Вводные'!$B$234="Да",IF(OR(54&lt;='01_Вводные'!$B$15,54-'01_Вводные'!$B$15&gt;60),0,INDEX('19_Расчет_аналитики'!$B$4386:$BI$4386,1,54-'01_Вводные'!$B$15))*'01_Вводные'!$B$298*'01_Вводные'!$B$22,0)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IF('01_Вводные'!$B$234="Да",IF(OR(55&lt;='01_Вводные'!$B$15,55-'01_Вводные'!$B$15&gt;60),0,INDEX('19_Расчет_аналитики'!$B$4386:$BI$4386,1,55-'01_Вводные'!$B$15))*'01_Вводные'!$B$298*'01_Вводные'!$B$22,0)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IF('01_Вводные'!$B$234="Да",IF(OR(56&lt;='01_Вводные'!$B$15,56-'01_Вводные'!$B$15&gt;60),0,INDEX('19_Расчет_аналитики'!$B$4386:$BI$4386,1,56-'01_Вводные'!$B$15))*'01_Вводные'!$B$298*'01_Вводные'!$B$22,0)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IF('01_Вводные'!$B$234="Да",IF(OR(57&lt;='01_Вводные'!$B$15,57-'01_Вводные'!$B$15&gt;60),0,INDEX('19_Расчет_аналитики'!$B$4386:$BI$4386,1,57-'01_Вводные'!$B$15))*'01_Вводные'!$B$298*'01_Вводные'!$B$22,0)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IF('01_Вводные'!$B$234="Да",IF(OR(58&lt;='01_Вводные'!$B$15,58-'01_Вводные'!$B$15&gt;60),0,INDEX('19_Расчет_аналитики'!$B$4386:$BI$4386,1,58-'01_Вводные'!$B$15))*'01_Вводные'!$B$298*'01_Вводные'!$B$22,0)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IF('01_Вводные'!$B$234="Да",IF(OR(59&lt;='01_Вводные'!$B$15,59-'01_Вводные'!$B$15&gt;60),0,INDEX('19_Расчет_аналитики'!$B$4386:$BI$4386,1,59-'01_Вводные'!$B$15))*'01_Вводные'!$B$298*'01_Вводные'!$B$22,0)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IF('01_Вводные'!$B$234="Да",IF(OR(60&lt;='01_Вводные'!$B$15,60-'01_Вводные'!$B$15&gt;60),0,INDEX('19_Расчет_аналитики'!$B$4386:$BI$4386,1,60-'01_Вводные'!$B$15))*'01_Вводные'!$B$298*'01_Вводные'!$B$22,0)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IF('01_Вводные'!$B$234="Да",IF(OR(61&lt;='01_Вводные'!$B$15,61-'01_Вводные'!$B$15&gt;60),0,INDEX('19_Расчет_аналитики'!$B$4386:$BI$4386,1,61-'01_Вводные'!$B$15))*'01_Вводные'!$B$298*'01_Вводные'!$B$22,0)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IF('01_Вводные'!$B$234="Да",IF(OR(62&lt;='01_Вводные'!$B$15,62-'01_Вводные'!$B$15&gt;60),0,INDEX('19_Расчет_аналитики'!$B$4386:$BI$4386,1,62-'01_Вводные'!$B$15))*'01_Вводные'!$B$298*'01_Вводные'!$B$22,0)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IF('01_Вводные'!$B$234="Да",IF(OR(63&lt;='01_Вводные'!$B$15,63-'01_Вводные'!$B$15&gt;60),0,INDEX('19_Расчет_аналитики'!$B$4386:$BI$4386,1,63-'01_Вводные'!$B$15))*'01_Вводные'!$B$298*'01_Вводные'!$B$22,0)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IF('01_Вводные'!$B$234="Да",IF(OR(64&lt;='01_Вводные'!$B$15,64-'01_Вводные'!$B$15&gt;60),0,INDEX('19_Расчет_аналитики'!$B$4386:$BI$4386,1,64-'01_Вводные'!$B$15))*'01_Вводные'!$B$298*'01_Вводные'!$B$22,0)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IF('01_Вводные'!$B$234="Да",IF(OR(65&lt;='01_Вводные'!$B$15,65-'01_Вводные'!$B$15&gt;60),0,INDEX('19_Расчет_аналитики'!$B$4386:$BI$4386,1,65-'01_Вводные'!$B$15))*'01_Вводные'!$B$298*'01_Вводные'!$B$22,0)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IF('01_Вводные'!$B$234="Да",IF(OR(66&lt;='01_Вводные'!$B$15,66-'01_Вводные'!$B$15&gt;60),0,INDEX('19_Расчет_аналитики'!$B$4386:$BI$4386,1,66-'01_Вводные'!$B$15))*'01_Вводные'!$B$298*'01_Вводные'!$B$22,0)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))/2),0)</f>
        <v/>
      </c>
      <c r="C4431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))/2),0)</f>
        <v/>
      </c>
      <c r="D4431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))/2),0)</f>
        <v/>
      </c>
      <c r="E4431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))/2),0)</f>
        <v/>
      </c>
      <c r="F4431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))/2),0)</f>
        <v/>
      </c>
      <c r="G4431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))/2),0)</f>
        <v/>
      </c>
      <c r="H4431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))/2),0)</f>
        <v/>
      </c>
      <c r="I4431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))/2),0)</f>
        <v/>
      </c>
      <c r="J4431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))/2),0)</f>
        <v/>
      </c>
      <c r="K4431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))/2),0)</f>
        <v/>
      </c>
      <c r="L4431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))/2),0)</f>
        <v/>
      </c>
      <c r="M4431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))/2),0)</f>
        <v/>
      </c>
      <c r="N4431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))/2),0)</f>
        <v/>
      </c>
      <c r="O4431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))/2),0)</f>
        <v/>
      </c>
      <c r="P4431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))/2),0)</f>
        <v/>
      </c>
      <c r="Q4431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))/2),0)</f>
        <v/>
      </c>
      <c r="R4431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))/2),0)</f>
        <v/>
      </c>
      <c r="S4431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))/2),0)</f>
        <v/>
      </c>
      <c r="T4431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))/2),0)</f>
        <v/>
      </c>
      <c r="U4431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))/2),0)</f>
        <v/>
      </c>
      <c r="V4431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))/2),0)</f>
        <v/>
      </c>
      <c r="W4431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))/2),0)</f>
        <v/>
      </c>
      <c r="X4431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))/2),0)</f>
        <v/>
      </c>
      <c r="Y4431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))/2),0)</f>
        <v/>
      </c>
      <c r="Z4431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))/2),0)</f>
        <v/>
      </c>
      <c r="AA4431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))/2),0)</f>
        <v/>
      </c>
      <c r="AB4431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))/2),0)</f>
        <v/>
      </c>
      <c r="AC4431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))/2),0)</f>
        <v/>
      </c>
      <c r="AD4431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))/2),0)</f>
        <v/>
      </c>
      <c r="AE4431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))/2),0)</f>
        <v/>
      </c>
      <c r="AF4431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))/2),0)</f>
        <v/>
      </c>
      <c r="AG4431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))/2),0)</f>
        <v/>
      </c>
      <c r="AH4431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))/2),0)</f>
        <v/>
      </c>
      <c r="AI4431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))/2),0)</f>
        <v/>
      </c>
      <c r="AJ4431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))/2),0)</f>
        <v/>
      </c>
      <c r="AK4431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))/2),0)</f>
        <v/>
      </c>
      <c r="AL4431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))/2),0)</f>
        <v/>
      </c>
      <c r="AM4431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))/2),0)</f>
        <v/>
      </c>
      <c r="AN4431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))/2),0)</f>
        <v/>
      </c>
      <c r="AO4431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))/2),0)</f>
        <v/>
      </c>
      <c r="AP4431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))/2),0)</f>
        <v/>
      </c>
      <c r="AQ4431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))/2),0)</f>
        <v/>
      </c>
      <c r="AR4431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))/2),0)</f>
        <v/>
      </c>
      <c r="AS4431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))/2),0)</f>
        <v/>
      </c>
      <c r="AT4431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))/2),0)</f>
        <v/>
      </c>
      <c r="AU4431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))/2),0)</f>
        <v/>
      </c>
      <c r="AV4431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))/2),0)</f>
        <v/>
      </c>
      <c r="AW4431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))/2),0)</f>
        <v/>
      </c>
      <c r="AX4431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))/2),0)</f>
        <v/>
      </c>
      <c r="AY4431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))/2),0)</f>
        <v/>
      </c>
      <c r="AZ4431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))/2),0)</f>
        <v/>
      </c>
      <c r="BA4431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))/2),0)</f>
        <v/>
      </c>
      <c r="BB4431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))/2),0)</f>
        <v/>
      </c>
      <c r="BC4431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))/2),0)</f>
        <v/>
      </c>
      <c r="BD4431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))/2),0)</f>
        <v/>
      </c>
      <c r="BE4431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))/2),0)</f>
        <v/>
      </c>
      <c r="BF4431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))/2),0)</f>
        <v/>
      </c>
      <c r="BG4431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))/2),0)</f>
        <v/>
      </c>
      <c r="BH4431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))/2),0)</f>
        <v/>
      </c>
      <c r="BI4431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))/2),0)</f>
        <v/>
      </c>
      <c r="BJ4431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))/2),0)</f>
        <v/>
      </c>
      <c r="BK4431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))/2),0)</f>
        <v/>
      </c>
      <c r="BL4431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))/2),0)</f>
        <v/>
      </c>
      <c r="BM4431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))/2),0)</f>
        <v/>
      </c>
      <c r="BN4431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))/2),0)</f>
        <v/>
      </c>
      <c r="BO4431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IF('01_Вводные'!$B$234="Да",IF('19_Расчет_аналитики'!C4386&gt;=2,'19_Расчет_аналитики'!C4397*'01_Вводные'!$B$125/(1+'01_Вводные'!$B$131),0),0)</f>
        <v/>
      </c>
      <c r="D4702">
        <f>IF('01_Вводные'!$B$234="Да",IF('19_Расчет_аналитики'!D4386&gt;=2,'19_Расчет_аналитики'!D4397*'01_Вводные'!$B$125/(1+'01_Вводные'!$B$131),0),0)</f>
        <v/>
      </c>
      <c r="E4702">
        <f>IF('01_Вводные'!$B$234="Да",IF('19_Расчет_аналитики'!E4386&gt;=2,'19_Расчет_аналитики'!E4397*'01_Вводные'!$B$125/(1+'01_Вводные'!$B$131),0),0)</f>
        <v/>
      </c>
      <c r="F4702">
        <f>IF('01_Вводные'!$B$234="Да",IF('19_Расчет_аналитики'!F4386&gt;=2,'19_Расчет_аналитики'!F4397*'01_Вводные'!$B$125/(1+'01_Вводные'!$B$131),0),0)</f>
        <v/>
      </c>
      <c r="G4702">
        <f>IF('01_Вводные'!$B$234="Да",IF('19_Расчет_аналитики'!G4386&gt;=2,'19_Расчет_аналитики'!G4397*'01_Вводные'!$B$125/(1+'01_Вводные'!$B$131),0),0)</f>
        <v/>
      </c>
      <c r="H4702">
        <f>IF('01_Вводные'!$B$234="Да",IF('19_Расчет_аналитики'!H4386&gt;=2,'19_Расчет_аналитики'!H4397*'01_Вводные'!$B$125/(1+'01_Вводные'!$B$131),0),0)</f>
        <v/>
      </c>
      <c r="I4702">
        <f>IF('01_Вводные'!$B$234="Да",IF('19_Расчет_аналитики'!I4386&gt;=2,'19_Расчет_аналитики'!I4397*'01_Вводные'!$B$125/(1+'01_Вводные'!$B$131),0),0)</f>
        <v/>
      </c>
      <c r="J4702">
        <f>IF('01_Вводные'!$B$234="Да",IF('19_Расчет_аналитики'!J4386&gt;=2,'19_Расчет_аналитики'!J4397*'01_Вводные'!$B$125/(1+'01_Вводные'!$B$131),0),0)</f>
        <v/>
      </c>
      <c r="K4702">
        <f>IF('01_Вводные'!$B$234="Да",IF('19_Расчет_аналитики'!K4386&gt;=2,'19_Расчет_аналитики'!K4397*'01_Вводные'!$B$125/(1+'01_Вводные'!$B$131),0),0)</f>
        <v/>
      </c>
      <c r="L4702">
        <f>IF('01_Вводные'!$B$234="Да",IF('19_Расчет_аналитики'!L4386&gt;=2,'19_Расчет_аналитики'!L4397*'01_Вводные'!$B$125/(1+'01_Вводные'!$B$131),0),0)</f>
        <v/>
      </c>
      <c r="M4702">
        <f>IF('01_Вводные'!$B$234="Да",IF('19_Расчет_аналитики'!M4386&gt;=2,'19_Расчет_аналитики'!M4397*'01_Вводные'!$B$125/(1+'01_Вводные'!$B$131),0),0)</f>
        <v/>
      </c>
      <c r="N4702">
        <f>IF('01_Вводные'!$B$234="Да",IF('19_Расчет_аналитики'!N4386&gt;=2,'19_Расчет_аналитики'!N4397*'01_Вводные'!$B$125/(1+'01_Вводные'!$B$131),0),0)</f>
        <v/>
      </c>
      <c r="O4702">
        <f>IF('01_Вводные'!$B$234="Да",IF('19_Расчет_аналитики'!O4386&gt;=2,'19_Расчет_аналитики'!O4397*'01_Вводные'!$B$125/(1+'01_Вводные'!$B$131),0),0)</f>
        <v/>
      </c>
      <c r="P4702">
        <f>IF('01_Вводные'!$B$234="Да",IF('19_Расчет_аналитики'!P4386&gt;=2,'19_Расчет_аналитики'!P4397*'01_Вводные'!$B$125/(1+'01_Вводные'!$B$131),0),0)</f>
        <v/>
      </c>
      <c r="Q4702">
        <f>IF('01_Вводные'!$B$234="Да",IF('19_Расчет_аналитики'!Q4386&gt;=2,'19_Расчет_аналитики'!Q4397*'01_Вводные'!$B$125/(1+'01_Вводные'!$B$131),0),0)</f>
        <v/>
      </c>
      <c r="R4702">
        <f>IF('01_Вводные'!$B$234="Да",IF('19_Расчет_аналитики'!R4386&gt;=2,'19_Расчет_аналитики'!R4397*'01_Вводные'!$B$125/(1+'01_Вводные'!$B$131),0),0)</f>
        <v/>
      </c>
      <c r="S4702">
        <f>IF('01_Вводные'!$B$234="Да",IF('19_Расчет_аналитики'!S4386&gt;=2,'19_Расчет_аналитики'!S4397*'01_Вводные'!$B$125/(1+'01_Вводные'!$B$131),0),0)</f>
        <v/>
      </c>
      <c r="T4702">
        <f>IF('01_Вводные'!$B$234="Да",IF('19_Расчет_аналитики'!T4386&gt;=2,'19_Расчет_аналитики'!T4397*'01_Вводные'!$B$125/(1+'01_Вводные'!$B$131),0),0)</f>
        <v/>
      </c>
      <c r="U4702">
        <f>IF('01_Вводные'!$B$234="Да",IF('19_Расчет_аналитики'!U4386&gt;=2,'19_Расчет_аналитики'!U4397*'01_Вводные'!$B$125/(1+'01_Вводные'!$B$131),0),0)</f>
        <v/>
      </c>
      <c r="V4702">
        <f>IF('01_Вводные'!$B$234="Да",IF('19_Расчет_аналитики'!V4386&gt;=2,'19_Расчет_аналитики'!V4397*'01_Вводные'!$B$125/(1+'01_Вводные'!$B$131),0),0)</f>
        <v/>
      </c>
      <c r="W4702">
        <f>IF('01_Вводные'!$B$234="Да",IF('19_Расчет_аналитики'!W4386&gt;=2,'19_Расчет_аналитики'!W4397*'01_Вводные'!$B$125/(1+'01_Вводные'!$B$131),0),0)</f>
        <v/>
      </c>
      <c r="X4702">
        <f>IF('01_Вводные'!$B$234="Да",IF('19_Расчет_аналитики'!X4386&gt;=2,'19_Расчет_аналитики'!X4397*'01_Вводные'!$B$125/(1+'01_Вводные'!$B$131),0),0)</f>
        <v/>
      </c>
      <c r="Y4702">
        <f>IF('01_Вводные'!$B$234="Да",IF('19_Расчет_аналитики'!Y4386&gt;=2,'19_Расчет_аналитики'!Y4397*'01_Вводные'!$B$125/(1+'01_Вводные'!$B$131),0),0)</f>
        <v/>
      </c>
      <c r="Z4702">
        <f>IF('01_Вводные'!$B$234="Да",IF('19_Расчет_аналитики'!Z4386&gt;=2,'19_Расчет_аналитики'!Z4397*'01_Вводные'!$B$125/(1+'01_Вводные'!$B$131),0),0)</f>
        <v/>
      </c>
      <c r="AA4702">
        <f>IF('01_Вводные'!$B$234="Да",IF('19_Расчет_аналитики'!AA4386&gt;=2,'19_Расчет_аналитики'!AA4397*'01_Вводные'!$B$125/(1+'01_Вводные'!$B$131),0),0)</f>
        <v/>
      </c>
      <c r="AB4702">
        <f>IF('01_Вводные'!$B$234="Да",IF('19_Расчет_аналитики'!AB4386&gt;=2,'19_Расчет_аналитики'!AB4397*'01_Вводные'!$B$125/(1+'01_Вводные'!$B$131),0),0)</f>
        <v/>
      </c>
      <c r="AC4702">
        <f>IF('01_Вводные'!$B$234="Да",IF('19_Расчет_аналитики'!AC4386&gt;=2,'19_Расчет_аналитики'!AC4397*'01_Вводные'!$B$125/(1+'01_Вводные'!$B$131),0),0)</f>
        <v/>
      </c>
      <c r="AD4702">
        <f>IF('01_Вводные'!$B$234="Да",IF('19_Расчет_аналитики'!AD4386&gt;=2,'19_Расчет_аналитики'!AD4397*'01_Вводные'!$B$125/(1+'01_Вводные'!$B$131),0),0)</f>
        <v/>
      </c>
      <c r="AE4702">
        <f>IF('01_Вводные'!$B$234="Да",IF('19_Расчет_аналитики'!AE4386&gt;=2,'19_Расчет_аналитики'!AE4397*'01_Вводные'!$B$125/(1+'01_Вводные'!$B$131),0),0)</f>
        <v/>
      </c>
      <c r="AF4702">
        <f>IF('01_Вводные'!$B$234="Да",IF('19_Расчет_аналитики'!AF4386&gt;=2,'19_Расчет_аналитики'!AF4397*'01_Вводные'!$B$125/(1+'01_Вводные'!$B$131),0),0)</f>
        <v/>
      </c>
      <c r="AG4702">
        <f>IF('01_Вводные'!$B$234="Да",IF('19_Расчет_аналитики'!AG4386&gt;=2,'19_Расчет_аналитики'!AG4397*'01_Вводные'!$B$125/(1+'01_Вводные'!$B$131),0),0)</f>
        <v/>
      </c>
      <c r="AH4702">
        <f>IF('01_Вводные'!$B$234="Да",IF('19_Расчет_аналитики'!AH4386&gt;=2,'19_Расчет_аналитики'!AH4397*'01_Вводные'!$B$125/(1+'01_Вводные'!$B$131),0),0)</f>
        <v/>
      </c>
      <c r="AI4702">
        <f>IF('01_Вводные'!$B$234="Да",IF('19_Расчет_аналитики'!AI4386&gt;=2,'19_Расчет_аналитики'!AI4397*'01_Вводные'!$B$125/(1+'01_Вводные'!$B$131),0),0)</f>
        <v/>
      </c>
      <c r="AJ4702">
        <f>IF('01_Вводные'!$B$234="Да",IF('19_Расчет_аналитики'!AJ4386&gt;=2,'19_Расчет_аналитики'!AJ4397*'01_Вводные'!$B$125/(1+'01_Вводные'!$B$131),0),0)</f>
        <v/>
      </c>
      <c r="AK4702">
        <f>IF('01_Вводные'!$B$234="Да",IF('19_Расчет_аналитики'!AK4386&gt;=2,'19_Расчет_аналитики'!AK4397*'01_Вводные'!$B$125/(1+'01_Вводные'!$B$131),0),0)</f>
        <v/>
      </c>
      <c r="AL4702">
        <f>IF('01_Вводные'!$B$234="Да",IF('19_Расчет_аналитики'!AL4386&gt;=2,'19_Расчет_аналитики'!AL4397*'01_Вводные'!$B$125/(1+'01_Вводные'!$B$131),0),0)</f>
        <v/>
      </c>
      <c r="AM4702">
        <f>IF('01_Вводные'!$B$234="Да",IF('19_Расчет_аналитики'!AM4386&gt;=2,'19_Расчет_аналитики'!AM4397*'01_Вводные'!$B$125/(1+'01_Вводные'!$B$131),0),0)</f>
        <v/>
      </c>
      <c r="AN4702">
        <f>IF('01_Вводные'!$B$234="Да",IF('19_Расчет_аналитики'!AN4386&gt;=2,'19_Расчет_аналитики'!AN4397*'01_Вводные'!$B$125/(1+'01_Вводные'!$B$131),0),0)</f>
        <v/>
      </c>
      <c r="AO4702">
        <f>IF('01_Вводные'!$B$234="Да",IF('19_Расчет_аналитики'!AO4386&gt;=2,'19_Расчет_аналитики'!AO4397*'01_Вводные'!$B$125/(1+'01_Вводные'!$B$131),0),0)</f>
        <v/>
      </c>
      <c r="AP4702">
        <f>IF('01_Вводные'!$B$234="Да",IF('19_Расчет_аналитики'!AP4386&gt;=2,'19_Расчет_аналитики'!AP4397*'01_Вводные'!$B$125/(1+'01_Вводные'!$B$131),0),0)</f>
        <v/>
      </c>
      <c r="AQ4702">
        <f>IF('01_Вводные'!$B$234="Да",IF('19_Расчет_аналитики'!AQ4386&gt;=2,'19_Расчет_аналитики'!AQ4397*'01_Вводные'!$B$125/(1+'01_Вводные'!$B$131),0),0)</f>
        <v/>
      </c>
      <c r="AR4702">
        <f>IF('01_Вводные'!$B$234="Да",IF('19_Расчет_аналитики'!AR4386&gt;=2,'19_Расчет_аналитики'!AR4397*'01_Вводные'!$B$125/(1+'01_Вводные'!$B$131),0),0)</f>
        <v/>
      </c>
      <c r="AS4702">
        <f>IF('01_Вводные'!$B$234="Да",IF('19_Расчет_аналитики'!AS4386&gt;=2,'19_Расчет_аналитики'!AS4397*'01_Вводные'!$B$125/(1+'01_Вводные'!$B$131),0),0)</f>
        <v/>
      </c>
      <c r="AT4702">
        <f>IF('01_Вводные'!$B$234="Да",IF('19_Расчет_аналитики'!AT4386&gt;=2,'19_Расчет_аналитики'!AT4397*'01_Вводные'!$B$125/(1+'01_Вводные'!$B$131),0),0)</f>
        <v/>
      </c>
      <c r="AU4702">
        <f>IF('01_Вводные'!$B$234="Да",IF('19_Расчет_аналитики'!AU4386&gt;=2,'19_Расчет_аналитики'!AU4397*'01_Вводные'!$B$125/(1+'01_Вводные'!$B$131),0),0)</f>
        <v/>
      </c>
      <c r="AV4702">
        <f>IF('01_Вводные'!$B$234="Да",IF('19_Расчет_аналитики'!AV4386&gt;=2,'19_Расчет_аналитики'!AV4397*'01_Вводные'!$B$125/(1+'01_Вводные'!$B$131),0),0)</f>
        <v/>
      </c>
      <c r="AW4702">
        <f>IF('01_Вводные'!$B$234="Да",IF('19_Расчет_аналитики'!AW4386&gt;=2,'19_Расчет_аналитики'!AW4397*'01_Вводные'!$B$125/(1+'01_Вводные'!$B$131),0),0)</f>
        <v/>
      </c>
      <c r="AX4702">
        <f>IF('01_Вводные'!$B$234="Да",IF('19_Расчет_аналитики'!AX4386&gt;=2,'19_Расчет_аналитики'!AX4397*'01_Вводные'!$B$125/(1+'01_Вводные'!$B$131),0),0)</f>
        <v/>
      </c>
      <c r="AY4702">
        <f>IF('01_Вводные'!$B$234="Да",IF('19_Расчет_аналитики'!AY4386&gt;=2,'19_Расчет_аналитики'!AY4397*'01_Вводные'!$B$125/(1+'01_Вводные'!$B$131),0),0)</f>
        <v/>
      </c>
      <c r="AZ4702">
        <f>IF('01_Вводные'!$B$234="Да",IF('19_Расчет_аналитики'!AZ4386&gt;=2,'19_Расчет_аналитики'!AZ4397*'01_Вводные'!$B$125/(1+'01_Вводные'!$B$131),0),0)</f>
        <v/>
      </c>
      <c r="BA4702">
        <f>IF('01_Вводные'!$B$234="Да",IF('19_Расчет_аналитики'!BA4386&gt;=2,'19_Расчет_аналитики'!BA4397*'01_Вводные'!$B$125/(1+'01_Вводные'!$B$131),0),0)</f>
        <v/>
      </c>
      <c r="BB4702">
        <f>IF('01_Вводные'!$B$234="Да",IF('19_Расчет_аналитики'!BB4386&gt;=2,'19_Расчет_аналитики'!BB4397*'01_Вводные'!$B$125/(1+'01_Вводные'!$B$131),0),0)</f>
        <v/>
      </c>
      <c r="BC4702">
        <f>IF('01_Вводные'!$B$234="Да",IF('19_Расчет_аналитики'!BC4386&gt;=2,'19_Расчет_аналитики'!BC4397*'01_Вводные'!$B$125/(1+'01_Вводные'!$B$131),0),0)</f>
        <v/>
      </c>
      <c r="BD4702">
        <f>IF('01_Вводные'!$B$234="Да",IF('19_Расчет_аналитики'!BD4386&gt;=2,'19_Расчет_аналитики'!BD4397*'01_Вводные'!$B$125/(1+'01_Вводные'!$B$131),0),0)</f>
        <v/>
      </c>
      <c r="BE4702">
        <f>IF('01_Вводные'!$B$234="Да",IF('19_Расчет_аналитики'!BE4386&gt;=2,'19_Расчет_аналитики'!BE4397*'01_Вводные'!$B$125/(1+'01_Вводные'!$B$131),0),0)</f>
        <v/>
      </c>
      <c r="BF4702">
        <f>IF('01_Вводные'!$B$234="Да",IF('19_Расчет_аналитики'!BF4386&gt;=2,'19_Расчет_аналитики'!BF4397*'01_Вводные'!$B$125/(1+'01_Вводные'!$B$131),0),0)</f>
        <v/>
      </c>
      <c r="BG4702">
        <f>IF('01_Вводные'!$B$234="Да",IF('19_Расчет_аналитики'!BG4386&gt;=2,'19_Расчет_аналитики'!BG4397*'01_Вводные'!$B$125/(1+'01_Вводные'!$B$131),0),0)</f>
        <v/>
      </c>
      <c r="BH4702">
        <f>IF('01_Вводные'!$B$234="Да",IF('19_Расчет_аналитики'!BH4386&gt;=2,'19_Расчет_аналитики'!BH4397*'01_Вводные'!$B$125/(1+'01_Вводные'!$B$131),0),0)</f>
        <v/>
      </c>
      <c r="BI4702">
        <f>IF('01_Вводные'!$B$234="Да",IF('19_Расчет_аналитики'!BI4386&gt;=2,'19_Расчет_аналитики'!BI4397*'01_Вводные'!$B$125/(1+'01_Вводные'!$B$131),0),0)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9" t="n"/>
      <c r="D5" s="329" t="n"/>
      <c r="E5" s="329" t="n"/>
    </row>
    <row r="6" ht="34" customHeight="1">
      <c r="A6" s="330" t="inlineStr">
        <is>
          <t>1</t>
        </is>
      </c>
      <c r="B6" s="331" t="inlineStr">
        <is>
          <t>Лиды</t>
        </is>
      </c>
      <c r="C6" s="254" t="inlineStr">
        <is>
          <t>04_Продажи</t>
        </is>
      </c>
      <c r="D6" s="332" t="inlineStr">
        <is>
          <t>План продаж ÷ конверсия лид→продажа, округление вверх</t>
        </is>
      </c>
      <c r="E6" s="333" t="inlineStr">
        <is>
          <t>01_Вводные!B25 (3%), план продаж B36:B40</t>
        </is>
      </c>
    </row>
    <row r="7" ht="34" customHeight="1">
      <c r="A7" s="330" t="inlineStr">
        <is>
          <t>2</t>
        </is>
      </c>
      <c r="B7" s="331" t="inlineStr">
        <is>
          <t>Продажи франшиз</t>
        </is>
      </c>
      <c r="C7" s="254" t="inlineStr">
        <is>
          <t>04_Продажи</t>
        </is>
      </c>
      <c r="D7" s="332" t="inlineStr">
        <is>
          <t>Годовой план сезона × месячная доля сезонности. Годовой план = база (B210:B214) × множитель сценария (F198)</t>
        </is>
      </c>
      <c r="E7" s="333" t="inlineStr">
        <is>
          <t>01_Вводные!B36:B40 и C36:N40</t>
        </is>
      </c>
    </row>
    <row r="8" ht="34" customHeight="1">
      <c r="A8" s="330" t="inlineStr">
        <is>
          <t>3</t>
        </is>
      </c>
      <c r="B8" s="331" t="inlineStr">
        <is>
          <t>Открытия школ</t>
        </is>
      </c>
      <c r="C8" s="254" t="inlineStr">
        <is>
          <t>04_Продажи</t>
        </is>
      </c>
      <c r="D8" s="332" t="inlineStr">
        <is>
          <t>Продажи, сдвинутые на лаг «продажа → открытие», × конверсия в открытие</t>
        </is>
      </c>
      <c r="E8" s="333" t="inlineStr">
        <is>
          <t>01_Вводные!B15 (2 мес.), B298 (100%)</t>
        </is>
      </c>
    </row>
    <row r="9" ht="34" customHeight="1">
      <c r="A9" s="330" t="inlineStr">
        <is>
          <t>4</t>
        </is>
      </c>
      <c r="B9" s="331" t="inlineStr">
        <is>
          <t>Новые юрлица и школы</t>
        </is>
      </c>
      <c r="C9" s="254" t="inlineStr">
        <is>
          <t>06_Сеть_и_дети</t>
        </is>
      </c>
      <c r="D9" s="332" t="inlineStr">
        <is>
          <t>Продажи × коэффициент юрлиц; отдельно продажи × коэффициент школ</t>
        </is>
      </c>
      <c r="E9" s="333" t="inlineStr">
        <is>
          <t>01_Вводные!B16, B22</t>
        </is>
      </c>
    </row>
    <row r="10" ht="34" customHeight="1">
      <c r="A10" s="330" t="inlineStr">
        <is>
          <t>5</t>
        </is>
      </c>
      <c r="B10" s="331" t="inlineStr">
        <is>
          <t>Маркетинг привлечения</t>
        </is>
      </c>
      <c r="C10" s="254" t="inlineStr">
        <is>
          <t>04_Продажи</t>
        </is>
      </c>
      <c r="D10" s="332" t="inlineStr">
        <is>
          <t>Таргет платится за 2 месяца до продажи (для октября 2026 — за 1); плюс БИБОСС / TopFranchise / Forbes раз в год</t>
        </is>
      </c>
      <c r="E10" s="333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9" t="n"/>
      <c r="D11" s="329" t="n"/>
      <c r="E11" s="329" t="n"/>
    </row>
    <row r="12" ht="34" customHeight="1">
      <c r="A12" s="330" t="inlineStr">
        <is>
          <t>6</t>
        </is>
      </c>
      <c r="B12" s="331" t="inlineStr">
        <is>
          <t>Действующая сеть</t>
        </is>
      </c>
      <c r="C12" s="254" t="inlineStr">
        <is>
          <t>06_Сеть_и_дети</t>
        </is>
      </c>
      <c r="D12" s="332" t="inlineStr">
        <is>
          <t>104 школы × коэффициент сохранения; дети = 5 200 × рост 10% в год, пересчёт каждый сентябрь</t>
        </is>
      </c>
      <c r="E12" s="333" t="inlineStr">
        <is>
          <t>01_Вводные!B9, B11, B12, B13</t>
        </is>
      </c>
    </row>
    <row r="13" ht="34" customHeight="1">
      <c r="A13" s="330" t="inlineStr">
        <is>
          <t>7</t>
        </is>
      </c>
      <c r="B13" s="331" t="inlineStr">
        <is>
          <t>Новые школы по возрасту</t>
        </is>
      </c>
      <c r="C13" s="254" t="inlineStr">
        <is>
          <t>06_Сеть_и_дети</t>
        </is>
      </c>
      <c r="D13" s="332" t="inlineStr">
        <is>
          <t>Каждая открытая школа живёт в своей когорте: месяцы 1–12, 13–24, зрелая. Это и есть постепенный набор</t>
        </is>
      </c>
      <c r="E13" s="333" t="inlineStr">
        <is>
          <t>01_Вводные!B295, 18_Календарь_тарифы</t>
        </is>
      </c>
    </row>
    <row r="14" ht="34" customHeight="1">
      <c r="A14" s="330" t="inlineStr">
        <is>
          <t>8</t>
        </is>
      </c>
      <c r="B14" s="331" t="inlineStr">
        <is>
          <t>Дети новых школ</t>
        </is>
      </c>
      <c r="C14" s="254" t="inlineStr">
        <is>
          <t>06_Сеть_и_дети</t>
        </is>
      </c>
      <c r="D14" s="332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33" t="inlineStr">
        <is>
          <t>01_Вводные!B46 (75,05 к 12-му мес.), B47 (165,125 к 24-му), B44</t>
        </is>
      </c>
    </row>
    <row r="15" ht="34" customHeight="1">
      <c r="A15" s="330" t="inlineStr">
        <is>
          <t>9</t>
        </is>
      </c>
      <c r="B15" s="331" t="inlineStr">
        <is>
          <t>Сезонность посещаемости</t>
        </is>
      </c>
      <c r="C15" s="254" t="inlineStr">
        <is>
          <t>01_Вводные</t>
        </is>
      </c>
      <c r="D15" s="332" t="inlineStr">
        <is>
          <t>Индекс от 5,9% (август) до 100% (февраль). Умножается на детей, а не на цену: летом платящих меньше</t>
        </is>
      </c>
      <c r="E15" s="333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9" t="n"/>
      <c r="D16" s="329" t="n"/>
      <c r="E16" s="329" t="n"/>
    </row>
    <row r="17" ht="34" customHeight="1">
      <c r="A17" s="330" t="inlineStr">
        <is>
          <t>10</t>
        </is>
      </c>
      <c r="B17" s="331" t="inlineStr">
        <is>
          <t>Паушальные взносы</t>
        </is>
      </c>
      <c r="C17" s="254" t="inlineStr">
        <is>
          <t>02_Модель</t>
        </is>
      </c>
      <c r="D17" s="332" t="inlineStr">
        <is>
          <t>Продажи × средний паушальный по тарифному миксу (937 767 ₽ с НДС), затем ÷ (1 + НДС)</t>
        </is>
      </c>
      <c r="E17" s="333" t="inlineStr">
        <is>
          <t>01_Вводные!B63:B67, тарифы B263:D282</t>
        </is>
      </c>
    </row>
    <row r="18" ht="34" customHeight="1">
      <c r="A18" s="330" t="inlineStr">
        <is>
          <t>11</t>
        </is>
      </c>
      <c r="B18" s="331" t="inlineStr">
        <is>
          <t>Роялти действующей сети</t>
        </is>
      </c>
      <c r="C18" s="254" t="inlineStr">
        <is>
          <t>06_Сеть_и_дети</t>
        </is>
      </c>
      <c r="D18" s="332" t="inlineStr">
        <is>
          <t>MAX(% от оборота; 104 школы × минимум). Оборот = активные дети × абонемент. Ставка 6,5% → 10% с 01.01.2030</t>
        </is>
      </c>
      <c r="E18" s="333" t="inlineStr">
        <is>
          <t>01_Вводные!B51, B52, B55:B57, B245</t>
        </is>
      </c>
    </row>
    <row r="19" ht="34" customHeight="1">
      <c r="A19" s="330" t="inlineStr">
        <is>
          <t>12</t>
        </is>
      </c>
      <c r="B19" s="331" t="inlineStr">
        <is>
          <t>Роялти новых школ</t>
        </is>
      </c>
      <c r="C19" s="254" t="inlineStr">
        <is>
          <t>06_Сеть_и_дети</t>
        </is>
      </c>
      <c r="D19" s="332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33" t="inlineStr">
        <is>
          <t>01_Вводные!B53, B54, B239, B244</t>
        </is>
      </c>
    </row>
    <row r="20" ht="34" customHeight="1">
      <c r="A20" s="330" t="inlineStr">
        <is>
          <t>13</t>
        </is>
      </c>
      <c r="B20" s="331" t="inlineStr">
        <is>
          <t>Мерч</t>
        </is>
      </c>
      <c r="C20" s="254" t="inlineStr">
        <is>
          <t>07_Мерч</t>
        </is>
      </c>
      <c r="D20" s="332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33" t="inlineStr">
        <is>
          <t>01_Вводные!B71:B74, B87:B89, B94:M94, B99:E101</t>
        </is>
      </c>
    </row>
    <row r="21" ht="34" customHeight="1">
      <c r="A21" s="330" t="inlineStr">
        <is>
          <t>14</t>
        </is>
      </c>
      <c r="B21" s="331" t="inlineStr">
        <is>
          <t>Лагеря</t>
        </is>
      </c>
      <c r="C21" s="254" t="inlineStr">
        <is>
          <t>09_Лагеря</t>
        </is>
      </c>
      <c r="D21" s="332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33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9" t="n"/>
      <c r="D22" s="329" t="n"/>
      <c r="E22" s="329" t="n"/>
    </row>
    <row r="23" ht="34" customHeight="1">
      <c r="A23" s="330" t="inlineStr">
        <is>
          <t>15</t>
        </is>
      </c>
      <c r="B23" s="331" t="inlineStr">
        <is>
          <t>Прямые расходы</t>
        </is>
      </c>
      <c r="C23" s="254" t="inlineStr">
        <is>
          <t>02_Модель</t>
        </is>
      </c>
      <c r="D23" s="332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33" t="inlineStr">
        <is>
          <t>01_Вводные!B59, B60, B75, B76</t>
        </is>
      </c>
    </row>
    <row r="24" ht="34" customHeight="1">
      <c r="A24" s="330" t="inlineStr">
        <is>
          <t>16</t>
        </is>
      </c>
      <c r="B24" s="331" t="inlineStr">
        <is>
          <t>OPEX</t>
        </is>
      </c>
      <c r="C24" s="254" t="inlineStr">
        <is>
          <t>02_Модель</t>
        </is>
      </c>
      <c r="D24" s="332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33" t="inlineStr">
        <is>
          <t>01_Вводные!B105:B112, лист 08_ФОТ</t>
        </is>
      </c>
    </row>
    <row r="25" ht="34" customHeight="1">
      <c r="A25" s="330" t="inlineStr">
        <is>
          <t>17</t>
        </is>
      </c>
      <c r="B25" s="331" t="inlineStr">
        <is>
          <t>ФОТ</t>
        </is>
      </c>
      <c r="C25" s="254" t="inlineStr">
        <is>
          <t>08_ФОТ</t>
        </is>
      </c>
      <c r="D25" s="332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33" t="inlineStr">
        <is>
          <t>01_Вводные!B116:B152, B246:B251</t>
        </is>
      </c>
    </row>
    <row r="26" ht="34" customHeight="1">
      <c r="A26" s="330" t="inlineStr">
        <is>
          <t>18</t>
        </is>
      </c>
      <c r="B26" s="331" t="inlineStr">
        <is>
          <t>EBITDA</t>
        </is>
      </c>
      <c r="C26" s="254" t="inlineStr">
        <is>
          <t>02_Модель</t>
        </is>
      </c>
      <c r="D26" s="332" t="inlineStr">
        <is>
          <t>Выручка без НДС − прямые расходы − OPEX. До налога, CAPEX и займа</t>
        </is>
      </c>
      <c r="E26" s="333" t="inlineStr">
        <is>
          <t>—</t>
        </is>
      </c>
    </row>
    <row r="27" ht="34" customHeight="1">
      <c r="A27" s="330" t="inlineStr">
        <is>
          <t>19</t>
        </is>
      </c>
      <c r="B27" s="331" t="inlineStr">
        <is>
          <t>Налог</t>
        </is>
      </c>
      <c r="C27" s="254" t="inlineStr">
        <is>
          <t>02_Модель</t>
        </is>
      </c>
      <c r="D27" s="332" t="inlineStr">
        <is>
          <t>УСН «доходы минус расходы»: MAX(1% от выручки; 15% от прибыли). Считается помесячно</t>
        </is>
      </c>
      <c r="E27" s="333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9" t="n"/>
      <c r="D28" s="329" t="n"/>
      <c r="E28" s="329" t="n"/>
    </row>
    <row r="29" ht="34" customHeight="1">
      <c r="A29" s="330" t="inlineStr">
        <is>
          <t>20</t>
        </is>
      </c>
      <c r="B29" s="331" t="inlineStr">
        <is>
          <t>Поступления</t>
        </is>
      </c>
      <c r="C29" s="254" t="inlineStr">
        <is>
          <t>02_Модель</t>
        </is>
      </c>
      <c r="D29" s="332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33" t="inlineStr">
        <is>
          <t>01_Вводные!B18, B20</t>
        </is>
      </c>
    </row>
    <row r="30" ht="34" customHeight="1">
      <c r="A30" s="330" t="inlineStr">
        <is>
          <t>21</t>
        </is>
      </c>
      <c r="B30" s="331" t="inlineStr">
        <is>
          <t>Выплаты</t>
        </is>
      </c>
      <c r="C30" s="254" t="inlineStr">
        <is>
          <t>02_Модель</t>
        </is>
      </c>
      <c r="D30" s="332" t="inlineStr">
        <is>
          <t>Поставщики — по кредиторке 15 дней. ФОТ, НДС, УСН, лагеря, CAPEX — в месяце начисления</t>
        </is>
      </c>
      <c r="E30" s="333" t="inlineStr">
        <is>
          <t>01_Вводные!B19, B21</t>
        </is>
      </c>
    </row>
    <row r="31" ht="34" customHeight="1">
      <c r="A31" s="330" t="inlineStr">
        <is>
          <t>22</t>
        </is>
      </c>
      <c r="B31" s="331" t="inlineStr">
        <is>
          <t>Склад и закупки</t>
        </is>
      </c>
      <c r="C31" s="254" t="inlineStr">
        <is>
          <t>07_Мерч</t>
        </is>
      </c>
      <c r="D31" s="332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33" t="inlineStr">
        <is>
          <t>01_Вводные!B77, B80:B85</t>
        </is>
      </c>
    </row>
    <row r="32" ht="34" customHeight="1">
      <c r="A32" s="330" t="inlineStr">
        <is>
          <t>23</t>
        </is>
      </c>
      <c r="B32" s="331" t="inlineStr">
        <is>
          <t>Возврат займа ФК</t>
        </is>
      </c>
      <c r="C32" s="254" t="inlineStr">
        <is>
          <t>07_Мерч</t>
        </is>
      </c>
      <c r="D32" s="332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33" t="inlineStr">
        <is>
          <t>01_Вводные!B78, B79, B237, B238</t>
        </is>
      </c>
    </row>
    <row r="33" ht="34" customHeight="1">
      <c r="A33" s="330" t="inlineStr">
        <is>
          <t>24</t>
        </is>
      </c>
      <c r="B33" s="331" t="inlineStr">
        <is>
          <t>CAPEX</t>
        </is>
      </c>
      <c r="C33" s="254" t="inlineStr">
        <is>
          <t>02_Модель</t>
        </is>
      </c>
      <c r="D33" s="332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33" t="inlineStr">
        <is>
          <t>01_Вводные!B286:B290</t>
        </is>
      </c>
    </row>
    <row r="34" ht="34" customHeight="1">
      <c r="A34" s="330" t="inlineStr">
        <is>
          <t>25</t>
        </is>
      </c>
      <c r="B34" s="331" t="inlineStr">
        <is>
          <t>Итог по деньгам</t>
        </is>
      </c>
      <c r="C34" s="254" t="inlineStr">
        <is>
          <t>02_Модель</t>
        </is>
      </c>
      <c r="D34" s="332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33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9" t="n"/>
      <c r="D35" s="329" t="n"/>
      <c r="E35" s="329" t="n"/>
    </row>
    <row r="36" ht="34" customHeight="1">
      <c r="A36" s="330" t="inlineStr">
        <is>
          <t>26</t>
        </is>
      </c>
      <c r="B36" s="331" t="inlineStr">
        <is>
          <t>Мост БДР → БДДС</t>
        </is>
      </c>
      <c r="C36" s="254" t="inlineStr">
        <is>
          <t>02_Модель</t>
        </is>
      </c>
      <c r="D36" s="332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33" t="inlineStr">
        <is>
          <t>13_Проверки!A29</t>
        </is>
      </c>
    </row>
    <row r="37" ht="34" customHeight="1">
      <c r="A37" s="330" t="inlineStr">
        <is>
          <t>27</t>
        </is>
      </c>
      <c r="B37" s="331" t="inlineStr">
        <is>
          <t>Баланс склада и займа</t>
        </is>
      </c>
      <c r="C37" s="254" t="inlineStr">
        <is>
          <t>02_Модель</t>
        </is>
      </c>
      <c r="D37" s="332" t="inlineStr">
        <is>
          <t>Склад начало + закупка − списание = склад конец. Займ начало − погашения = займ конец</t>
        </is>
      </c>
      <c r="E37" s="333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34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34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34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34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34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5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5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5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5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5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31" t="inlineStr">
        <is>
          <t>Итого</t>
        </is>
      </c>
      <c r="B20" s="336" t="n">
        <v>18</v>
      </c>
      <c r="C20" s="255" t="n"/>
      <c r="D20" s="337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8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9" t="n">
        <v>0.9631999999999999</v>
      </c>
      <c r="C26" s="340" t="n">
        <v>1953441</v>
      </c>
      <c r="D26" s="341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9" t="n">
        <v>1</v>
      </c>
      <c r="C27" s="340" t="n">
        <v>2028000</v>
      </c>
      <c r="D27" s="341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9" t="n">
        <v>0.9926</v>
      </c>
      <c r="C28" s="340" t="n">
        <v>2013088</v>
      </c>
      <c r="D28" s="341" t="n">
        <v>1917227</v>
      </c>
      <c r="E28" s="342" t="n">
        <v>2336206</v>
      </c>
      <c r="F28" s="255" t="n"/>
    </row>
    <row r="29">
      <c r="A29" s="231" t="inlineStr">
        <is>
          <t>Апрель</t>
        </is>
      </c>
      <c r="B29" s="339" t="n">
        <v>0.9265</v>
      </c>
      <c r="C29" s="340" t="n">
        <v>1878882</v>
      </c>
      <c r="D29" s="341" t="n">
        <v>1789412</v>
      </c>
      <c r="E29" s="342" t="n">
        <v>2456244</v>
      </c>
      <c r="F29" s="255" t="n"/>
    </row>
    <row r="30">
      <c r="A30" s="231" t="inlineStr">
        <is>
          <t>Май</t>
        </is>
      </c>
      <c r="B30" s="339" t="n">
        <v>0.8235</v>
      </c>
      <c r="C30" s="340" t="n">
        <v>1670118</v>
      </c>
      <c r="D30" s="341" t="n">
        <v>1590588</v>
      </c>
      <c r="E30" s="342" t="n">
        <v>2454376</v>
      </c>
      <c r="F30" s="255" t="n"/>
    </row>
    <row r="31">
      <c r="A31" s="231" t="inlineStr">
        <is>
          <t>Июнь</t>
        </is>
      </c>
      <c r="B31" s="339" t="n">
        <v>0.3162</v>
      </c>
      <c r="C31" s="340" t="n">
        <v>641206</v>
      </c>
      <c r="D31" s="341" t="n">
        <v>1485714</v>
      </c>
      <c r="E31" s="342" t="n">
        <v>2866564</v>
      </c>
      <c r="F31" s="342" t="n">
        <v>2452155</v>
      </c>
    </row>
    <row r="32">
      <c r="A32" s="231" t="inlineStr">
        <is>
          <t>Июль</t>
        </is>
      </c>
      <c r="B32" s="339" t="n">
        <v>0.1397</v>
      </c>
      <c r="C32" s="340" t="n">
        <v>283324</v>
      </c>
      <c r="D32" s="341" t="n">
        <v>1485714</v>
      </c>
      <c r="E32" s="255" t="n"/>
      <c r="F32" s="342" t="n">
        <v>3070178</v>
      </c>
    </row>
    <row r="33">
      <c r="A33" s="343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4" t="inlineStr">
        <is>
          <t>Модель к факту</t>
        </is>
      </c>
      <c r="D34" s="344">
        <f>D33/E33-1</f>
        <v/>
      </c>
      <c r="E34" s="345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6" t="inlineStr">
        <is>
          <t>?</t>
        </is>
      </c>
      <c r="B38" s="347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6" t="inlineStr">
        <is>
          <t>?</t>
        </is>
      </c>
      <c r="B39" s="347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6" t="inlineStr">
        <is>
          <t>?</t>
        </is>
      </c>
      <c r="B40" s="347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6" t="inlineStr">
        <is>
          <t>?</t>
        </is>
      </c>
      <c r="B41" s="347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7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9" t="n"/>
      <c r="D6" s="329" t="n"/>
      <c r="E6" s="329" t="n"/>
    </row>
    <row r="7" ht="32" customHeight="1">
      <c r="A7" s="330" t="inlineStr">
        <is>
          <t>5.1</t>
        </is>
      </c>
      <c r="B7" s="332" t="inlineStr">
        <is>
          <t>Старт модели 01.09.2026</t>
        </is>
      </c>
      <c r="C7" s="332" t="inlineStr">
        <is>
          <t>01.09.2026</t>
        </is>
      </c>
      <c r="D7" s="254" t="inlineStr">
        <is>
          <t>01_Вводные!B7</t>
        </is>
      </c>
      <c r="E7" s="348" t="inlineStr">
        <is>
          <t>Соответствует</t>
        </is>
      </c>
    </row>
    <row r="8" ht="32" customHeight="1">
      <c r="A8" s="330" t="inlineStr">
        <is>
          <t>5.1</t>
        </is>
      </c>
      <c r="B8" s="332" t="inlineStr">
        <is>
          <t>Сезон = сентябрь–август, одна временная ось</t>
        </is>
      </c>
      <c r="C8" s="332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8" t="inlineStr">
        <is>
          <t>Соответствует</t>
        </is>
      </c>
    </row>
    <row r="9" ht="32" customHeight="1">
      <c r="A9" s="330" t="inlineStr">
        <is>
          <t>5.1</t>
        </is>
      </c>
      <c r="B9" s="332" t="inlineStr">
        <is>
          <t>Сентябрь 2026 — 0 продаж франшиз</t>
        </is>
      </c>
      <c r="C9" s="332" t="inlineStr">
        <is>
          <t>Первый месяц жёстко = 0; есть автотест</t>
        </is>
      </c>
      <c r="D9" s="254" t="inlineStr">
        <is>
          <t>04_Продажи!B15</t>
        </is>
      </c>
      <c r="E9" s="348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9" t="n"/>
      <c r="D10" s="329" t="n"/>
      <c r="E10" s="329" t="n"/>
    </row>
    <row r="11" ht="32" customHeight="1">
      <c r="A11" s="330" t="inlineStr">
        <is>
          <t>5.2</t>
        </is>
      </c>
      <c r="B11" s="332" t="inlineStr">
        <is>
          <t>Планы 66 / 72 / 72 / 60 / 50</t>
        </is>
      </c>
      <c r="C11" s="332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8" t="inlineStr">
        <is>
          <t>Соответствует</t>
        </is>
      </c>
    </row>
    <row r="12" ht="32" customHeight="1">
      <c r="A12" s="330" t="inlineStr">
        <is>
          <t>5.2</t>
        </is>
      </c>
      <c r="B12" s="332" t="inlineStr">
        <is>
          <t>Сезонность нормировать так, чтобы сумма = годовому плану</t>
        </is>
      </c>
      <c r="C12" s="332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8" t="inlineStr">
        <is>
          <t>Соответствует</t>
        </is>
      </c>
    </row>
    <row r="13" ht="32" customHeight="1">
      <c r="A13" s="330" t="inlineStr">
        <is>
          <t>5.2</t>
        </is>
      </c>
      <c r="B13" s="332" t="inlineStr">
        <is>
          <t>Дробные продажи в финплане + округлённое целое в опплане</t>
        </is>
      </c>
      <c r="C13" s="332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8" t="inlineStr">
        <is>
          <t>Соответствует</t>
        </is>
      </c>
    </row>
    <row r="14" ht="32" customHeight="1">
      <c r="A14" s="330" t="inlineStr">
        <is>
          <t>5.2</t>
        </is>
      </c>
      <c r="B14" s="332" t="inlineStr">
        <is>
          <t>Продажа, открытие и ERP — разные события; лаг 2 мес.</t>
        </is>
      </c>
      <c r="C14" s="332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8" t="inlineStr">
        <is>
          <t>Соответствует</t>
        </is>
      </c>
    </row>
    <row r="15" ht="32" customHeight="1">
      <c r="A15" s="330" t="inlineStr">
        <is>
          <t>5.2</t>
        </is>
      </c>
      <c r="B15" s="332" t="inlineStr">
        <is>
          <t>Сезонность из «План_продаж», строки 18-22</t>
        </is>
      </c>
      <c r="C15" s="332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9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9" t="n"/>
      <c r="D16" s="329" t="n"/>
      <c r="E16" s="329" t="n"/>
    </row>
    <row r="17" ht="32" customHeight="1">
      <c r="A17" s="330" t="inlineStr">
        <is>
          <t>5.3</t>
        </is>
      </c>
      <c r="B17" s="332" t="inlineStr">
        <is>
          <t>Стартовое количество юрлиц 49</t>
        </is>
      </c>
      <c r="C17" s="332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8" t="inlineStr">
        <is>
          <t>Соответствует</t>
        </is>
      </c>
    </row>
    <row r="18" ht="32" customHeight="1">
      <c r="A18" s="330" t="inlineStr">
        <is>
          <t>5.3</t>
        </is>
      </c>
      <c r="B18" s="332" t="inlineStr">
        <is>
          <t>Стартовые дети действующей сети 5 200</t>
        </is>
      </c>
      <c r="C18" s="332" t="inlineStr">
        <is>
          <t>5 200</t>
        </is>
      </c>
      <c r="D18" s="254" t="inlineStr">
        <is>
          <t>01_Вводные!B11</t>
        </is>
      </c>
      <c r="E18" s="348" t="inlineStr">
        <is>
          <t>Соответствует</t>
        </is>
      </c>
    </row>
    <row r="19" ht="32" customHeight="1">
      <c r="A19" s="330" t="inlineStr">
        <is>
          <t>5.3</t>
        </is>
      </c>
      <c r="B19" s="332" t="inlineStr">
        <is>
          <t>Рост детей 10% г/г, сложный, пересчёт на начало сезона</t>
        </is>
      </c>
      <c r="C19" s="332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8" t="inlineStr">
        <is>
          <t>Соответствует</t>
        </is>
      </c>
    </row>
    <row r="20" ht="32" customHeight="1">
      <c r="A20" s="330" t="inlineStr">
        <is>
          <t>5.3</t>
        </is>
      </c>
      <c r="B20" s="332" t="inlineStr">
        <is>
          <t>Внутри сезона — отдельный индекс посещаемости</t>
        </is>
      </c>
      <c r="C20" s="332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8" t="inlineStr">
        <is>
          <t>Соответствует</t>
        </is>
      </c>
    </row>
    <row r="21" ht="32" customHeight="1">
      <c r="A21" s="330" t="inlineStr">
        <is>
          <t>5.3</t>
        </is>
      </c>
      <c r="B21" s="332" t="inlineStr">
        <is>
          <t>1-й сезон ≈ 75 детей («Микс_продаж!N44»)</t>
        </is>
      </c>
      <c r="C21" s="332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8" t="inlineStr">
        <is>
          <t>Соответствует</t>
        </is>
      </c>
    </row>
    <row r="22" ht="32" customHeight="1">
      <c r="A22" s="330" t="inlineStr">
        <is>
          <t>5.3</t>
        </is>
      </c>
      <c r="B22" s="332" t="inlineStr">
        <is>
          <t>2-й год ≈ 165 детей («O44») — только после подтверждения</t>
        </is>
      </c>
      <c r="C22" s="332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9" t="inlineStr">
        <is>
          <t>Нет источника</t>
        </is>
      </c>
    </row>
    <row r="23" ht="32" customHeight="1">
      <c r="A23" s="330" t="inlineStr">
        <is>
          <t>5.3</t>
        </is>
      </c>
      <c r="B23" s="332" t="inlineStr">
        <is>
          <t>Рост когорт по возрасту: 1-12, 13-24, зрелая</t>
        </is>
      </c>
      <c r="C23" s="332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8" t="inlineStr">
        <is>
          <t>Соответствует</t>
        </is>
      </c>
    </row>
    <row r="24" ht="32" customHeight="1">
      <c r="A24" s="330" t="inlineStr">
        <is>
          <t>5.3</t>
        </is>
      </c>
      <c r="B24" s="332" t="inlineStr">
        <is>
          <t>Закрытие школы уменьшает детей, ERP, роялти, нагрузку</t>
        </is>
      </c>
      <c r="C24" s="332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50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9" t="n"/>
      <c r="D25" s="329" t="n"/>
      <c r="E25" s="329" t="n"/>
    </row>
    <row r="26" ht="32" customHeight="1">
      <c r="A26" s="330" t="inlineStr">
        <is>
          <t>5.4</t>
        </is>
      </c>
      <c r="B26" s="332" t="inlineStr">
        <is>
          <t>Средний паушальный — через взвешенный микс продуктов</t>
        </is>
      </c>
      <c r="C26" s="332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8" t="inlineStr">
        <is>
          <t>Соответствует</t>
        </is>
      </c>
    </row>
    <row r="27" ht="32" customHeight="1">
      <c r="A27" s="330" t="inlineStr">
        <is>
          <t>5.4</t>
        </is>
      </c>
      <c r="B27" s="332" t="inlineStr">
        <is>
          <t>Роялти 6,5% для действующих на 31.12.2026 и продаж до этой даты</t>
        </is>
      </c>
      <c r="C27" s="332" t="inlineStr">
        <is>
          <t>6,5% по договорам с датой ≤ 31.12.2026</t>
        </is>
      </c>
      <c r="D27" s="254" t="inlineStr">
        <is>
          <t>01_Вводные!B55</t>
        </is>
      </c>
      <c r="E27" s="348" t="inlineStr">
        <is>
          <t>Соответствует</t>
        </is>
      </c>
    </row>
    <row r="28" ht="32" customHeight="1">
      <c r="A28" s="330" t="inlineStr">
        <is>
          <t>5.4</t>
        </is>
      </c>
      <c r="B28" s="332" t="inlineStr">
        <is>
          <t>Роялти 8,5% для новых с 01.01.2027</t>
        </is>
      </c>
      <c r="C28" s="332" t="inlineStr">
        <is>
          <t>8,5%</t>
        </is>
      </c>
      <c r="D28" s="254" t="inlineStr">
        <is>
          <t>01_Вводные!B56</t>
        </is>
      </c>
      <c r="E28" s="348" t="inlineStr">
        <is>
          <t>Соответствует</t>
        </is>
      </c>
    </row>
    <row r="29" ht="32" customHeight="1">
      <c r="A29" s="330" t="inlineStr">
        <is>
          <t>5.4</t>
        </is>
      </c>
      <c r="B29" s="332" t="inlineStr">
        <is>
          <t>С 01.01.2030 все переходят на 10%</t>
        </is>
      </c>
      <c r="C29" s="332" t="inlineStr">
        <is>
          <t>10% с 01.01.2030 для всех</t>
        </is>
      </c>
      <c r="D29" s="254" t="inlineStr">
        <is>
          <t>01_Вводные!B57</t>
        </is>
      </c>
      <c r="E29" s="348" t="inlineStr">
        <is>
          <t>Соответствует</t>
        </is>
      </c>
    </row>
    <row r="30" ht="32" customHeight="1">
      <c r="A30" s="330" t="inlineStr">
        <is>
          <t>5.4</t>
        </is>
      </c>
      <c r="B30" s="332" t="inlineStr">
        <is>
          <t>Сохранить минимальный роялти</t>
        </is>
      </c>
      <c r="C30" s="332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8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9" t="n"/>
      <c r="D31" s="329" t="n"/>
      <c r="E31" s="329" t="n"/>
    </row>
    <row r="32" ht="32" customHeight="1">
      <c r="A32" s="330" t="inlineStr">
        <is>
          <t>5.5</t>
        </is>
      </c>
      <c r="B32" s="332" t="inlineStr">
        <is>
          <t>Действующая сеть, сен–дек 2026 — согласованные значения</t>
        </is>
      </c>
      <c r="C32" s="332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8" t="inlineStr">
        <is>
          <t>Соответствует</t>
        </is>
      </c>
    </row>
    <row r="33" ht="32" customHeight="1">
      <c r="A33" s="330" t="inlineStr">
        <is>
          <t>5.5</t>
        </is>
      </c>
      <c r="B33" s="332" t="inlineStr">
        <is>
          <t>С января 2027 — сезонность из строки 77 листа «Допущения»</t>
        </is>
      </c>
      <c r="C33" s="332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9" t="inlineStr">
        <is>
          <t>Нет источника</t>
        </is>
      </c>
    </row>
    <row r="34" ht="32" customHeight="1">
      <c r="A34" s="330" t="inlineStr">
        <is>
          <t>5.5</t>
        </is>
      </c>
      <c r="B34" s="332" t="inlineStr">
        <is>
          <t>Новые партнёры: 50% / 30% / 20% за первые три месяца</t>
        </is>
      </c>
      <c r="C34" s="332" t="inlineStr">
        <is>
          <t>0,5 / 0,3 / 0,2, контроль суммы = 100%</t>
        </is>
      </c>
      <c r="D34" s="254" t="inlineStr">
        <is>
          <t>01_Вводные!B87</t>
        </is>
      </c>
      <c r="E34" s="348" t="inlineStr">
        <is>
          <t>Соответствует</t>
        </is>
      </c>
    </row>
    <row r="35" ht="32" customHeight="1">
      <c r="A35" s="330" t="inlineStr">
        <is>
          <t>5.5</t>
        </is>
      </c>
      <c r="B35" s="332" t="inlineStr">
        <is>
          <t>Когорта не должна одновременно быть в первичной и повторной закупке</t>
        </is>
      </c>
      <c r="C35" s="332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8" t="inlineStr">
        <is>
          <t>Соответствует</t>
        </is>
      </c>
    </row>
    <row r="36" ht="32" customHeight="1">
      <c r="A36" s="330" t="inlineStr">
        <is>
          <t>5.5</t>
        </is>
      </c>
      <c r="B36" s="332" t="inlineStr">
        <is>
          <t>COGS 2 100 ₽, наценка 85%, цена 3 885 ₽</t>
        </is>
      </c>
      <c r="C36" s="332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8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9" t="n"/>
      <c r="D37" s="329" t="n"/>
      <c r="E37" s="329" t="n"/>
    </row>
    <row r="38" ht="32" customHeight="1">
      <c r="A38" s="330" t="inlineStr">
        <is>
          <t>5.6</t>
        </is>
      </c>
      <c r="B38" s="332" t="inlineStr">
        <is>
          <t>Стартовый запас 50 млн ₽, займ 50 млн ₽ беспроцентный</t>
        </is>
      </c>
      <c r="C38" s="332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8" t="inlineStr">
        <is>
          <t>Соответствует</t>
        </is>
      </c>
    </row>
    <row r="39" ht="32" customHeight="1">
      <c r="A39" s="330" t="inlineStr">
        <is>
          <t>5.6</t>
        </is>
      </c>
      <c r="B39" s="332" t="inlineStr">
        <is>
          <t>60% себестоимости реализованного мерча — на возврат займа</t>
        </is>
      </c>
      <c r="C39" s="332" t="inlineStr">
        <is>
          <t>MIN(остаток займа; COGS × 60%)</t>
        </is>
      </c>
      <c r="D39" s="254" t="inlineStr">
        <is>
          <t>07_Мерч!A30</t>
        </is>
      </c>
      <c r="E39" s="348" t="inlineStr">
        <is>
          <t>Соответствует</t>
        </is>
      </c>
    </row>
    <row r="40" ht="32" customHeight="1">
      <c r="A40" s="330" t="inlineStr">
        <is>
          <t>5.6</t>
        </is>
      </c>
      <c r="B40" s="332" t="inlineStr">
        <is>
          <t>Платёж ограничен остатком займа, деньгами и запасом на 6 мес.</t>
        </is>
      </c>
      <c r="C40" s="332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8" t="inlineStr">
        <is>
          <t>Соответствует</t>
        </is>
      </c>
    </row>
    <row r="41" ht="32" customHeight="1">
      <c r="A41" s="330" t="inlineStr">
        <is>
          <t>5.6</t>
        </is>
      </c>
      <c r="B41" s="332" t="inlineStr">
        <is>
          <t>Пополнение на 6 мес. вперёд не чаще 4 раз в год</t>
        </is>
      </c>
      <c r="C41" s="332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8" t="inlineStr">
        <is>
          <t>Соответствует</t>
        </is>
      </c>
    </row>
    <row r="42" ht="32" customHeight="1">
      <c r="A42" s="330" t="inlineStr">
        <is>
          <t>5.6</t>
        </is>
      </c>
      <c r="B42" s="332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32" t="inlineStr">
        <is>
          <t>Все восемь строк раскрыты отдельно</t>
        </is>
      </c>
      <c r="D42" s="254" t="inlineStr">
        <is>
          <t>07_Мерч!A21</t>
        </is>
      </c>
      <c r="E42" s="348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9" t="n"/>
      <c r="D43" s="329" t="n"/>
      <c r="E43" s="329" t="n"/>
    </row>
    <row r="44" ht="32" customHeight="1">
      <c r="A44" s="330" t="inlineStr">
        <is>
          <t>5.7</t>
        </is>
      </c>
      <c r="B44" s="332" t="inlineStr">
        <is>
          <t>ERP 80 тыс. ₽ база + 3 тыс. ₽ за новую активную школу</t>
        </is>
      </c>
      <c r="C44" s="332" t="inlineStr">
        <is>
          <t>80 000 + 3 000 × (школы сверх базы)</t>
        </is>
      </c>
      <c r="D44" s="254" t="inlineStr">
        <is>
          <t>02_Модель!A37</t>
        </is>
      </c>
      <c r="E44" s="348" t="inlineStr">
        <is>
          <t>Соответствует</t>
        </is>
      </c>
    </row>
    <row r="45" ht="32" customHeight="1">
      <c r="A45" s="330" t="inlineStr">
        <is>
          <t>5.7</t>
        </is>
      </c>
      <c r="B45" s="332" t="inlineStr">
        <is>
          <t>Базовое число школ в 80 тыс. ₽ — активные на 01.09.2026</t>
        </is>
      </c>
      <c r="C45" s="332" t="inlineStr">
        <is>
          <t>104 школы, отдельным допущением</t>
        </is>
      </c>
      <c r="D45" s="254" t="inlineStr">
        <is>
          <t>01_Вводные!B106</t>
        </is>
      </c>
      <c r="E45" s="348" t="inlineStr">
        <is>
          <t>Соответствует</t>
        </is>
      </c>
    </row>
    <row r="46" ht="32" customHeight="1">
      <c r="A46" s="330" t="inlineStr">
        <is>
          <t>5.7</t>
        </is>
      </c>
      <c r="B46" s="332" t="inlineStr">
        <is>
          <t>Офис, аренда, уборка, парковка — без изменений до переезда</t>
        </is>
      </c>
      <c r="C46" s="332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8" t="inlineStr">
        <is>
          <t>Соответствует</t>
        </is>
      </c>
    </row>
    <row r="47" ht="32" customHeight="1">
      <c r="A47" s="330" t="inlineStr">
        <is>
          <t>5.7</t>
        </is>
      </c>
      <c r="B47" s="332" t="inlineStr">
        <is>
          <t>Юристы/аудит/бухгалтерия 40 тыс.; IT 80 тыс. отдельной строкой</t>
        </is>
      </c>
      <c r="C47" s="332" t="inlineStr">
        <is>
          <t>40 000 и 80 000, отдельными строками БДР</t>
        </is>
      </c>
      <c r="D47" s="254" t="inlineStr">
        <is>
          <t>01_Вводные!B109</t>
        </is>
      </c>
      <c r="E47" s="348" t="inlineStr">
        <is>
          <t>Соответствует</t>
        </is>
      </c>
    </row>
    <row r="48" ht="32" customHeight="1">
      <c r="A48" s="330" t="inlineStr">
        <is>
          <t>5.7</t>
        </is>
      </c>
      <c r="B48" s="332" t="inlineStr">
        <is>
          <t>Маркетинг/SMM 100 тыс. до 31.08.2027, далее штатный SMM 100 тыс. на руки + подрядчики 40 тыс.</t>
        </is>
      </c>
      <c r="C48" s="332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8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9" t="n"/>
      <c r="D49" s="329" t="n"/>
      <c r="E49" s="329" t="n"/>
    </row>
    <row r="50" ht="32" customHeight="1">
      <c r="A50" s="330" t="inlineStr">
        <is>
          <t>6.1</t>
        </is>
      </c>
      <c r="B50" s="332" t="inlineStr">
        <is>
          <t>Ядро и оклады как в v5; Левон — проектный менеджер, оклад сохранён</t>
        </is>
      </c>
      <c r="C50" s="332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8" t="inlineStr">
        <is>
          <t>Соответствует</t>
        </is>
      </c>
    </row>
    <row r="51" ht="32" customHeight="1">
      <c r="A51" s="330" t="inlineStr">
        <is>
          <t>6.1</t>
        </is>
      </c>
      <c r="B51" s="332" t="inlineStr">
        <is>
          <t>Офис-менеджер 70 тыс. на руки с 01.01.2027</t>
        </is>
      </c>
      <c r="C51" s="332" t="inlineStr">
        <is>
          <t>70 000 net, дата выхода 01.01.2027</t>
        </is>
      </c>
      <c r="D51" s="254" t="inlineStr">
        <is>
          <t>01_Вводные!B133</t>
        </is>
      </c>
      <c r="E51" s="348" t="inlineStr">
        <is>
          <t>Соответствует</t>
        </is>
      </c>
    </row>
    <row r="52" ht="32" customHeight="1">
      <c r="A52" s="330" t="inlineStr">
        <is>
          <t>6.1</t>
        </is>
      </c>
      <c r="B52" s="332" t="inlineStr">
        <is>
          <t>SMM 100 тыс. на руки с 01.09.2027</t>
        </is>
      </c>
      <c r="C52" s="332" t="inlineStr">
        <is>
          <t>100 000 net, дата выхода 01.09.2027</t>
        </is>
      </c>
      <c r="D52" s="254" t="inlineStr">
        <is>
          <t>01_Вводные!B134</t>
        </is>
      </c>
      <c r="E52" s="348" t="inlineStr">
        <is>
          <t>Соответствует</t>
        </is>
      </c>
    </row>
    <row r="53" ht="32" customHeight="1">
      <c r="A53" s="330" t="inlineStr">
        <is>
          <t>6.1</t>
        </is>
      </c>
      <c r="B53" s="332" t="inlineStr">
        <is>
          <t>Оклад ГД +100 тыс. на руки с 01.01.2028</t>
        </is>
      </c>
      <c r="C53" s="332" t="inlineStr">
        <is>
          <t>100 000 net с 01.01.2028</t>
        </is>
      </c>
      <c r="D53" s="254" t="inlineStr">
        <is>
          <t>01_Вводные!B135</t>
        </is>
      </c>
      <c r="E53" s="348" t="inlineStr">
        <is>
          <t>Соответствует</t>
        </is>
      </c>
    </row>
    <row r="54" ht="32" customHeight="1">
      <c r="A54" s="330" t="inlineStr">
        <is>
          <t>6.1</t>
        </is>
      </c>
      <c r="B54" s="332" t="inlineStr">
        <is>
          <t>Индексация окладов 1 сентября с 01.09.2027, ежегодно</t>
        </is>
      </c>
      <c r="C54" s="332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8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9" t="n"/>
      <c r="D55" s="329" t="n"/>
      <c r="E55" s="329" t="n"/>
    </row>
    <row r="56" ht="32" customHeight="1">
      <c r="A56" s="330" t="inlineStr">
        <is>
          <t>6.2</t>
        </is>
      </c>
      <c r="B56" s="332" t="inlineStr">
        <is>
          <t>Один менеджер на 35 активных юрлиц</t>
        </is>
      </c>
      <c r="C56" s="332" t="inlineStr">
        <is>
          <t>35 юрлиц на менеджера</t>
        </is>
      </c>
      <c r="D56" s="254" t="inlineStr">
        <is>
          <t>01_Вводные!B117</t>
        </is>
      </c>
      <c r="E56" s="348" t="inlineStr">
        <is>
          <t>Соответствует</t>
        </is>
      </c>
    </row>
    <row r="57" ht="32" customHeight="1">
      <c r="A57" s="330" t="inlineStr">
        <is>
          <t>6.2</t>
        </is>
      </c>
      <c r="B57" s="332" t="inlineStr">
        <is>
          <t>После перевода Левона остаются два менеджера развития</t>
        </is>
      </c>
      <c r="C57" s="332" t="inlineStr">
        <is>
          <t>База 2 менеджера</t>
        </is>
      </c>
      <c r="D57" s="254" t="inlineStr">
        <is>
          <t>01_Вводные!B118</t>
        </is>
      </c>
      <c r="E57" s="348" t="inlineStr">
        <is>
          <t>Соответствует</t>
        </is>
      </c>
    </row>
    <row r="58" ht="32" customHeight="1">
      <c r="A58" s="330" t="inlineStr">
        <is>
          <t>6.2</t>
        </is>
      </c>
      <c r="B58" s="332" t="inlineStr">
        <is>
          <t>Найм на 70, 105, 140 юрлиц — опережающий на границе загрузки</t>
        </is>
      </c>
      <c r="C58" s="332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8" t="inlineStr">
        <is>
          <t>Соответствует</t>
        </is>
      </c>
    </row>
    <row r="59" ht="32" customHeight="1">
      <c r="A59" s="330" t="inlineStr">
        <is>
          <t>6.2</t>
        </is>
      </c>
      <c r="B59" s="332" t="inlineStr">
        <is>
          <t>Комиссия агентства = один месячный оклад gross</t>
        </is>
      </c>
      <c r="C59" s="332" t="inlineStr">
        <is>
          <t>Коэффициент 1,00× gross</t>
        </is>
      </c>
      <c r="D59" s="254" t="inlineStr">
        <is>
          <t>01_Вводные!B120</t>
        </is>
      </c>
      <c r="E59" s="348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9" t="n"/>
      <c r="D60" s="329" t="n"/>
      <c r="E60" s="329" t="n"/>
    </row>
    <row r="61" ht="32" customHeight="1">
      <c r="A61" s="330" t="inlineStr">
        <is>
          <t>6.3</t>
        </is>
      </c>
      <c r="B61" s="332" t="inlineStr">
        <is>
          <t>240 тыс. ₽ в октябре 2026 на замену директора по маркетингу</t>
        </is>
      </c>
      <c r="C61" s="332" t="inlineStr">
        <is>
          <t>240 000 ₽, дата 01.10.2026</t>
        </is>
      </c>
      <c r="D61" s="254" t="inlineStr">
        <is>
          <t>01_Вводные!B121</t>
        </is>
      </c>
      <c r="E61" s="348" t="inlineStr">
        <is>
          <t>Соответствует</t>
        </is>
      </c>
    </row>
    <row r="62" ht="32" customHeight="1">
      <c r="A62" s="330" t="inlineStr">
        <is>
          <t>6.3</t>
        </is>
      </c>
      <c r="B62" s="332" t="inlineStr">
        <is>
          <t>Резерв на ротацию 350 тыс. ₽ в год</t>
        </is>
      </c>
      <c r="C62" s="332" t="inlineStr">
        <is>
          <t>350 000 ₽ раз в год, в сентябре</t>
        </is>
      </c>
      <c r="D62" s="254" t="inlineStr">
        <is>
          <t>01_Вводные!B122</t>
        </is>
      </c>
      <c r="E62" s="348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9" t="n"/>
      <c r="D63" s="329" t="n"/>
      <c r="E63" s="329" t="n"/>
    </row>
    <row r="64" ht="32" customHeight="1">
      <c r="A64" s="330" t="inlineStr">
        <is>
          <t>6.4</t>
        </is>
      </c>
      <c r="B64" s="332" t="inlineStr">
        <is>
          <t>Менеджеры развития: 25 тыс. на руки до 31.12.2026, далее 30 тыс.; НДФЛ и взносы учитывать. Левон входит</t>
        </is>
      </c>
      <c r="C64" s="332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8" t="inlineStr">
        <is>
          <t>Соответствует</t>
        </is>
      </c>
    </row>
    <row r="65" ht="32" customHeight="1">
      <c r="A65" s="330" t="inlineStr">
        <is>
          <t>6.4</t>
        </is>
      </c>
      <c r="B65" s="332" t="inlineStr">
        <is>
          <t>Евгений: при 2+ продажах 4% паушальных за вычетом НДС; «на руки получит 4% минус все налоги»</t>
        </is>
      </c>
      <c r="C65" s="332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50" t="inlineStr">
        <is>
          <t>Отклонение</t>
        </is>
      </c>
    </row>
    <row r="66" ht="32" customHeight="1">
      <c r="A66" s="330" t="inlineStr">
        <is>
          <t>6.4</t>
        </is>
      </c>
      <c r="B66" s="332" t="inlineStr">
        <is>
          <t>Отдельные схемы не должны давать двойную премию за одни и те же продажи</t>
        </is>
      </c>
      <c r="C66" s="332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50" t="inlineStr">
        <is>
          <t>Отклонение</t>
        </is>
      </c>
    </row>
    <row r="67" ht="32" customHeight="1">
      <c r="A67" s="330" t="inlineStr">
        <is>
          <t>6.4</t>
        </is>
      </c>
      <c r="B67" s="332" t="inlineStr">
        <is>
          <t>При 5+ продажах временный продавец: 80 тыс. на руки + 5%, налоги аналогично. Временный подрядчик</t>
        </is>
      </c>
      <c r="C67" s="332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8" t="inlineStr">
        <is>
          <t>Соответствует</t>
        </is>
      </c>
    </row>
    <row r="68" ht="32" customHeight="1">
      <c r="A68" s="330" t="inlineStr">
        <is>
          <t>6.4</t>
        </is>
      </c>
      <c r="B68" s="332" t="inlineStr">
        <is>
          <t>Квартальные премии 60% месячного оклада с 01.10.2027, первая выплата за IV кв. 2027 в декабре 2027</t>
        </is>
      </c>
      <c r="C68" s="332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8" t="inlineStr">
        <is>
          <t>Соответствует</t>
        </is>
      </c>
    </row>
    <row r="69" ht="32" customHeight="1">
      <c r="A69" s="330" t="inlineStr">
        <is>
          <t>6.4</t>
        </is>
      </c>
      <c r="B69" s="332" t="inlineStr">
        <is>
          <t>Отдельные схемы не должны получать двойную премию</t>
        </is>
      </c>
      <c r="C69" s="332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8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9" t="n"/>
      <c r="D70" s="329" t="n"/>
      <c r="E70" s="329" t="n"/>
    </row>
    <row r="71" ht="32" customHeight="1">
      <c r="A71" s="330" t="inlineStr">
        <is>
          <t>7</t>
        </is>
      </c>
      <c r="B71" s="332" t="inlineStr">
        <is>
          <t>Таргет за два месяца до продажи, 160 тыс. ₽ на продажу</t>
        </is>
      </c>
      <c r="C71" s="332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51" t="inlineStr">
        <is>
          <t>Нет в ТЗ</t>
        </is>
      </c>
    </row>
    <row r="72" ht="32" customHeight="1">
      <c r="A72" s="330" t="inlineStr">
        <is>
          <t>7</t>
        </is>
      </c>
      <c r="B72" s="332" t="inlineStr">
        <is>
          <t>БИБОСС 250 тыс. октябрь, TopFranchise 250 тыс. ноябрь, Forbes 250 тыс. декабрь, ежегодно</t>
        </is>
      </c>
      <c r="C72" s="332" t="inlineStr">
        <is>
          <t>250 000 × 3, месяцы 10 / 11 / 12, каждый год</t>
        </is>
      </c>
      <c r="D72" s="254" t="inlineStr">
        <is>
          <t>01_Вводные!B28</t>
        </is>
      </c>
      <c r="E72" s="348" t="inlineStr">
        <is>
          <t>Соответствует</t>
        </is>
      </c>
    </row>
    <row r="73" ht="32" customHeight="1">
      <c r="A73" s="330" t="inlineStr">
        <is>
          <t>7</t>
        </is>
      </c>
      <c r="B73" s="332" t="inlineStr">
        <is>
          <t>Конверсия лид→продажа 3%; лиды = продажи / 3%, округление вверх</t>
        </is>
      </c>
      <c r="C73" s="332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8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9" t="n"/>
      <c r="D74" s="329" t="n"/>
      <c r="E74" s="329" t="n"/>
    </row>
    <row r="75" ht="32" customHeight="1">
      <c r="A75" s="330" t="inlineStr">
        <is>
          <t>8</t>
        </is>
      </c>
      <c r="B75" s="332" t="inlineStr">
        <is>
          <t>Разделять начисление (БДР) и движение денег (БДДС)</t>
        </is>
      </c>
      <c r="C75" s="332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8" t="inlineStr">
        <is>
          <t>Соответствует</t>
        </is>
      </c>
    </row>
    <row r="76" ht="32" customHeight="1">
      <c r="A76" s="330" t="inlineStr">
        <is>
          <t>8</t>
        </is>
      </c>
      <c r="B76" s="332" t="inlineStr">
        <is>
          <t>Дебиторка и кредиторка базово 15 дней</t>
        </is>
      </c>
      <c r="C76" s="332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8" t="inlineStr">
        <is>
          <t>Соответствует</t>
        </is>
      </c>
    </row>
    <row r="77" ht="32" customHeight="1">
      <c r="A77" s="330" t="inlineStr">
        <is>
          <t>8</t>
        </is>
      </c>
      <c r="B77" s="332" t="inlineStr">
        <is>
          <t>Паушальный взнос поступает в месяц продажи</t>
        </is>
      </c>
      <c r="C77" s="332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8" t="inlineStr">
        <is>
          <t>Соответствует</t>
        </is>
      </c>
    </row>
    <row r="78" ht="32" customHeight="1">
      <c r="A78" s="330" t="inlineStr">
        <is>
          <t>8</t>
        </is>
      </c>
      <c r="B78" s="332" t="inlineStr">
        <is>
          <t>Ставки налогов</t>
        </is>
      </c>
      <c r="C78" s="332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51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9" t="n"/>
      <c r="D79" s="329" t="n"/>
      <c r="E79" s="329" t="n"/>
    </row>
    <row r="80" ht="32" customHeight="1">
      <c r="A80" s="330" t="inlineStr">
        <is>
          <t>9</t>
        </is>
      </c>
      <c r="B80" s="332" t="inlineStr">
        <is>
          <t>ОТКЛЮЧЕНО по запросу 09.09.2026</t>
        </is>
      </c>
      <c r="C80" s="332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51" t="inlineStr">
        <is>
          <t>Нет в ТЗ</t>
        </is>
      </c>
    </row>
    <row r="81" ht="32" customHeight="1">
      <c r="A81" s="330" t="inlineStr">
        <is>
          <t>9</t>
        </is>
      </c>
      <c r="B81" s="332" t="inlineStr">
        <is>
          <t>Лагеря в июне, 2 смены по 100 человек</t>
        </is>
      </c>
      <c r="C81" s="332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8" t="inlineStr">
        <is>
          <t>Соответствует</t>
        </is>
      </c>
    </row>
    <row r="82" ht="32" customHeight="1">
      <c r="A82" s="330" t="inlineStr">
        <is>
          <t>9</t>
        </is>
      </c>
      <c r="B82" s="332" t="inlineStr">
        <is>
          <t>Продажи с февраля равными долями до мая включительно</t>
        </is>
      </c>
      <c r="C82" s="332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8" t="inlineStr">
        <is>
          <t>Соответствует</t>
        </is>
      </c>
    </row>
    <row r="83" ht="32" customHeight="1">
      <c r="A83" s="330" t="inlineStr">
        <is>
          <t>9</t>
        </is>
      </c>
      <c r="B83" s="332" t="inlineStr">
        <is>
          <t>Оплаты клиентов авансом 40/60</t>
        </is>
      </c>
      <c r="C83" s="332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8" t="inlineStr">
        <is>
          <t>Соответствует</t>
        </is>
      </c>
    </row>
    <row r="84" ht="32" customHeight="1">
      <c r="A84" s="330" t="inlineStr">
        <is>
          <t>9</t>
        </is>
      </c>
      <c r="B84" s="332" t="inlineStr">
        <is>
          <t>Оплата проживания 40/60, первая в марте</t>
        </is>
      </c>
      <c r="C84" s="332" t="inlineStr">
        <is>
          <t>40% в марте, 60% в мае</t>
        </is>
      </c>
      <c r="D84" s="254" t="inlineStr">
        <is>
          <t>01_Вводные!B174</t>
        </is>
      </c>
      <c r="E84" s="348" t="inlineStr">
        <is>
          <t>Соответствует</t>
        </is>
      </c>
    </row>
    <row r="85" ht="32" customHeight="1">
      <c r="A85" s="330" t="inlineStr">
        <is>
          <t>9</t>
        </is>
      </c>
      <c r="B85" s="332" t="inlineStr">
        <is>
          <t>Цены и расходы смены</t>
        </is>
      </c>
      <c r="C85" s="332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9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9" t="n"/>
      <c r="D86" s="329" t="n"/>
      <c r="E86" s="329" t="n"/>
    </row>
    <row r="87" ht="32" customHeight="1">
      <c r="A87" s="330" t="inlineStr">
        <is>
          <t>10</t>
        </is>
      </c>
      <c r="B87" s="332" t="inlineStr">
        <is>
          <t>Показать результат в двух вариациях: с 01.09.2025 и с 01.09.2026</t>
        </is>
      </c>
      <c r="C87" s="332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8" t="inlineStr">
        <is>
          <t>Соответствует</t>
        </is>
      </c>
    </row>
    <row r="88" ht="32" customHeight="1">
      <c r="A88" s="330" t="inlineStr">
        <is>
          <t>10</t>
        </is>
      </c>
      <c r="B88" s="332" t="inlineStr">
        <is>
          <t>Факт P&amp;L июнь и июль 2026</t>
        </is>
      </c>
      <c r="C88" s="332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8" t="inlineStr">
        <is>
          <t>Соответствует</t>
        </is>
      </c>
    </row>
    <row r="89" ht="32" customHeight="1">
      <c r="A89" s="330" t="inlineStr">
        <is>
          <t>10</t>
        </is>
      </c>
      <c r="B89" s="332" t="inlineStr">
        <is>
          <t>Факт ДДС январь–июль 2026</t>
        </is>
      </c>
      <c r="C89" s="332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8" t="inlineStr">
        <is>
          <t>Соответствует</t>
        </is>
      </c>
    </row>
    <row r="90" ht="32" customHeight="1">
      <c r="A90" s="330" t="inlineStr">
        <is>
          <t>10</t>
        </is>
      </c>
      <c r="B90" s="332" t="inlineStr">
        <is>
          <t>Стартовый денежный остаток</t>
        </is>
      </c>
      <c r="C90" s="332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8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52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52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52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2026-09-11T12:01:16Z</dcterms:modified>
</cp:coreProperties>
</file>