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4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color rgb="009E1B3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3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81" fillId="0" borderId="0" pivotButton="0" quotePrefix="0" xfId="0"/>
    <xf numFmtId="0" fontId="0" fillId="34" borderId="3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2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10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  <row r="309">
      <c r="A309" s="318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319" t="n">
        <v>6</v>
      </c>
      <c r="C310" t="inlineStr">
        <is>
          <t>мес. будущих продаж</t>
        </is>
      </c>
      <c r="D310" t="inlineStr">
        <is>
          <t>ТЗ 5.6, уточнено 11.09.2026</t>
        </is>
      </c>
      <c r="E310" t="inlineStr">
        <is>
          <t>Займ возвращаем, только если на складе остаётся запас на столько месяцев вперёд. Это не то же самое, что целевой запас закупки в B80: тот про объём поставок.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IF(OR(61&lt;='01_Вводные'!$B$15,61-'01_Вводные'!$B$15&gt;60),0,INDEX('04_Продажи'!$B$15:$BI$15,1,61-'01_Вводные'!$B$15))*'01_Вводные'!$B$298*'01_Вводные'!$B$22</f>
        <v/>
      </c>
      <c r="BK8" s="185">
        <f>IF(OR(62&lt;='01_Вводные'!$B$15,62-'01_Вводные'!$B$15&gt;60),0,INDEX('04_Продажи'!$B$15:$BI$15,1,62-'01_Вводные'!$B$15))*'01_Вводные'!$B$298*'01_Вводные'!$B$22</f>
        <v/>
      </c>
      <c r="BL8" s="185">
        <f>IF(OR(63&lt;='01_Вводные'!$B$15,63-'01_Вводные'!$B$15&gt;60),0,INDEX('04_Продажи'!$B$15:$BI$15,1,63-'01_Вводные'!$B$15))*'01_Вводные'!$B$298*'01_Вводные'!$B$22</f>
        <v/>
      </c>
      <c r="BM8" s="185">
        <f>IF(OR(64&lt;='01_Вводные'!$B$15,64-'01_Вводные'!$B$15&gt;60),0,INDEX('04_Продажи'!$B$15:$BI$15,1,64-'01_Вводные'!$B$15))*'01_Вводные'!$B$298*'01_Вводные'!$B$22</f>
        <v/>
      </c>
      <c r="BN8" s="185">
        <f>IF(OR(65&lt;='01_Вводные'!$B$15,65-'01_Вводные'!$B$15&gt;60),0,INDEX('04_Продажи'!$B$15:$BI$15,1,65-'01_Вводные'!$B$15))*'01_Вводные'!$B$298*'01_Вводные'!$B$22</f>
        <v/>
      </c>
      <c r="BO8" s="185">
        <f>IF(OR(66&lt;='01_Вводные'!$B$15,66-'01_Вводные'!$B$15&gt;60),0,INDEX('04_Продажи'!$B$15:$BI$15,1,66-'01_Вводные'!$B$15))*'01_Вводные'!$B$298*'01_Вводные'!$B$22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20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21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21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21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21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21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2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2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3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2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2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2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2">
        <f>IF(ABS(B74)&lt;0.01,"OK","ПРОВЕРИТЬ")</f>
        <v/>
      </c>
      <c r="D74" s="245" t="inlineStr">
        <is>
          <t>Ни поступлений, ни оплат.</t>
        </is>
      </c>
    </row>
    <row r="76">
      <c r="A76" s="324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5" t="inlineStr">
        <is>
          <t>Начни отсюда</t>
        </is>
      </c>
      <c r="B2" s="326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5" t="inlineStr">
        <is>
          <t>Почему цифры такие</t>
        </is>
      </c>
      <c r="B3" s="326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6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6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IF(OR(1&lt;='01_Вводные'!$B$15,1-'01_Вводные'!$B$15&gt;60),0,INDEX('19_Расчет_аналитики'!$B$338:$BI$338,1,1-'01_Вводные'!$B$15))*'01_Вводные'!$B$298*'01_Вводные'!$B$22</f>
        <v/>
      </c>
      <c r="C363">
        <f>IF(OR(2&lt;='01_Вводные'!$B$15,2-'01_Вводные'!$B$15&gt;60),0,INDEX('19_Расчет_аналитики'!$B$338:$BI$338,1,2-'01_Вводные'!$B$15))*'01_Вводные'!$B$298*'01_Вводные'!$B$22</f>
        <v/>
      </c>
      <c r="D363">
        <f>IF(OR(3&lt;='01_Вводные'!$B$15,3-'01_Вводные'!$B$15&gt;60),0,INDEX('19_Расчет_аналитики'!$B$338:$BI$338,1,3-'01_Вводные'!$B$15))*'01_Вводные'!$B$298*'01_Вводные'!$B$22</f>
        <v/>
      </c>
      <c r="E363">
        <f>IF(OR(4&lt;='01_Вводные'!$B$15,4-'01_Вводные'!$B$15&gt;60),0,INDEX('19_Расчет_аналитики'!$B$338:$BI$338,1,4-'01_Вводные'!$B$15))*'01_Вводные'!$B$298*'01_Вводные'!$B$22</f>
        <v/>
      </c>
      <c r="F363">
        <f>IF(OR(5&lt;='01_Вводные'!$B$15,5-'01_Вводные'!$B$15&gt;60),0,INDEX('19_Расчет_аналитики'!$B$338:$BI$338,1,5-'01_Вводные'!$B$15))*'01_Вводные'!$B$298*'01_Вводные'!$B$22</f>
        <v/>
      </c>
      <c r="G363">
        <f>IF(OR(6&lt;='01_Вводные'!$B$15,6-'01_Вводные'!$B$15&gt;60),0,INDEX('19_Расчет_аналитики'!$B$338:$BI$338,1,6-'01_Вводные'!$B$15))*'01_Вводные'!$B$298*'01_Вводные'!$B$22</f>
        <v/>
      </c>
      <c r="H363">
        <f>IF(OR(7&lt;='01_Вводные'!$B$15,7-'01_Вводные'!$B$15&gt;60),0,INDEX('19_Расчет_аналитики'!$B$338:$BI$338,1,7-'01_Вводные'!$B$15))*'01_Вводные'!$B$298*'01_Вводные'!$B$22</f>
        <v/>
      </c>
      <c r="I363">
        <f>IF(OR(8&lt;='01_Вводные'!$B$15,8-'01_Вводные'!$B$15&gt;60),0,INDEX('19_Расчет_аналитики'!$B$338:$BI$338,1,8-'01_Вводные'!$B$15))*'01_Вводные'!$B$298*'01_Вводные'!$B$22</f>
        <v/>
      </c>
      <c r="J363">
        <f>IF(OR(9&lt;='01_Вводные'!$B$15,9-'01_Вводные'!$B$15&gt;60),0,INDEX('19_Расчет_аналитики'!$B$338:$BI$338,1,9-'01_Вводные'!$B$15))*'01_Вводные'!$B$298*'01_Вводные'!$B$22</f>
        <v/>
      </c>
      <c r="K363">
        <f>IF(OR(10&lt;='01_Вводные'!$B$15,10-'01_Вводные'!$B$15&gt;60),0,INDEX('19_Расчет_аналитики'!$B$338:$BI$338,1,10-'01_Вводные'!$B$15))*'01_Вводные'!$B$298*'01_Вводные'!$B$22</f>
        <v/>
      </c>
      <c r="L363">
        <f>IF(OR(11&lt;='01_Вводные'!$B$15,11-'01_Вводные'!$B$15&gt;60),0,INDEX('19_Расчет_аналитики'!$B$338:$BI$338,1,11-'01_Вводные'!$B$15))*'01_Вводные'!$B$298*'01_Вводные'!$B$22</f>
        <v/>
      </c>
      <c r="M363">
        <f>IF(OR(12&lt;='01_Вводные'!$B$15,12-'01_Вводные'!$B$15&gt;60),0,INDEX('19_Расчет_аналитики'!$B$338:$BI$338,1,12-'01_Вводные'!$B$15))*'01_Вводные'!$B$298*'01_Вводные'!$B$22</f>
        <v/>
      </c>
      <c r="N363">
        <f>IF(OR(13&lt;='01_Вводные'!$B$15,13-'01_Вводные'!$B$15&gt;60),0,INDEX('19_Расчет_аналитики'!$B$338:$BI$338,1,13-'01_Вводные'!$B$15))*'01_Вводные'!$B$298*'01_Вводные'!$B$22</f>
        <v/>
      </c>
      <c r="O363">
        <f>IF(OR(14&lt;='01_Вводные'!$B$15,14-'01_Вводные'!$B$15&gt;60),0,INDEX('19_Расчет_аналитики'!$B$338:$BI$338,1,14-'01_Вводные'!$B$15))*'01_Вводные'!$B$298*'01_Вводные'!$B$22</f>
        <v/>
      </c>
      <c r="P363">
        <f>IF(OR(15&lt;='01_Вводные'!$B$15,15-'01_Вводные'!$B$15&gt;60),0,INDEX('19_Расчет_аналитики'!$B$338:$BI$338,1,15-'01_Вводные'!$B$15))*'01_Вводные'!$B$298*'01_Вводные'!$B$22</f>
        <v/>
      </c>
      <c r="Q363">
        <f>IF(OR(16&lt;='01_Вводные'!$B$15,16-'01_Вводные'!$B$15&gt;60),0,INDEX('19_Расчет_аналитики'!$B$338:$BI$338,1,16-'01_Вводные'!$B$15))*'01_Вводные'!$B$298*'01_Вводные'!$B$22</f>
        <v/>
      </c>
      <c r="R363">
        <f>IF(OR(17&lt;='01_Вводные'!$B$15,17-'01_Вводные'!$B$15&gt;60),0,INDEX('19_Расчет_аналитики'!$B$338:$BI$338,1,17-'01_Вводные'!$B$15))*'01_Вводные'!$B$298*'01_Вводные'!$B$22</f>
        <v/>
      </c>
      <c r="S363">
        <f>IF(OR(18&lt;='01_Вводные'!$B$15,18-'01_Вводные'!$B$15&gt;60),0,INDEX('19_Расчет_аналитики'!$B$338:$BI$338,1,18-'01_Вводные'!$B$15))*'01_Вводные'!$B$298*'01_Вводные'!$B$22</f>
        <v/>
      </c>
      <c r="T363">
        <f>IF(OR(19&lt;='01_Вводные'!$B$15,19-'01_Вводные'!$B$15&gt;60),0,INDEX('19_Расчет_аналитики'!$B$338:$BI$338,1,19-'01_Вводные'!$B$15))*'01_Вводные'!$B$298*'01_Вводные'!$B$22</f>
        <v/>
      </c>
      <c r="U363">
        <f>IF(OR(20&lt;='01_Вводные'!$B$15,20-'01_Вводные'!$B$15&gt;60),0,INDEX('19_Расчет_аналитики'!$B$338:$BI$338,1,20-'01_Вводные'!$B$15))*'01_Вводные'!$B$298*'01_Вводные'!$B$22</f>
        <v/>
      </c>
      <c r="V363">
        <f>IF(OR(21&lt;='01_Вводные'!$B$15,21-'01_Вводные'!$B$15&gt;60),0,INDEX('19_Расчет_аналитики'!$B$338:$BI$338,1,21-'01_Вводные'!$B$15))*'01_Вводные'!$B$298*'01_Вводные'!$B$22</f>
        <v/>
      </c>
      <c r="W363">
        <f>IF(OR(22&lt;='01_Вводные'!$B$15,22-'01_Вводные'!$B$15&gt;60),0,INDEX('19_Расчет_аналитики'!$B$338:$BI$338,1,22-'01_Вводные'!$B$15))*'01_Вводные'!$B$298*'01_Вводные'!$B$22</f>
        <v/>
      </c>
      <c r="X363">
        <f>IF(OR(23&lt;='01_Вводные'!$B$15,23-'01_Вводные'!$B$15&gt;60),0,INDEX('19_Расчет_аналитики'!$B$338:$BI$338,1,23-'01_Вводные'!$B$15))*'01_Вводные'!$B$298*'01_Вводные'!$B$22</f>
        <v/>
      </c>
      <c r="Y363">
        <f>IF(OR(24&lt;='01_Вводные'!$B$15,24-'01_Вводные'!$B$15&gt;60),0,INDEX('19_Расчет_аналитики'!$B$338:$BI$338,1,24-'01_Вводные'!$B$15))*'01_Вводные'!$B$298*'01_Вводные'!$B$22</f>
        <v/>
      </c>
      <c r="Z363">
        <f>IF(OR(25&lt;='01_Вводные'!$B$15,25-'01_Вводные'!$B$15&gt;60),0,INDEX('19_Расчет_аналитики'!$B$338:$BI$338,1,25-'01_Вводные'!$B$15))*'01_Вводные'!$B$298*'01_Вводные'!$B$22</f>
        <v/>
      </c>
      <c r="AA363">
        <f>IF(OR(26&lt;='01_Вводные'!$B$15,26-'01_Вводные'!$B$15&gt;60),0,INDEX('19_Расчет_аналитики'!$B$338:$BI$338,1,26-'01_Вводные'!$B$15))*'01_Вводные'!$B$298*'01_Вводные'!$B$22</f>
        <v/>
      </c>
      <c r="AB363">
        <f>IF(OR(27&lt;='01_Вводные'!$B$15,27-'01_Вводные'!$B$15&gt;60),0,INDEX('19_Расчет_аналитики'!$B$338:$BI$338,1,27-'01_Вводные'!$B$15))*'01_Вводные'!$B$298*'01_Вводные'!$B$22</f>
        <v/>
      </c>
      <c r="AC363">
        <f>IF(OR(28&lt;='01_Вводные'!$B$15,28-'01_Вводные'!$B$15&gt;60),0,INDEX('19_Расчет_аналитики'!$B$338:$BI$338,1,28-'01_Вводные'!$B$15))*'01_Вводные'!$B$298*'01_Вводные'!$B$22</f>
        <v/>
      </c>
      <c r="AD363">
        <f>IF(OR(29&lt;='01_Вводные'!$B$15,29-'01_Вводные'!$B$15&gt;60),0,INDEX('19_Расчет_аналитики'!$B$338:$BI$338,1,29-'01_Вводные'!$B$15))*'01_Вводные'!$B$298*'01_Вводные'!$B$22</f>
        <v/>
      </c>
      <c r="AE363">
        <f>IF(OR(30&lt;='01_Вводные'!$B$15,30-'01_Вводные'!$B$15&gt;60),0,INDEX('19_Расчет_аналитики'!$B$338:$BI$338,1,30-'01_Вводные'!$B$15))*'01_Вводные'!$B$298*'01_Вводные'!$B$22</f>
        <v/>
      </c>
      <c r="AF363">
        <f>IF(OR(31&lt;='01_Вводные'!$B$15,31-'01_Вводные'!$B$15&gt;60),0,INDEX('19_Расчет_аналитики'!$B$338:$BI$338,1,31-'01_Вводные'!$B$15))*'01_Вводные'!$B$298*'01_Вводные'!$B$22</f>
        <v/>
      </c>
      <c r="AG363">
        <f>IF(OR(32&lt;='01_Вводные'!$B$15,32-'01_Вводные'!$B$15&gt;60),0,INDEX('19_Расчет_аналитики'!$B$338:$BI$338,1,32-'01_Вводные'!$B$15))*'01_Вводные'!$B$298*'01_Вводные'!$B$22</f>
        <v/>
      </c>
      <c r="AH363">
        <f>IF(OR(33&lt;='01_Вводные'!$B$15,33-'01_Вводные'!$B$15&gt;60),0,INDEX('19_Расчет_аналитики'!$B$338:$BI$338,1,33-'01_Вводные'!$B$15))*'01_Вводные'!$B$298*'01_Вводные'!$B$22</f>
        <v/>
      </c>
      <c r="AI363">
        <f>IF(OR(34&lt;='01_Вводные'!$B$15,34-'01_Вводные'!$B$15&gt;60),0,INDEX('19_Расчет_аналитики'!$B$338:$BI$338,1,34-'01_Вводные'!$B$15))*'01_Вводные'!$B$298*'01_Вводные'!$B$22</f>
        <v/>
      </c>
      <c r="AJ363">
        <f>IF(OR(35&lt;='01_Вводные'!$B$15,35-'01_Вводные'!$B$15&gt;60),0,INDEX('19_Расчет_аналитики'!$B$338:$BI$338,1,35-'01_Вводные'!$B$15))*'01_Вводные'!$B$298*'01_Вводные'!$B$22</f>
        <v/>
      </c>
      <c r="AK363">
        <f>IF(OR(36&lt;='01_Вводные'!$B$15,36-'01_Вводные'!$B$15&gt;60),0,INDEX('19_Расчет_аналитики'!$B$338:$BI$338,1,36-'01_Вводные'!$B$15))*'01_Вводные'!$B$298*'01_Вводные'!$B$22</f>
        <v/>
      </c>
      <c r="AL363">
        <f>IF(OR(37&lt;='01_Вводные'!$B$15,37-'01_Вводные'!$B$15&gt;60),0,INDEX('19_Расчет_аналитики'!$B$338:$BI$338,1,37-'01_Вводные'!$B$15))*'01_Вводные'!$B$298*'01_Вводные'!$B$22</f>
        <v/>
      </c>
      <c r="AM363">
        <f>IF(OR(38&lt;='01_Вводные'!$B$15,38-'01_Вводные'!$B$15&gt;60),0,INDEX('19_Расчет_аналитики'!$B$338:$BI$338,1,38-'01_Вводные'!$B$15))*'01_Вводные'!$B$298*'01_Вводные'!$B$22</f>
        <v/>
      </c>
      <c r="AN363">
        <f>IF(OR(39&lt;='01_Вводные'!$B$15,39-'01_Вводные'!$B$15&gt;60),0,INDEX('19_Расчет_аналитики'!$B$338:$BI$338,1,39-'01_Вводные'!$B$15))*'01_Вводные'!$B$298*'01_Вводные'!$B$22</f>
        <v/>
      </c>
      <c r="AO363">
        <f>IF(OR(40&lt;='01_Вводные'!$B$15,40-'01_Вводные'!$B$15&gt;60),0,INDEX('19_Расчет_аналитики'!$B$338:$BI$338,1,40-'01_Вводные'!$B$15))*'01_Вводные'!$B$298*'01_Вводные'!$B$22</f>
        <v/>
      </c>
      <c r="AP363">
        <f>IF(OR(41&lt;='01_Вводные'!$B$15,41-'01_Вводные'!$B$15&gt;60),0,INDEX('19_Расчет_аналитики'!$B$338:$BI$338,1,41-'01_Вводные'!$B$15))*'01_Вводные'!$B$298*'01_Вводные'!$B$22</f>
        <v/>
      </c>
      <c r="AQ363">
        <f>IF(OR(42&lt;='01_Вводные'!$B$15,42-'01_Вводные'!$B$15&gt;60),0,INDEX('19_Расчет_аналитики'!$B$338:$BI$338,1,42-'01_Вводные'!$B$15))*'01_Вводные'!$B$298*'01_Вводные'!$B$22</f>
        <v/>
      </c>
      <c r="AR363">
        <f>IF(OR(43&lt;='01_Вводные'!$B$15,43-'01_Вводные'!$B$15&gt;60),0,INDEX('19_Расчет_аналитики'!$B$338:$BI$338,1,43-'01_Вводные'!$B$15))*'01_Вводные'!$B$298*'01_Вводные'!$B$22</f>
        <v/>
      </c>
      <c r="AS363">
        <f>IF(OR(44&lt;='01_Вводные'!$B$15,44-'01_Вводные'!$B$15&gt;60),0,INDEX('19_Расчет_аналитики'!$B$338:$BI$338,1,44-'01_Вводные'!$B$15))*'01_Вводные'!$B$298*'01_Вводные'!$B$22</f>
        <v/>
      </c>
      <c r="AT363">
        <f>IF(OR(45&lt;='01_Вводные'!$B$15,45-'01_Вводные'!$B$15&gt;60),0,INDEX('19_Расчет_аналитики'!$B$338:$BI$338,1,45-'01_Вводные'!$B$15))*'01_Вводные'!$B$298*'01_Вводные'!$B$22</f>
        <v/>
      </c>
      <c r="AU363">
        <f>IF(OR(46&lt;='01_Вводные'!$B$15,46-'01_Вводные'!$B$15&gt;60),0,INDEX('19_Расчет_аналитики'!$B$338:$BI$338,1,46-'01_Вводные'!$B$15))*'01_Вводные'!$B$298*'01_Вводные'!$B$22</f>
        <v/>
      </c>
      <c r="AV363">
        <f>IF(OR(47&lt;='01_Вводные'!$B$15,47-'01_Вводные'!$B$15&gt;60),0,INDEX('19_Расчет_аналитики'!$B$338:$BI$338,1,47-'01_Вводные'!$B$15))*'01_Вводные'!$B$298*'01_Вводные'!$B$22</f>
        <v/>
      </c>
      <c r="AW363">
        <f>IF(OR(48&lt;='01_Вводные'!$B$15,48-'01_Вводные'!$B$15&gt;60),0,INDEX('19_Расчет_аналитики'!$B$338:$BI$338,1,48-'01_Вводные'!$B$15))*'01_Вводные'!$B$298*'01_Вводные'!$B$22</f>
        <v/>
      </c>
      <c r="AX363">
        <f>IF(OR(49&lt;='01_Вводные'!$B$15,49-'01_Вводные'!$B$15&gt;60),0,INDEX('19_Расчет_аналитики'!$B$338:$BI$338,1,49-'01_Вводные'!$B$15))*'01_Вводные'!$B$298*'01_Вводные'!$B$22</f>
        <v/>
      </c>
      <c r="AY363">
        <f>IF(OR(50&lt;='01_Вводные'!$B$15,50-'01_Вводные'!$B$15&gt;60),0,INDEX('19_Расчет_аналитики'!$B$338:$BI$338,1,50-'01_Вводные'!$B$15))*'01_Вводные'!$B$298*'01_Вводные'!$B$22</f>
        <v/>
      </c>
      <c r="AZ363">
        <f>IF(OR(51&lt;='01_Вводные'!$B$15,51-'01_Вводные'!$B$15&gt;60),0,INDEX('19_Расчет_аналитики'!$B$338:$BI$338,1,51-'01_Вводные'!$B$15))*'01_Вводные'!$B$298*'01_Вводные'!$B$22</f>
        <v/>
      </c>
      <c r="BA363">
        <f>IF(OR(52&lt;='01_Вводные'!$B$15,52-'01_Вводные'!$B$15&gt;60),0,INDEX('19_Расчет_аналитики'!$B$338:$BI$338,1,52-'01_Вводные'!$B$15))*'01_Вводные'!$B$298*'01_Вводные'!$B$22</f>
        <v/>
      </c>
      <c r="BB363">
        <f>IF(OR(53&lt;='01_Вводные'!$B$15,53-'01_Вводные'!$B$15&gt;60),0,INDEX('19_Расчет_аналитики'!$B$338:$BI$338,1,53-'01_Вводные'!$B$15))*'01_Вводные'!$B$298*'01_Вводные'!$B$22</f>
        <v/>
      </c>
      <c r="BC363">
        <f>IF(OR(54&lt;='01_Вводные'!$B$15,54-'01_Вводные'!$B$15&gt;60),0,INDEX('19_Расчет_аналитики'!$B$338:$BI$338,1,54-'01_Вводные'!$B$15))*'01_Вводные'!$B$298*'01_Вводные'!$B$22</f>
        <v/>
      </c>
      <c r="BD363">
        <f>IF(OR(55&lt;='01_Вводные'!$B$15,55-'01_Вводные'!$B$15&gt;60),0,INDEX('19_Расчет_аналитики'!$B$338:$BI$338,1,55-'01_Вводные'!$B$15))*'01_Вводные'!$B$298*'01_Вводные'!$B$22</f>
        <v/>
      </c>
      <c r="BE363">
        <f>IF(OR(56&lt;='01_Вводные'!$B$15,56-'01_Вводные'!$B$15&gt;60),0,INDEX('19_Расчет_аналитики'!$B$338:$BI$338,1,56-'01_Вводные'!$B$15))*'01_Вводные'!$B$298*'01_Вводные'!$B$22</f>
        <v/>
      </c>
      <c r="BF363">
        <f>IF(OR(57&lt;='01_Вводные'!$B$15,57-'01_Вводные'!$B$15&gt;60),0,INDEX('19_Расчет_аналитики'!$B$338:$BI$338,1,57-'01_Вводные'!$B$15))*'01_Вводные'!$B$298*'01_Вводные'!$B$22</f>
        <v/>
      </c>
      <c r="BG363">
        <f>IF(OR(58&lt;='01_Вводные'!$B$15,58-'01_Вводные'!$B$15&gt;60),0,INDEX('19_Расчет_аналитики'!$B$338:$BI$338,1,58-'01_Вводные'!$B$15))*'01_Вводные'!$B$298*'01_Вводные'!$B$22</f>
        <v/>
      </c>
      <c r="BH363">
        <f>IF(OR(59&lt;='01_Вводные'!$B$15,59-'01_Вводные'!$B$15&gt;60),0,INDEX('19_Расчет_аналитики'!$B$338:$BI$338,1,59-'01_Вводные'!$B$15))*'01_Вводные'!$B$298*'01_Вводные'!$B$22</f>
        <v/>
      </c>
      <c r="BI363">
        <f>IF(OR(60&lt;='01_Вводные'!$B$15,60-'01_Вводные'!$B$15&gt;60),0,INDEX('19_Расчет_аналитики'!$B$338:$BI$338,1,60-'01_Вводные'!$B$15))*'01_Вводные'!$B$298*'01_Вводные'!$B$22</f>
        <v/>
      </c>
      <c r="BJ363">
        <f>IF(OR(61&lt;='01_Вводные'!$B$15,61-'01_Вводные'!$B$15&gt;60),0,INDEX('19_Расчет_аналитики'!$B$338:$BI$338,1,61-'01_Вводные'!$B$15))*'01_Вводные'!$B$298*'01_Вводные'!$B$22</f>
        <v/>
      </c>
      <c r="BK363">
        <f>IF(OR(62&lt;='01_Вводные'!$B$15,62-'01_Вводные'!$B$15&gt;60),0,INDEX('19_Расчет_аналитики'!$B$338:$BI$338,1,62-'01_Вводные'!$B$15))*'01_Вводные'!$B$298*'01_Вводные'!$B$22</f>
        <v/>
      </c>
      <c r="BL363">
        <f>IF(OR(63&lt;='01_Вводные'!$B$15,63-'01_Вводные'!$B$15&gt;60),0,INDEX('19_Расчет_аналитики'!$B$338:$BI$338,1,63-'01_Вводные'!$B$15))*'01_Вводные'!$B$298*'01_Вводные'!$B$22</f>
        <v/>
      </c>
      <c r="BM363">
        <f>IF(OR(64&lt;='01_Вводные'!$B$15,64-'01_Вводные'!$B$15&gt;60),0,INDEX('19_Расчет_аналитики'!$B$338:$BI$338,1,64-'01_Вводные'!$B$15))*'01_Вводные'!$B$298*'01_Вводные'!$B$22</f>
        <v/>
      </c>
      <c r="BN363">
        <f>IF(OR(65&lt;='01_Вводные'!$B$15,65-'01_Вводные'!$B$15&gt;60),0,INDEX('19_Расчет_аналитики'!$B$338:$BI$338,1,65-'01_Вводные'!$B$15))*'01_Вводные'!$B$298*'01_Вводные'!$B$22</f>
        <v/>
      </c>
      <c r="BO363">
        <f>IF(OR(66&lt;='01_Вводные'!$B$15,66-'01_Вводные'!$B$15&gt;60),0,INDEX('19_Расчет_аналитики'!$B$338:$BI$338,1,66-'01_Вводные'!$B$15))*'01_Вводные'!$B$298*'01_Вводные'!$B$22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IF(OR(1&lt;='01_Вводные'!$B$15,1-'01_Вводные'!$B$15&gt;60),0,INDEX('19_Расчет_аналитики'!$B$1350:$BI$1350,1,1-'01_Вводные'!$B$15))*'01_Вводные'!$B$298*'01_Вводные'!$B$22</f>
        <v/>
      </c>
      <c r="C1375">
        <f>IF(OR(2&lt;='01_Вводные'!$B$15,2-'01_Вводные'!$B$15&gt;60),0,INDEX('19_Расчет_аналитики'!$B$1350:$BI$1350,1,2-'01_Вводные'!$B$15))*'01_Вводные'!$B$298*'01_Вводные'!$B$22</f>
        <v/>
      </c>
      <c r="D1375">
        <f>IF(OR(3&lt;='01_Вводные'!$B$15,3-'01_Вводные'!$B$15&gt;60),0,INDEX('19_Расчет_аналитики'!$B$1350:$BI$1350,1,3-'01_Вводные'!$B$15))*'01_Вводные'!$B$298*'01_Вводные'!$B$22</f>
        <v/>
      </c>
      <c r="E1375">
        <f>IF(OR(4&lt;='01_Вводные'!$B$15,4-'01_Вводные'!$B$15&gt;60),0,INDEX('19_Расчет_аналитики'!$B$1350:$BI$1350,1,4-'01_Вводные'!$B$15))*'01_Вводные'!$B$298*'01_Вводные'!$B$22</f>
        <v/>
      </c>
      <c r="F1375">
        <f>IF(OR(5&lt;='01_Вводные'!$B$15,5-'01_Вводные'!$B$15&gt;60),0,INDEX('19_Расчет_аналитики'!$B$1350:$BI$1350,1,5-'01_Вводные'!$B$15))*'01_Вводные'!$B$298*'01_Вводные'!$B$22</f>
        <v/>
      </c>
      <c r="G1375">
        <f>IF(OR(6&lt;='01_Вводные'!$B$15,6-'01_Вводные'!$B$15&gt;60),0,INDEX('19_Расчет_аналитики'!$B$1350:$BI$1350,1,6-'01_Вводные'!$B$15))*'01_Вводные'!$B$298*'01_Вводные'!$B$22</f>
        <v/>
      </c>
      <c r="H1375">
        <f>IF(OR(7&lt;='01_Вводные'!$B$15,7-'01_Вводные'!$B$15&gt;60),0,INDEX('19_Расчет_аналитики'!$B$1350:$BI$1350,1,7-'01_Вводные'!$B$15))*'01_Вводные'!$B$298*'01_Вводные'!$B$22</f>
        <v/>
      </c>
      <c r="I1375">
        <f>IF(OR(8&lt;='01_Вводные'!$B$15,8-'01_Вводные'!$B$15&gt;60),0,INDEX('19_Расчет_аналитики'!$B$1350:$BI$1350,1,8-'01_Вводные'!$B$15))*'01_Вводные'!$B$298*'01_Вводные'!$B$22</f>
        <v/>
      </c>
      <c r="J1375">
        <f>IF(OR(9&lt;='01_Вводные'!$B$15,9-'01_Вводные'!$B$15&gt;60),0,INDEX('19_Расчет_аналитики'!$B$1350:$BI$1350,1,9-'01_Вводные'!$B$15))*'01_Вводные'!$B$298*'01_Вводные'!$B$22</f>
        <v/>
      </c>
      <c r="K1375">
        <f>IF(OR(10&lt;='01_Вводные'!$B$15,10-'01_Вводные'!$B$15&gt;60),0,INDEX('19_Расчет_аналитики'!$B$1350:$BI$1350,1,10-'01_Вводные'!$B$15))*'01_Вводные'!$B$298*'01_Вводные'!$B$22</f>
        <v/>
      </c>
      <c r="L1375">
        <f>IF(OR(11&lt;='01_Вводные'!$B$15,11-'01_Вводные'!$B$15&gt;60),0,INDEX('19_Расчет_аналитики'!$B$1350:$BI$1350,1,11-'01_Вводные'!$B$15))*'01_Вводные'!$B$298*'01_Вводные'!$B$22</f>
        <v/>
      </c>
      <c r="M1375">
        <f>IF(OR(12&lt;='01_Вводные'!$B$15,12-'01_Вводные'!$B$15&gt;60),0,INDEX('19_Расчет_аналитики'!$B$1350:$BI$1350,1,12-'01_Вводные'!$B$15))*'01_Вводные'!$B$298*'01_Вводные'!$B$22</f>
        <v/>
      </c>
      <c r="N1375">
        <f>IF(OR(13&lt;='01_Вводные'!$B$15,13-'01_Вводные'!$B$15&gt;60),0,INDEX('19_Расчет_аналитики'!$B$1350:$BI$1350,1,13-'01_Вводные'!$B$15))*'01_Вводные'!$B$298*'01_Вводные'!$B$22</f>
        <v/>
      </c>
      <c r="O1375">
        <f>IF(OR(14&lt;='01_Вводные'!$B$15,14-'01_Вводные'!$B$15&gt;60),0,INDEX('19_Расчет_аналитики'!$B$1350:$BI$1350,1,14-'01_Вводные'!$B$15))*'01_Вводные'!$B$298*'01_Вводные'!$B$22</f>
        <v/>
      </c>
      <c r="P1375">
        <f>IF(OR(15&lt;='01_Вводные'!$B$15,15-'01_Вводные'!$B$15&gt;60),0,INDEX('19_Расчет_аналитики'!$B$1350:$BI$1350,1,15-'01_Вводные'!$B$15))*'01_Вводные'!$B$298*'01_Вводные'!$B$22</f>
        <v/>
      </c>
      <c r="Q1375">
        <f>IF(OR(16&lt;='01_Вводные'!$B$15,16-'01_Вводные'!$B$15&gt;60),0,INDEX('19_Расчет_аналитики'!$B$1350:$BI$1350,1,16-'01_Вводные'!$B$15))*'01_Вводные'!$B$298*'01_Вводные'!$B$22</f>
        <v/>
      </c>
      <c r="R1375">
        <f>IF(OR(17&lt;='01_Вводные'!$B$15,17-'01_Вводные'!$B$15&gt;60),0,INDEX('19_Расчет_аналитики'!$B$1350:$BI$1350,1,17-'01_Вводные'!$B$15))*'01_Вводные'!$B$298*'01_Вводные'!$B$22</f>
        <v/>
      </c>
      <c r="S1375">
        <f>IF(OR(18&lt;='01_Вводные'!$B$15,18-'01_Вводные'!$B$15&gt;60),0,INDEX('19_Расчет_аналитики'!$B$1350:$BI$1350,1,18-'01_Вводные'!$B$15))*'01_Вводные'!$B$298*'01_Вводные'!$B$22</f>
        <v/>
      </c>
      <c r="T1375">
        <f>IF(OR(19&lt;='01_Вводные'!$B$15,19-'01_Вводные'!$B$15&gt;60),0,INDEX('19_Расчет_аналитики'!$B$1350:$BI$1350,1,19-'01_Вводные'!$B$15))*'01_Вводные'!$B$298*'01_Вводные'!$B$22</f>
        <v/>
      </c>
      <c r="U1375">
        <f>IF(OR(20&lt;='01_Вводные'!$B$15,20-'01_Вводные'!$B$15&gt;60),0,INDEX('19_Расчет_аналитики'!$B$1350:$BI$1350,1,20-'01_Вводные'!$B$15))*'01_Вводные'!$B$298*'01_Вводные'!$B$22</f>
        <v/>
      </c>
      <c r="V1375">
        <f>IF(OR(21&lt;='01_Вводные'!$B$15,21-'01_Вводные'!$B$15&gt;60),0,INDEX('19_Расчет_аналитики'!$B$1350:$BI$1350,1,21-'01_Вводные'!$B$15))*'01_Вводные'!$B$298*'01_Вводные'!$B$22</f>
        <v/>
      </c>
      <c r="W1375">
        <f>IF(OR(22&lt;='01_Вводные'!$B$15,22-'01_Вводные'!$B$15&gt;60),0,INDEX('19_Расчет_аналитики'!$B$1350:$BI$1350,1,22-'01_Вводные'!$B$15))*'01_Вводные'!$B$298*'01_Вводные'!$B$22</f>
        <v/>
      </c>
      <c r="X1375">
        <f>IF(OR(23&lt;='01_Вводные'!$B$15,23-'01_Вводные'!$B$15&gt;60),0,INDEX('19_Расчет_аналитики'!$B$1350:$BI$1350,1,23-'01_Вводные'!$B$15))*'01_Вводные'!$B$298*'01_Вводные'!$B$22</f>
        <v/>
      </c>
      <c r="Y1375">
        <f>IF(OR(24&lt;='01_Вводные'!$B$15,24-'01_Вводные'!$B$15&gt;60),0,INDEX('19_Расчет_аналитики'!$B$1350:$BI$1350,1,24-'01_Вводные'!$B$15))*'01_Вводные'!$B$298*'01_Вводные'!$B$22</f>
        <v/>
      </c>
      <c r="Z1375">
        <f>IF(OR(25&lt;='01_Вводные'!$B$15,25-'01_Вводные'!$B$15&gt;60),0,INDEX('19_Расчет_аналитики'!$B$1350:$BI$1350,1,25-'01_Вводные'!$B$15))*'01_Вводные'!$B$298*'01_Вводные'!$B$22</f>
        <v/>
      </c>
      <c r="AA1375">
        <f>IF(OR(26&lt;='01_Вводные'!$B$15,26-'01_Вводные'!$B$15&gt;60),0,INDEX('19_Расчет_аналитики'!$B$1350:$BI$1350,1,26-'01_Вводные'!$B$15))*'01_Вводные'!$B$298*'01_Вводные'!$B$22</f>
        <v/>
      </c>
      <c r="AB1375">
        <f>IF(OR(27&lt;='01_Вводные'!$B$15,27-'01_Вводные'!$B$15&gt;60),0,INDEX('19_Расчет_аналитики'!$B$1350:$BI$1350,1,27-'01_Вводные'!$B$15))*'01_Вводные'!$B$298*'01_Вводные'!$B$22</f>
        <v/>
      </c>
      <c r="AC1375">
        <f>IF(OR(28&lt;='01_Вводные'!$B$15,28-'01_Вводные'!$B$15&gt;60),0,INDEX('19_Расчет_аналитики'!$B$1350:$BI$1350,1,28-'01_Вводные'!$B$15))*'01_Вводные'!$B$298*'01_Вводные'!$B$22</f>
        <v/>
      </c>
      <c r="AD1375">
        <f>IF(OR(29&lt;='01_Вводные'!$B$15,29-'01_Вводные'!$B$15&gt;60),0,INDEX('19_Расчет_аналитики'!$B$1350:$BI$1350,1,29-'01_Вводные'!$B$15))*'01_Вводные'!$B$298*'01_Вводные'!$B$22</f>
        <v/>
      </c>
      <c r="AE1375">
        <f>IF(OR(30&lt;='01_Вводные'!$B$15,30-'01_Вводные'!$B$15&gt;60),0,INDEX('19_Расчет_аналитики'!$B$1350:$BI$1350,1,30-'01_Вводные'!$B$15))*'01_Вводные'!$B$298*'01_Вводные'!$B$22</f>
        <v/>
      </c>
      <c r="AF1375">
        <f>IF(OR(31&lt;='01_Вводные'!$B$15,31-'01_Вводные'!$B$15&gt;60),0,INDEX('19_Расчет_аналитики'!$B$1350:$BI$1350,1,31-'01_Вводные'!$B$15))*'01_Вводные'!$B$298*'01_Вводные'!$B$22</f>
        <v/>
      </c>
      <c r="AG1375">
        <f>IF(OR(32&lt;='01_Вводные'!$B$15,32-'01_Вводные'!$B$15&gt;60),0,INDEX('19_Расчет_аналитики'!$B$1350:$BI$1350,1,32-'01_Вводные'!$B$15))*'01_Вводные'!$B$298*'01_Вводные'!$B$22</f>
        <v/>
      </c>
      <c r="AH1375">
        <f>IF(OR(33&lt;='01_Вводные'!$B$15,33-'01_Вводные'!$B$15&gt;60),0,INDEX('19_Расчет_аналитики'!$B$1350:$BI$1350,1,33-'01_Вводные'!$B$15))*'01_Вводные'!$B$298*'01_Вводные'!$B$22</f>
        <v/>
      </c>
      <c r="AI1375">
        <f>IF(OR(34&lt;='01_Вводные'!$B$15,34-'01_Вводные'!$B$15&gt;60),0,INDEX('19_Расчет_аналитики'!$B$1350:$BI$1350,1,34-'01_Вводные'!$B$15))*'01_Вводные'!$B$298*'01_Вводные'!$B$22</f>
        <v/>
      </c>
      <c r="AJ1375">
        <f>IF(OR(35&lt;='01_Вводные'!$B$15,35-'01_Вводные'!$B$15&gt;60),0,INDEX('19_Расчет_аналитики'!$B$1350:$BI$1350,1,35-'01_Вводные'!$B$15))*'01_Вводные'!$B$298*'01_Вводные'!$B$22</f>
        <v/>
      </c>
      <c r="AK1375">
        <f>IF(OR(36&lt;='01_Вводные'!$B$15,36-'01_Вводные'!$B$15&gt;60),0,INDEX('19_Расчет_аналитики'!$B$1350:$BI$1350,1,36-'01_Вводные'!$B$15))*'01_Вводные'!$B$298*'01_Вводные'!$B$22</f>
        <v/>
      </c>
      <c r="AL1375">
        <f>IF(OR(37&lt;='01_Вводные'!$B$15,37-'01_Вводные'!$B$15&gt;60),0,INDEX('19_Расчет_аналитики'!$B$1350:$BI$1350,1,37-'01_Вводные'!$B$15))*'01_Вводные'!$B$298*'01_Вводные'!$B$22</f>
        <v/>
      </c>
      <c r="AM1375">
        <f>IF(OR(38&lt;='01_Вводные'!$B$15,38-'01_Вводные'!$B$15&gt;60),0,INDEX('19_Расчет_аналитики'!$B$1350:$BI$1350,1,38-'01_Вводные'!$B$15))*'01_Вводные'!$B$298*'01_Вводные'!$B$22</f>
        <v/>
      </c>
      <c r="AN1375">
        <f>IF(OR(39&lt;='01_Вводные'!$B$15,39-'01_Вводные'!$B$15&gt;60),0,INDEX('19_Расчет_аналитики'!$B$1350:$BI$1350,1,39-'01_Вводные'!$B$15))*'01_Вводные'!$B$298*'01_Вводные'!$B$22</f>
        <v/>
      </c>
      <c r="AO1375">
        <f>IF(OR(40&lt;='01_Вводные'!$B$15,40-'01_Вводные'!$B$15&gt;60),0,INDEX('19_Расчет_аналитики'!$B$1350:$BI$1350,1,40-'01_Вводные'!$B$15))*'01_Вводные'!$B$298*'01_Вводные'!$B$22</f>
        <v/>
      </c>
      <c r="AP1375">
        <f>IF(OR(41&lt;='01_Вводные'!$B$15,41-'01_Вводные'!$B$15&gt;60),0,INDEX('19_Расчет_аналитики'!$B$1350:$BI$1350,1,41-'01_Вводные'!$B$15))*'01_Вводные'!$B$298*'01_Вводные'!$B$22</f>
        <v/>
      </c>
      <c r="AQ1375">
        <f>IF(OR(42&lt;='01_Вводные'!$B$15,42-'01_Вводные'!$B$15&gt;60),0,INDEX('19_Расчет_аналитики'!$B$1350:$BI$1350,1,42-'01_Вводные'!$B$15))*'01_Вводные'!$B$298*'01_Вводные'!$B$22</f>
        <v/>
      </c>
      <c r="AR1375">
        <f>IF(OR(43&lt;='01_Вводные'!$B$15,43-'01_Вводные'!$B$15&gt;60),0,INDEX('19_Расчет_аналитики'!$B$1350:$BI$1350,1,43-'01_Вводные'!$B$15))*'01_Вводные'!$B$298*'01_Вводные'!$B$22</f>
        <v/>
      </c>
      <c r="AS1375">
        <f>IF(OR(44&lt;='01_Вводные'!$B$15,44-'01_Вводные'!$B$15&gt;60),0,INDEX('19_Расчет_аналитики'!$B$1350:$BI$1350,1,44-'01_Вводные'!$B$15))*'01_Вводные'!$B$298*'01_Вводные'!$B$22</f>
        <v/>
      </c>
      <c r="AT1375">
        <f>IF(OR(45&lt;='01_Вводные'!$B$15,45-'01_Вводные'!$B$15&gt;60),0,INDEX('19_Расчет_аналитики'!$B$1350:$BI$1350,1,45-'01_Вводные'!$B$15))*'01_Вводные'!$B$298*'01_Вводные'!$B$22</f>
        <v/>
      </c>
      <c r="AU1375">
        <f>IF(OR(46&lt;='01_Вводные'!$B$15,46-'01_Вводные'!$B$15&gt;60),0,INDEX('19_Расчет_аналитики'!$B$1350:$BI$1350,1,46-'01_Вводные'!$B$15))*'01_Вводные'!$B$298*'01_Вводные'!$B$22</f>
        <v/>
      </c>
      <c r="AV1375">
        <f>IF(OR(47&lt;='01_Вводные'!$B$15,47-'01_Вводные'!$B$15&gt;60),0,INDEX('19_Расчет_аналитики'!$B$1350:$BI$1350,1,47-'01_Вводные'!$B$15))*'01_Вводные'!$B$298*'01_Вводные'!$B$22</f>
        <v/>
      </c>
      <c r="AW1375">
        <f>IF(OR(48&lt;='01_Вводные'!$B$15,48-'01_Вводные'!$B$15&gt;60),0,INDEX('19_Расчет_аналитики'!$B$1350:$BI$1350,1,48-'01_Вводные'!$B$15))*'01_Вводные'!$B$298*'01_Вводные'!$B$22</f>
        <v/>
      </c>
      <c r="AX1375">
        <f>IF(OR(49&lt;='01_Вводные'!$B$15,49-'01_Вводные'!$B$15&gt;60),0,INDEX('19_Расчет_аналитики'!$B$1350:$BI$1350,1,49-'01_Вводные'!$B$15))*'01_Вводные'!$B$298*'01_Вводные'!$B$22</f>
        <v/>
      </c>
      <c r="AY1375">
        <f>IF(OR(50&lt;='01_Вводные'!$B$15,50-'01_Вводные'!$B$15&gt;60),0,INDEX('19_Расчет_аналитики'!$B$1350:$BI$1350,1,50-'01_Вводные'!$B$15))*'01_Вводные'!$B$298*'01_Вводные'!$B$22</f>
        <v/>
      </c>
      <c r="AZ1375">
        <f>IF(OR(51&lt;='01_Вводные'!$B$15,51-'01_Вводные'!$B$15&gt;60),0,INDEX('19_Расчет_аналитики'!$B$1350:$BI$1350,1,51-'01_Вводные'!$B$15))*'01_Вводные'!$B$298*'01_Вводные'!$B$22</f>
        <v/>
      </c>
      <c r="BA1375">
        <f>IF(OR(52&lt;='01_Вводные'!$B$15,52-'01_Вводные'!$B$15&gt;60),0,INDEX('19_Расчет_аналитики'!$B$1350:$BI$1350,1,52-'01_Вводные'!$B$15))*'01_Вводные'!$B$298*'01_Вводные'!$B$22</f>
        <v/>
      </c>
      <c r="BB1375">
        <f>IF(OR(53&lt;='01_Вводные'!$B$15,53-'01_Вводные'!$B$15&gt;60),0,INDEX('19_Расчет_аналитики'!$B$1350:$BI$1350,1,53-'01_Вводные'!$B$15))*'01_Вводные'!$B$298*'01_Вводные'!$B$22</f>
        <v/>
      </c>
      <c r="BC1375">
        <f>IF(OR(54&lt;='01_Вводные'!$B$15,54-'01_Вводные'!$B$15&gt;60),0,INDEX('19_Расчет_аналитики'!$B$1350:$BI$1350,1,54-'01_Вводные'!$B$15))*'01_Вводные'!$B$298*'01_Вводные'!$B$22</f>
        <v/>
      </c>
      <c r="BD1375">
        <f>IF(OR(55&lt;='01_Вводные'!$B$15,55-'01_Вводные'!$B$15&gt;60),0,INDEX('19_Расчет_аналитики'!$B$1350:$BI$1350,1,55-'01_Вводные'!$B$15))*'01_Вводные'!$B$298*'01_Вводные'!$B$22</f>
        <v/>
      </c>
      <c r="BE1375">
        <f>IF(OR(56&lt;='01_Вводные'!$B$15,56-'01_Вводные'!$B$15&gt;60),0,INDEX('19_Расчет_аналитики'!$B$1350:$BI$1350,1,56-'01_Вводные'!$B$15))*'01_Вводные'!$B$298*'01_Вводные'!$B$22</f>
        <v/>
      </c>
      <c r="BF1375">
        <f>IF(OR(57&lt;='01_Вводные'!$B$15,57-'01_Вводные'!$B$15&gt;60),0,INDEX('19_Расчет_аналитики'!$B$1350:$BI$1350,1,57-'01_Вводные'!$B$15))*'01_Вводные'!$B$298*'01_Вводные'!$B$22</f>
        <v/>
      </c>
      <c r="BG1375">
        <f>IF(OR(58&lt;='01_Вводные'!$B$15,58-'01_Вводные'!$B$15&gt;60),0,INDEX('19_Расчет_аналитики'!$B$1350:$BI$1350,1,58-'01_Вводные'!$B$15))*'01_Вводные'!$B$298*'01_Вводные'!$B$22</f>
        <v/>
      </c>
      <c r="BH1375">
        <f>IF(OR(59&lt;='01_Вводные'!$B$15,59-'01_Вводные'!$B$15&gt;60),0,INDEX('19_Расчет_аналитики'!$B$1350:$BI$1350,1,59-'01_Вводные'!$B$15))*'01_Вводные'!$B$298*'01_Вводные'!$B$22</f>
        <v/>
      </c>
      <c r="BI1375">
        <f>IF(OR(60&lt;='01_Вводные'!$B$15,60-'01_Вводные'!$B$15&gt;60),0,INDEX('19_Расчет_аналитики'!$B$1350:$BI$1350,1,60-'01_Вводные'!$B$15))*'01_Вводные'!$B$298*'01_Вводные'!$B$22</f>
        <v/>
      </c>
      <c r="BJ1375">
        <f>IF(OR(61&lt;='01_Вводные'!$B$15,61-'01_Вводные'!$B$15&gt;60),0,INDEX('19_Расчет_аналитики'!$B$1350:$BI$1350,1,61-'01_Вводные'!$B$15))*'01_Вводные'!$B$298*'01_Вводные'!$B$22</f>
        <v/>
      </c>
      <c r="BK1375">
        <f>IF(OR(62&lt;='01_Вводные'!$B$15,62-'01_Вводные'!$B$15&gt;60),0,INDEX('19_Расчет_аналитики'!$B$1350:$BI$1350,1,62-'01_Вводные'!$B$15))*'01_Вводные'!$B$298*'01_Вводные'!$B$22</f>
        <v/>
      </c>
      <c r="BL1375">
        <f>IF(OR(63&lt;='01_Вводные'!$B$15,63-'01_Вводные'!$B$15&gt;60),0,INDEX('19_Расчет_аналитики'!$B$1350:$BI$1350,1,63-'01_Вводные'!$B$15))*'01_Вводные'!$B$298*'01_Вводные'!$B$22</f>
        <v/>
      </c>
      <c r="BM1375">
        <f>IF(OR(64&lt;='01_Вводные'!$B$15,64-'01_Вводные'!$B$15&gt;60),0,INDEX('19_Расчет_аналитики'!$B$1350:$BI$1350,1,64-'01_Вводные'!$B$15))*'01_Вводные'!$B$298*'01_Вводные'!$B$22</f>
        <v/>
      </c>
      <c r="BN1375">
        <f>IF(OR(65&lt;='01_Вводные'!$B$15,65-'01_Вводные'!$B$15&gt;60),0,INDEX('19_Расчет_аналитики'!$B$1350:$BI$1350,1,65-'01_Вводные'!$B$15))*'01_Вводные'!$B$298*'01_Вводные'!$B$22</f>
        <v/>
      </c>
      <c r="BO1375">
        <f>IF(OR(66&lt;='01_Вводные'!$B$15,66-'01_Вводные'!$B$15&gt;60),0,INDEX('19_Расчет_аналитики'!$B$1350:$BI$1350,1,66-'01_Вводные'!$B$15))*'01_Вводные'!$B$298*'01_Вводные'!$B$22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IF(OR(1&lt;='01_Вводные'!$B$15,1-'01_Вводные'!$B$15&gt;60),0,INDEX('19_Расчет_аналитики'!$B$2362:$BI$2362,1,1-'01_Вводные'!$B$15))*'01_Вводные'!$B$298*'01_Вводные'!$B$22</f>
        <v/>
      </c>
      <c r="C2387">
        <f>IF(OR(2&lt;='01_Вводные'!$B$15,2-'01_Вводные'!$B$15&gt;60),0,INDEX('19_Расчет_аналитики'!$B$2362:$BI$2362,1,2-'01_Вводные'!$B$15))*'01_Вводные'!$B$298*'01_Вводные'!$B$22</f>
        <v/>
      </c>
      <c r="D2387">
        <f>IF(OR(3&lt;='01_Вводные'!$B$15,3-'01_Вводные'!$B$15&gt;60),0,INDEX('19_Расчет_аналитики'!$B$2362:$BI$2362,1,3-'01_Вводные'!$B$15))*'01_Вводные'!$B$298*'01_Вводные'!$B$22</f>
        <v/>
      </c>
      <c r="E2387">
        <f>IF(OR(4&lt;='01_Вводные'!$B$15,4-'01_Вводные'!$B$15&gt;60),0,INDEX('19_Расчет_аналитики'!$B$2362:$BI$2362,1,4-'01_Вводные'!$B$15))*'01_Вводные'!$B$298*'01_Вводные'!$B$22</f>
        <v/>
      </c>
      <c r="F2387">
        <f>IF(OR(5&lt;='01_Вводные'!$B$15,5-'01_Вводные'!$B$15&gt;60),0,INDEX('19_Расчет_аналитики'!$B$2362:$BI$2362,1,5-'01_Вводные'!$B$15))*'01_Вводные'!$B$298*'01_Вводные'!$B$22</f>
        <v/>
      </c>
      <c r="G2387">
        <f>IF(OR(6&lt;='01_Вводные'!$B$15,6-'01_Вводные'!$B$15&gt;60),0,INDEX('19_Расчет_аналитики'!$B$2362:$BI$2362,1,6-'01_Вводные'!$B$15))*'01_Вводные'!$B$298*'01_Вводные'!$B$22</f>
        <v/>
      </c>
      <c r="H2387">
        <f>IF(OR(7&lt;='01_Вводные'!$B$15,7-'01_Вводные'!$B$15&gt;60),0,INDEX('19_Расчет_аналитики'!$B$2362:$BI$2362,1,7-'01_Вводные'!$B$15))*'01_Вводные'!$B$298*'01_Вводные'!$B$22</f>
        <v/>
      </c>
      <c r="I2387">
        <f>IF(OR(8&lt;='01_Вводные'!$B$15,8-'01_Вводные'!$B$15&gt;60),0,INDEX('19_Расчет_аналитики'!$B$2362:$BI$2362,1,8-'01_Вводные'!$B$15))*'01_Вводные'!$B$298*'01_Вводные'!$B$22</f>
        <v/>
      </c>
      <c r="J2387">
        <f>IF(OR(9&lt;='01_Вводные'!$B$15,9-'01_Вводные'!$B$15&gt;60),0,INDEX('19_Расчет_аналитики'!$B$2362:$BI$2362,1,9-'01_Вводные'!$B$15))*'01_Вводные'!$B$298*'01_Вводные'!$B$22</f>
        <v/>
      </c>
      <c r="K2387">
        <f>IF(OR(10&lt;='01_Вводные'!$B$15,10-'01_Вводные'!$B$15&gt;60),0,INDEX('19_Расчет_аналитики'!$B$2362:$BI$2362,1,10-'01_Вводные'!$B$15))*'01_Вводные'!$B$298*'01_Вводные'!$B$22</f>
        <v/>
      </c>
      <c r="L2387">
        <f>IF(OR(11&lt;='01_Вводные'!$B$15,11-'01_Вводные'!$B$15&gt;60),0,INDEX('19_Расчет_аналитики'!$B$2362:$BI$2362,1,11-'01_Вводные'!$B$15))*'01_Вводные'!$B$298*'01_Вводные'!$B$22</f>
        <v/>
      </c>
      <c r="M2387">
        <f>IF(OR(12&lt;='01_Вводные'!$B$15,12-'01_Вводные'!$B$15&gt;60),0,INDEX('19_Расчет_аналитики'!$B$2362:$BI$2362,1,12-'01_Вводные'!$B$15))*'01_Вводные'!$B$298*'01_Вводные'!$B$22</f>
        <v/>
      </c>
      <c r="N2387">
        <f>IF(OR(13&lt;='01_Вводные'!$B$15,13-'01_Вводные'!$B$15&gt;60),0,INDEX('19_Расчет_аналитики'!$B$2362:$BI$2362,1,13-'01_Вводные'!$B$15))*'01_Вводные'!$B$298*'01_Вводные'!$B$22</f>
        <v/>
      </c>
      <c r="O2387">
        <f>IF(OR(14&lt;='01_Вводные'!$B$15,14-'01_Вводные'!$B$15&gt;60),0,INDEX('19_Расчет_аналитики'!$B$2362:$BI$2362,1,14-'01_Вводные'!$B$15))*'01_Вводные'!$B$298*'01_Вводные'!$B$22</f>
        <v/>
      </c>
      <c r="P2387">
        <f>IF(OR(15&lt;='01_Вводные'!$B$15,15-'01_Вводные'!$B$15&gt;60),0,INDEX('19_Расчет_аналитики'!$B$2362:$BI$2362,1,15-'01_Вводные'!$B$15))*'01_Вводные'!$B$298*'01_Вводные'!$B$22</f>
        <v/>
      </c>
      <c r="Q2387">
        <f>IF(OR(16&lt;='01_Вводные'!$B$15,16-'01_Вводные'!$B$15&gt;60),0,INDEX('19_Расчет_аналитики'!$B$2362:$BI$2362,1,16-'01_Вводные'!$B$15))*'01_Вводные'!$B$298*'01_Вводные'!$B$22</f>
        <v/>
      </c>
      <c r="R2387">
        <f>IF(OR(17&lt;='01_Вводные'!$B$15,17-'01_Вводные'!$B$15&gt;60),0,INDEX('19_Расчет_аналитики'!$B$2362:$BI$2362,1,17-'01_Вводные'!$B$15))*'01_Вводные'!$B$298*'01_Вводные'!$B$22</f>
        <v/>
      </c>
      <c r="S2387">
        <f>IF(OR(18&lt;='01_Вводные'!$B$15,18-'01_Вводные'!$B$15&gt;60),0,INDEX('19_Расчет_аналитики'!$B$2362:$BI$2362,1,18-'01_Вводные'!$B$15))*'01_Вводные'!$B$298*'01_Вводные'!$B$22</f>
        <v/>
      </c>
      <c r="T2387">
        <f>IF(OR(19&lt;='01_Вводные'!$B$15,19-'01_Вводные'!$B$15&gt;60),0,INDEX('19_Расчет_аналитики'!$B$2362:$BI$2362,1,19-'01_Вводные'!$B$15))*'01_Вводные'!$B$298*'01_Вводные'!$B$22</f>
        <v/>
      </c>
      <c r="U2387">
        <f>IF(OR(20&lt;='01_Вводные'!$B$15,20-'01_Вводные'!$B$15&gt;60),0,INDEX('19_Расчет_аналитики'!$B$2362:$BI$2362,1,20-'01_Вводные'!$B$15))*'01_Вводные'!$B$298*'01_Вводные'!$B$22</f>
        <v/>
      </c>
      <c r="V2387">
        <f>IF(OR(21&lt;='01_Вводные'!$B$15,21-'01_Вводные'!$B$15&gt;60),0,INDEX('19_Расчет_аналитики'!$B$2362:$BI$2362,1,21-'01_Вводные'!$B$15))*'01_Вводные'!$B$298*'01_Вводные'!$B$22</f>
        <v/>
      </c>
      <c r="W2387">
        <f>IF(OR(22&lt;='01_Вводные'!$B$15,22-'01_Вводные'!$B$15&gt;60),0,INDEX('19_Расчет_аналитики'!$B$2362:$BI$2362,1,22-'01_Вводные'!$B$15))*'01_Вводные'!$B$298*'01_Вводные'!$B$22</f>
        <v/>
      </c>
      <c r="X2387">
        <f>IF(OR(23&lt;='01_Вводные'!$B$15,23-'01_Вводные'!$B$15&gt;60),0,INDEX('19_Расчет_аналитики'!$B$2362:$BI$2362,1,23-'01_Вводные'!$B$15))*'01_Вводные'!$B$298*'01_Вводные'!$B$22</f>
        <v/>
      </c>
      <c r="Y2387">
        <f>IF(OR(24&lt;='01_Вводные'!$B$15,24-'01_Вводные'!$B$15&gt;60),0,INDEX('19_Расчет_аналитики'!$B$2362:$BI$2362,1,24-'01_Вводные'!$B$15))*'01_Вводные'!$B$298*'01_Вводные'!$B$22</f>
        <v/>
      </c>
      <c r="Z2387">
        <f>IF(OR(25&lt;='01_Вводные'!$B$15,25-'01_Вводные'!$B$15&gt;60),0,INDEX('19_Расчет_аналитики'!$B$2362:$BI$2362,1,25-'01_Вводные'!$B$15))*'01_Вводные'!$B$298*'01_Вводные'!$B$22</f>
        <v/>
      </c>
      <c r="AA2387">
        <f>IF(OR(26&lt;='01_Вводные'!$B$15,26-'01_Вводные'!$B$15&gt;60),0,INDEX('19_Расчет_аналитики'!$B$2362:$BI$2362,1,26-'01_Вводные'!$B$15))*'01_Вводные'!$B$298*'01_Вводные'!$B$22</f>
        <v/>
      </c>
      <c r="AB2387">
        <f>IF(OR(27&lt;='01_Вводные'!$B$15,27-'01_Вводные'!$B$15&gt;60),0,INDEX('19_Расчет_аналитики'!$B$2362:$BI$2362,1,27-'01_Вводные'!$B$15))*'01_Вводные'!$B$298*'01_Вводные'!$B$22</f>
        <v/>
      </c>
      <c r="AC2387">
        <f>IF(OR(28&lt;='01_Вводные'!$B$15,28-'01_Вводные'!$B$15&gt;60),0,INDEX('19_Расчет_аналитики'!$B$2362:$BI$2362,1,28-'01_Вводные'!$B$15))*'01_Вводные'!$B$298*'01_Вводные'!$B$22</f>
        <v/>
      </c>
      <c r="AD2387">
        <f>IF(OR(29&lt;='01_Вводные'!$B$15,29-'01_Вводные'!$B$15&gt;60),0,INDEX('19_Расчет_аналитики'!$B$2362:$BI$2362,1,29-'01_Вводные'!$B$15))*'01_Вводные'!$B$298*'01_Вводные'!$B$22</f>
        <v/>
      </c>
      <c r="AE2387">
        <f>IF(OR(30&lt;='01_Вводные'!$B$15,30-'01_Вводные'!$B$15&gt;60),0,INDEX('19_Расчет_аналитики'!$B$2362:$BI$2362,1,30-'01_Вводные'!$B$15))*'01_Вводные'!$B$298*'01_Вводные'!$B$22</f>
        <v/>
      </c>
      <c r="AF2387">
        <f>IF(OR(31&lt;='01_Вводные'!$B$15,31-'01_Вводные'!$B$15&gt;60),0,INDEX('19_Расчет_аналитики'!$B$2362:$BI$2362,1,31-'01_Вводные'!$B$15))*'01_Вводные'!$B$298*'01_Вводные'!$B$22</f>
        <v/>
      </c>
      <c r="AG2387">
        <f>IF(OR(32&lt;='01_Вводные'!$B$15,32-'01_Вводные'!$B$15&gt;60),0,INDEX('19_Расчет_аналитики'!$B$2362:$BI$2362,1,32-'01_Вводные'!$B$15))*'01_Вводные'!$B$298*'01_Вводные'!$B$22</f>
        <v/>
      </c>
      <c r="AH2387">
        <f>IF(OR(33&lt;='01_Вводные'!$B$15,33-'01_Вводные'!$B$15&gt;60),0,INDEX('19_Расчет_аналитики'!$B$2362:$BI$2362,1,33-'01_Вводные'!$B$15))*'01_Вводные'!$B$298*'01_Вводные'!$B$22</f>
        <v/>
      </c>
      <c r="AI2387">
        <f>IF(OR(34&lt;='01_Вводные'!$B$15,34-'01_Вводные'!$B$15&gt;60),0,INDEX('19_Расчет_аналитики'!$B$2362:$BI$2362,1,34-'01_Вводные'!$B$15))*'01_Вводные'!$B$298*'01_Вводные'!$B$22</f>
        <v/>
      </c>
      <c r="AJ2387">
        <f>IF(OR(35&lt;='01_Вводные'!$B$15,35-'01_Вводные'!$B$15&gt;60),0,INDEX('19_Расчет_аналитики'!$B$2362:$BI$2362,1,35-'01_Вводные'!$B$15))*'01_Вводные'!$B$298*'01_Вводные'!$B$22</f>
        <v/>
      </c>
      <c r="AK2387">
        <f>IF(OR(36&lt;='01_Вводные'!$B$15,36-'01_Вводные'!$B$15&gt;60),0,INDEX('19_Расчет_аналитики'!$B$2362:$BI$2362,1,36-'01_Вводные'!$B$15))*'01_Вводные'!$B$298*'01_Вводные'!$B$22</f>
        <v/>
      </c>
      <c r="AL2387">
        <f>IF(OR(37&lt;='01_Вводные'!$B$15,37-'01_Вводные'!$B$15&gt;60),0,INDEX('19_Расчет_аналитики'!$B$2362:$BI$2362,1,37-'01_Вводные'!$B$15))*'01_Вводные'!$B$298*'01_Вводные'!$B$22</f>
        <v/>
      </c>
      <c r="AM2387">
        <f>IF(OR(38&lt;='01_Вводные'!$B$15,38-'01_Вводные'!$B$15&gt;60),0,INDEX('19_Расчет_аналитики'!$B$2362:$BI$2362,1,38-'01_Вводные'!$B$15))*'01_Вводные'!$B$298*'01_Вводные'!$B$22</f>
        <v/>
      </c>
      <c r="AN2387">
        <f>IF(OR(39&lt;='01_Вводные'!$B$15,39-'01_Вводные'!$B$15&gt;60),0,INDEX('19_Расчет_аналитики'!$B$2362:$BI$2362,1,39-'01_Вводные'!$B$15))*'01_Вводные'!$B$298*'01_Вводные'!$B$22</f>
        <v/>
      </c>
      <c r="AO2387">
        <f>IF(OR(40&lt;='01_Вводные'!$B$15,40-'01_Вводные'!$B$15&gt;60),0,INDEX('19_Расчет_аналитики'!$B$2362:$BI$2362,1,40-'01_Вводные'!$B$15))*'01_Вводные'!$B$298*'01_Вводные'!$B$22</f>
        <v/>
      </c>
      <c r="AP2387">
        <f>IF(OR(41&lt;='01_Вводные'!$B$15,41-'01_Вводные'!$B$15&gt;60),0,INDEX('19_Расчет_аналитики'!$B$2362:$BI$2362,1,41-'01_Вводные'!$B$15))*'01_Вводные'!$B$298*'01_Вводные'!$B$22</f>
        <v/>
      </c>
      <c r="AQ2387">
        <f>IF(OR(42&lt;='01_Вводные'!$B$15,42-'01_Вводные'!$B$15&gt;60),0,INDEX('19_Расчет_аналитики'!$B$2362:$BI$2362,1,42-'01_Вводные'!$B$15))*'01_Вводные'!$B$298*'01_Вводные'!$B$22</f>
        <v/>
      </c>
      <c r="AR2387">
        <f>IF(OR(43&lt;='01_Вводные'!$B$15,43-'01_Вводные'!$B$15&gt;60),0,INDEX('19_Расчет_аналитики'!$B$2362:$BI$2362,1,43-'01_Вводные'!$B$15))*'01_Вводные'!$B$298*'01_Вводные'!$B$22</f>
        <v/>
      </c>
      <c r="AS2387">
        <f>IF(OR(44&lt;='01_Вводные'!$B$15,44-'01_Вводные'!$B$15&gt;60),0,INDEX('19_Расчет_аналитики'!$B$2362:$BI$2362,1,44-'01_Вводные'!$B$15))*'01_Вводные'!$B$298*'01_Вводные'!$B$22</f>
        <v/>
      </c>
      <c r="AT2387">
        <f>IF(OR(45&lt;='01_Вводные'!$B$15,45-'01_Вводные'!$B$15&gt;60),0,INDEX('19_Расчет_аналитики'!$B$2362:$BI$2362,1,45-'01_Вводные'!$B$15))*'01_Вводные'!$B$298*'01_Вводные'!$B$22</f>
        <v/>
      </c>
      <c r="AU2387">
        <f>IF(OR(46&lt;='01_Вводные'!$B$15,46-'01_Вводные'!$B$15&gt;60),0,INDEX('19_Расчет_аналитики'!$B$2362:$BI$2362,1,46-'01_Вводные'!$B$15))*'01_Вводные'!$B$298*'01_Вводные'!$B$22</f>
        <v/>
      </c>
      <c r="AV2387">
        <f>IF(OR(47&lt;='01_Вводные'!$B$15,47-'01_Вводные'!$B$15&gt;60),0,INDEX('19_Расчет_аналитики'!$B$2362:$BI$2362,1,47-'01_Вводные'!$B$15))*'01_Вводные'!$B$298*'01_Вводные'!$B$22</f>
        <v/>
      </c>
      <c r="AW2387">
        <f>IF(OR(48&lt;='01_Вводные'!$B$15,48-'01_Вводные'!$B$15&gt;60),0,INDEX('19_Расчет_аналитики'!$B$2362:$BI$2362,1,48-'01_Вводные'!$B$15))*'01_Вводные'!$B$298*'01_Вводные'!$B$22</f>
        <v/>
      </c>
      <c r="AX2387">
        <f>IF(OR(49&lt;='01_Вводные'!$B$15,49-'01_Вводные'!$B$15&gt;60),0,INDEX('19_Расчет_аналитики'!$B$2362:$BI$2362,1,49-'01_Вводные'!$B$15))*'01_Вводные'!$B$298*'01_Вводные'!$B$22</f>
        <v/>
      </c>
      <c r="AY2387">
        <f>IF(OR(50&lt;='01_Вводные'!$B$15,50-'01_Вводные'!$B$15&gt;60),0,INDEX('19_Расчет_аналитики'!$B$2362:$BI$2362,1,50-'01_Вводные'!$B$15))*'01_Вводные'!$B$298*'01_Вводные'!$B$22</f>
        <v/>
      </c>
      <c r="AZ2387">
        <f>IF(OR(51&lt;='01_Вводные'!$B$15,51-'01_Вводные'!$B$15&gt;60),0,INDEX('19_Расчет_аналитики'!$B$2362:$BI$2362,1,51-'01_Вводные'!$B$15))*'01_Вводные'!$B$298*'01_Вводные'!$B$22</f>
        <v/>
      </c>
      <c r="BA2387">
        <f>IF(OR(52&lt;='01_Вводные'!$B$15,52-'01_Вводные'!$B$15&gt;60),0,INDEX('19_Расчет_аналитики'!$B$2362:$BI$2362,1,52-'01_Вводные'!$B$15))*'01_Вводные'!$B$298*'01_Вводные'!$B$22</f>
        <v/>
      </c>
      <c r="BB2387">
        <f>IF(OR(53&lt;='01_Вводные'!$B$15,53-'01_Вводные'!$B$15&gt;60),0,INDEX('19_Расчет_аналитики'!$B$2362:$BI$2362,1,53-'01_Вводные'!$B$15))*'01_Вводные'!$B$298*'01_Вводные'!$B$22</f>
        <v/>
      </c>
      <c r="BC2387">
        <f>IF(OR(54&lt;='01_Вводные'!$B$15,54-'01_Вводные'!$B$15&gt;60),0,INDEX('19_Расчет_аналитики'!$B$2362:$BI$2362,1,54-'01_Вводные'!$B$15))*'01_Вводные'!$B$298*'01_Вводные'!$B$22</f>
        <v/>
      </c>
      <c r="BD2387">
        <f>IF(OR(55&lt;='01_Вводные'!$B$15,55-'01_Вводные'!$B$15&gt;60),0,INDEX('19_Расчет_аналитики'!$B$2362:$BI$2362,1,55-'01_Вводные'!$B$15))*'01_Вводные'!$B$298*'01_Вводные'!$B$22</f>
        <v/>
      </c>
      <c r="BE2387">
        <f>IF(OR(56&lt;='01_Вводные'!$B$15,56-'01_Вводные'!$B$15&gt;60),0,INDEX('19_Расчет_аналитики'!$B$2362:$BI$2362,1,56-'01_Вводные'!$B$15))*'01_Вводные'!$B$298*'01_Вводные'!$B$22</f>
        <v/>
      </c>
      <c r="BF2387">
        <f>IF(OR(57&lt;='01_Вводные'!$B$15,57-'01_Вводные'!$B$15&gt;60),0,INDEX('19_Расчет_аналитики'!$B$2362:$BI$2362,1,57-'01_Вводные'!$B$15))*'01_Вводные'!$B$298*'01_Вводные'!$B$22</f>
        <v/>
      </c>
      <c r="BG2387">
        <f>IF(OR(58&lt;='01_Вводные'!$B$15,58-'01_Вводные'!$B$15&gt;60),0,INDEX('19_Расчет_аналитики'!$B$2362:$BI$2362,1,58-'01_Вводные'!$B$15))*'01_Вводные'!$B$298*'01_Вводные'!$B$22</f>
        <v/>
      </c>
      <c r="BH2387">
        <f>IF(OR(59&lt;='01_Вводные'!$B$15,59-'01_Вводные'!$B$15&gt;60),0,INDEX('19_Расчет_аналитики'!$B$2362:$BI$2362,1,59-'01_Вводные'!$B$15))*'01_Вводные'!$B$298*'01_Вводные'!$B$22</f>
        <v/>
      </c>
      <c r="BI2387">
        <f>IF(OR(60&lt;='01_Вводные'!$B$15,60-'01_Вводные'!$B$15&gt;60),0,INDEX('19_Расчет_аналитики'!$B$2362:$BI$2362,1,60-'01_Вводные'!$B$15))*'01_Вводные'!$B$298*'01_Вводные'!$B$22</f>
        <v/>
      </c>
      <c r="BJ2387">
        <f>IF(OR(61&lt;='01_Вводные'!$B$15,61-'01_Вводные'!$B$15&gt;60),0,INDEX('19_Расчет_аналитики'!$B$2362:$BI$2362,1,61-'01_Вводные'!$B$15))*'01_Вводные'!$B$298*'01_Вводные'!$B$22</f>
        <v/>
      </c>
      <c r="BK2387">
        <f>IF(OR(62&lt;='01_Вводные'!$B$15,62-'01_Вводные'!$B$15&gt;60),0,INDEX('19_Расчет_аналитики'!$B$2362:$BI$2362,1,62-'01_Вводные'!$B$15))*'01_Вводные'!$B$298*'01_Вводные'!$B$22</f>
        <v/>
      </c>
      <c r="BL2387">
        <f>IF(OR(63&lt;='01_Вводные'!$B$15,63-'01_Вводные'!$B$15&gt;60),0,INDEX('19_Расчет_аналитики'!$B$2362:$BI$2362,1,63-'01_Вводные'!$B$15))*'01_Вводные'!$B$298*'01_Вводные'!$B$22</f>
        <v/>
      </c>
      <c r="BM2387">
        <f>IF(OR(64&lt;='01_Вводные'!$B$15,64-'01_Вводные'!$B$15&gt;60),0,INDEX('19_Расчет_аналитики'!$B$2362:$BI$2362,1,64-'01_Вводные'!$B$15))*'01_Вводные'!$B$298*'01_Вводные'!$B$22</f>
        <v/>
      </c>
      <c r="BN2387">
        <f>IF(OR(65&lt;='01_Вводные'!$B$15,65-'01_Вводные'!$B$15&gt;60),0,INDEX('19_Расчет_аналитики'!$B$2362:$BI$2362,1,65-'01_Вводные'!$B$15))*'01_Вводные'!$B$298*'01_Вводные'!$B$22</f>
        <v/>
      </c>
      <c r="BO2387">
        <f>IF(OR(66&lt;='01_Вводные'!$B$15,66-'01_Вводные'!$B$15&gt;60),0,INDEX('19_Расчет_аналитики'!$B$2362:$BI$2362,1,66-'01_Вводные'!$B$15))*'01_Вводные'!$B$298*'01_Вводные'!$B$22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IF('01_Вводные'!$B$234="Да",IF(OR(1&lt;='01_Вводные'!$B$15,1-'01_Вводные'!$B$15&gt;60),0,INDEX('19_Расчет_аналитики'!$B$3374:$BI$3374,1,1-'01_Вводные'!$B$15))*'01_Вводные'!$B$298*'01_Вводные'!$B$22,0)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IF('01_Вводные'!$B$234="Да",IF(OR(2&lt;='01_Вводные'!$B$15,2-'01_Вводные'!$B$15&gt;60),0,INDEX('19_Расчет_аналитики'!$B$3374:$BI$3374,1,2-'01_Вводные'!$B$15))*'01_Вводные'!$B$298*'01_Вводные'!$B$22,0)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IF('01_Вводные'!$B$234="Да",IF(OR(3&lt;='01_Вводные'!$B$15,3-'01_Вводные'!$B$15&gt;60),0,INDEX('19_Расчет_аналитики'!$B$3374:$BI$3374,1,3-'01_Вводные'!$B$15))*'01_Вводные'!$B$298*'01_Вводные'!$B$22,0)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IF('01_Вводные'!$B$234="Да",IF(OR(4&lt;='01_Вводные'!$B$15,4-'01_Вводные'!$B$15&gt;60),0,INDEX('19_Расчет_аналитики'!$B$3374:$BI$3374,1,4-'01_Вводные'!$B$15))*'01_Вводные'!$B$298*'01_Вводные'!$B$22,0)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IF('01_Вводные'!$B$234="Да",IF(OR(5&lt;='01_Вводные'!$B$15,5-'01_Вводные'!$B$15&gt;60),0,INDEX('19_Расчет_аналитики'!$B$3374:$BI$3374,1,5-'01_Вводные'!$B$15))*'01_Вводные'!$B$298*'01_Вводные'!$B$22,0)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IF('01_Вводные'!$B$234="Да",IF(OR(6&lt;='01_Вводные'!$B$15,6-'01_Вводные'!$B$15&gt;60),0,INDEX('19_Расчет_аналитики'!$B$3374:$BI$3374,1,6-'01_Вводные'!$B$15))*'01_Вводные'!$B$298*'01_Вводные'!$B$22,0)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IF('01_Вводные'!$B$234="Да",IF(OR(7&lt;='01_Вводные'!$B$15,7-'01_Вводные'!$B$15&gt;60),0,INDEX('19_Расчет_аналитики'!$B$3374:$BI$3374,1,7-'01_Вводные'!$B$15))*'01_Вводные'!$B$298*'01_Вводные'!$B$22,0)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IF('01_Вводные'!$B$234="Да",IF(OR(8&lt;='01_Вводные'!$B$15,8-'01_Вводные'!$B$15&gt;60),0,INDEX('19_Расчет_аналитики'!$B$3374:$BI$3374,1,8-'01_Вводные'!$B$15))*'01_Вводные'!$B$298*'01_Вводные'!$B$22,0)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IF('01_Вводные'!$B$234="Да",IF(OR(9&lt;='01_Вводные'!$B$15,9-'01_Вводные'!$B$15&gt;60),0,INDEX('19_Расчет_аналитики'!$B$3374:$BI$3374,1,9-'01_Вводные'!$B$15))*'01_Вводные'!$B$298*'01_Вводные'!$B$22,0)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IF('01_Вводные'!$B$234="Да",IF(OR(10&lt;='01_Вводные'!$B$15,10-'01_Вводные'!$B$15&gt;60),0,INDEX('19_Расчет_аналитики'!$B$3374:$BI$3374,1,10-'01_Вводные'!$B$15))*'01_Вводные'!$B$298*'01_Вводные'!$B$22,0)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IF('01_Вводные'!$B$234="Да",IF(OR(11&lt;='01_Вводные'!$B$15,11-'01_Вводные'!$B$15&gt;60),0,INDEX('19_Расчет_аналитики'!$B$3374:$BI$3374,1,11-'01_Вводные'!$B$15))*'01_Вводные'!$B$298*'01_Вводные'!$B$22,0)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IF('01_Вводные'!$B$234="Да",IF(OR(12&lt;='01_Вводные'!$B$15,12-'01_Вводные'!$B$15&gt;60),0,INDEX('19_Расчет_аналитики'!$B$3374:$BI$3374,1,12-'01_Вводные'!$B$15))*'01_Вводные'!$B$298*'01_Вводные'!$B$22,0)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IF('01_Вводные'!$B$234="Да",IF(OR(13&lt;='01_Вводные'!$B$15,13-'01_Вводные'!$B$15&gt;60),0,INDEX('19_Расчет_аналитики'!$B$3374:$BI$3374,1,13-'01_Вводные'!$B$15))*'01_Вводные'!$B$298*'01_Вводные'!$B$22,0)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IF('01_Вводные'!$B$234="Да",IF(OR(14&lt;='01_Вводные'!$B$15,14-'01_Вводные'!$B$15&gt;60),0,INDEX('19_Расчет_аналитики'!$B$3374:$BI$3374,1,14-'01_Вводные'!$B$15))*'01_Вводные'!$B$298*'01_Вводные'!$B$22,0)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IF('01_Вводные'!$B$234="Да",IF(OR(15&lt;='01_Вводные'!$B$15,15-'01_Вводные'!$B$15&gt;60),0,INDEX('19_Расчет_аналитики'!$B$3374:$BI$3374,1,15-'01_Вводные'!$B$15))*'01_Вводные'!$B$298*'01_Вводные'!$B$22,0)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IF('01_Вводные'!$B$234="Да",IF(OR(16&lt;='01_Вводные'!$B$15,16-'01_Вводные'!$B$15&gt;60),0,INDEX('19_Расчет_аналитики'!$B$3374:$BI$3374,1,16-'01_Вводные'!$B$15))*'01_Вводные'!$B$298*'01_Вводные'!$B$22,0)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IF('01_Вводные'!$B$234="Да",IF(OR(17&lt;='01_Вводные'!$B$15,17-'01_Вводные'!$B$15&gt;60),0,INDEX('19_Расчет_аналитики'!$B$3374:$BI$3374,1,17-'01_Вводные'!$B$15))*'01_Вводные'!$B$298*'01_Вводные'!$B$22,0)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IF('01_Вводные'!$B$234="Да",IF(OR(18&lt;='01_Вводные'!$B$15,18-'01_Вводные'!$B$15&gt;60),0,INDEX('19_Расчет_аналитики'!$B$3374:$BI$3374,1,18-'01_Вводные'!$B$15))*'01_Вводные'!$B$298*'01_Вводные'!$B$22,0)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IF('01_Вводные'!$B$234="Да",IF(OR(19&lt;='01_Вводные'!$B$15,19-'01_Вводные'!$B$15&gt;60),0,INDEX('19_Расчет_аналитики'!$B$3374:$BI$3374,1,19-'01_Вводные'!$B$15))*'01_Вводные'!$B$298*'01_Вводные'!$B$22,0)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IF('01_Вводные'!$B$234="Да",IF(OR(20&lt;='01_Вводные'!$B$15,20-'01_Вводные'!$B$15&gt;60),0,INDEX('19_Расчет_аналитики'!$B$3374:$BI$3374,1,20-'01_Вводные'!$B$15))*'01_Вводные'!$B$298*'01_Вводные'!$B$22,0)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IF('01_Вводные'!$B$234="Да",IF(OR(21&lt;='01_Вводные'!$B$15,21-'01_Вводные'!$B$15&gt;60),0,INDEX('19_Расчет_аналитики'!$B$3374:$BI$3374,1,21-'01_Вводные'!$B$15))*'01_Вводные'!$B$298*'01_Вводные'!$B$22,0)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IF('01_Вводные'!$B$234="Да",IF(OR(22&lt;='01_Вводные'!$B$15,22-'01_Вводные'!$B$15&gt;60),0,INDEX('19_Расчет_аналитики'!$B$3374:$BI$3374,1,22-'01_Вводные'!$B$15))*'01_Вводные'!$B$298*'01_Вводные'!$B$22,0)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IF('01_Вводные'!$B$234="Да",IF(OR(23&lt;='01_Вводные'!$B$15,23-'01_Вводные'!$B$15&gt;60),0,INDEX('19_Расчет_аналитики'!$B$3374:$BI$3374,1,23-'01_Вводные'!$B$15))*'01_Вводные'!$B$298*'01_Вводные'!$B$22,0)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IF('01_Вводные'!$B$234="Да",IF(OR(24&lt;='01_Вводные'!$B$15,24-'01_Вводные'!$B$15&gt;60),0,INDEX('19_Расчет_аналитики'!$B$3374:$BI$3374,1,24-'01_Вводные'!$B$15))*'01_Вводные'!$B$298*'01_Вводные'!$B$22,0)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IF('01_Вводные'!$B$234="Да",IF(OR(25&lt;='01_Вводные'!$B$15,25-'01_Вводные'!$B$15&gt;60),0,INDEX('19_Расчет_аналитики'!$B$3374:$BI$3374,1,25-'01_Вводные'!$B$15))*'01_Вводные'!$B$298*'01_Вводные'!$B$22,0)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IF('01_Вводные'!$B$234="Да",IF(OR(26&lt;='01_Вводные'!$B$15,26-'01_Вводные'!$B$15&gt;60),0,INDEX('19_Расчет_аналитики'!$B$3374:$BI$3374,1,26-'01_Вводные'!$B$15))*'01_Вводные'!$B$298*'01_Вводные'!$B$22,0)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IF('01_Вводные'!$B$234="Да",IF(OR(27&lt;='01_Вводные'!$B$15,27-'01_Вводные'!$B$15&gt;60),0,INDEX('19_Расчет_аналитики'!$B$3374:$BI$3374,1,27-'01_Вводные'!$B$15))*'01_Вводные'!$B$298*'01_Вводные'!$B$22,0)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IF('01_Вводные'!$B$234="Да",IF(OR(28&lt;='01_Вводные'!$B$15,28-'01_Вводные'!$B$15&gt;60),0,INDEX('19_Расчет_аналитики'!$B$3374:$BI$3374,1,28-'01_Вводные'!$B$15))*'01_Вводные'!$B$298*'01_Вводные'!$B$22,0)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IF('01_Вводные'!$B$234="Да",IF(OR(29&lt;='01_Вводные'!$B$15,29-'01_Вводные'!$B$15&gt;60),0,INDEX('19_Расчет_аналитики'!$B$3374:$BI$3374,1,29-'01_Вводные'!$B$15))*'01_Вводные'!$B$298*'01_Вводные'!$B$22,0)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IF('01_Вводные'!$B$234="Да",IF(OR(30&lt;='01_Вводные'!$B$15,30-'01_Вводные'!$B$15&gt;60),0,INDEX('19_Расчет_аналитики'!$B$3374:$BI$3374,1,30-'01_Вводные'!$B$15))*'01_Вводные'!$B$298*'01_Вводные'!$B$22,0)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IF('01_Вводные'!$B$234="Да",IF(OR(31&lt;='01_Вводные'!$B$15,31-'01_Вводные'!$B$15&gt;60),0,INDEX('19_Расчет_аналитики'!$B$3374:$BI$3374,1,31-'01_Вводные'!$B$15))*'01_Вводные'!$B$298*'01_Вводные'!$B$22,0)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IF('01_Вводные'!$B$234="Да",IF(OR(32&lt;='01_Вводные'!$B$15,32-'01_Вводные'!$B$15&gt;60),0,INDEX('19_Расчет_аналитики'!$B$3374:$BI$3374,1,32-'01_Вводные'!$B$15))*'01_Вводные'!$B$298*'01_Вводные'!$B$22,0)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IF('01_Вводные'!$B$234="Да",IF(OR(33&lt;='01_Вводные'!$B$15,33-'01_Вводные'!$B$15&gt;60),0,INDEX('19_Расчет_аналитики'!$B$3374:$BI$3374,1,33-'01_Вводные'!$B$15))*'01_Вводные'!$B$298*'01_Вводные'!$B$22,0)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IF('01_Вводные'!$B$234="Да",IF(OR(34&lt;='01_Вводные'!$B$15,34-'01_Вводные'!$B$15&gt;60),0,INDEX('19_Расчет_аналитики'!$B$3374:$BI$3374,1,34-'01_Вводные'!$B$15))*'01_Вводные'!$B$298*'01_Вводные'!$B$22,0)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IF('01_Вводные'!$B$234="Да",IF(OR(35&lt;='01_Вводные'!$B$15,35-'01_Вводные'!$B$15&gt;60),0,INDEX('19_Расчет_аналитики'!$B$3374:$BI$3374,1,35-'01_Вводные'!$B$15))*'01_Вводные'!$B$298*'01_Вводные'!$B$22,0)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IF('01_Вводные'!$B$234="Да",IF(OR(36&lt;='01_Вводные'!$B$15,36-'01_Вводные'!$B$15&gt;60),0,INDEX('19_Расчет_аналитики'!$B$3374:$BI$3374,1,36-'01_Вводные'!$B$15))*'01_Вводные'!$B$298*'01_Вводные'!$B$22,0)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IF('01_Вводные'!$B$234="Да",IF(OR(37&lt;='01_Вводные'!$B$15,37-'01_Вводные'!$B$15&gt;60),0,INDEX('19_Расчет_аналитики'!$B$3374:$BI$3374,1,37-'01_Вводные'!$B$15))*'01_Вводные'!$B$298*'01_Вводные'!$B$22,0)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IF('01_Вводные'!$B$234="Да",IF(OR(38&lt;='01_Вводные'!$B$15,38-'01_Вводные'!$B$15&gt;60),0,INDEX('19_Расчет_аналитики'!$B$3374:$BI$3374,1,38-'01_Вводные'!$B$15))*'01_Вводные'!$B$298*'01_Вводные'!$B$22,0)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IF('01_Вводные'!$B$234="Да",IF(OR(39&lt;='01_Вводные'!$B$15,39-'01_Вводные'!$B$15&gt;60),0,INDEX('19_Расчет_аналитики'!$B$3374:$BI$3374,1,39-'01_Вводные'!$B$15))*'01_Вводные'!$B$298*'01_Вводные'!$B$22,0)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IF('01_Вводные'!$B$234="Да",IF(OR(40&lt;='01_Вводные'!$B$15,40-'01_Вводные'!$B$15&gt;60),0,INDEX('19_Расчет_аналитики'!$B$3374:$BI$3374,1,40-'01_Вводные'!$B$15))*'01_Вводные'!$B$298*'01_Вводные'!$B$22,0)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IF('01_Вводные'!$B$234="Да",IF(OR(41&lt;='01_Вводные'!$B$15,41-'01_Вводные'!$B$15&gt;60),0,INDEX('19_Расчет_аналитики'!$B$3374:$BI$3374,1,41-'01_Вводные'!$B$15))*'01_Вводные'!$B$298*'01_Вводные'!$B$22,0)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IF('01_Вводные'!$B$234="Да",IF(OR(42&lt;='01_Вводные'!$B$15,42-'01_Вводные'!$B$15&gt;60),0,INDEX('19_Расчет_аналитики'!$B$3374:$BI$3374,1,42-'01_Вводные'!$B$15))*'01_Вводные'!$B$298*'01_Вводные'!$B$22,0)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IF('01_Вводные'!$B$234="Да",IF(OR(43&lt;='01_Вводные'!$B$15,43-'01_Вводные'!$B$15&gt;60),0,INDEX('19_Расчет_аналитики'!$B$3374:$BI$3374,1,43-'01_Вводные'!$B$15))*'01_Вводные'!$B$298*'01_Вводные'!$B$22,0)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IF('01_Вводные'!$B$234="Да",IF(OR(44&lt;='01_Вводные'!$B$15,44-'01_Вводные'!$B$15&gt;60),0,INDEX('19_Расчет_аналитики'!$B$3374:$BI$3374,1,44-'01_Вводные'!$B$15))*'01_Вводные'!$B$298*'01_Вводные'!$B$22,0)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IF('01_Вводные'!$B$234="Да",IF(OR(45&lt;='01_Вводные'!$B$15,45-'01_Вводные'!$B$15&gt;60),0,INDEX('19_Расчет_аналитики'!$B$3374:$BI$3374,1,45-'01_Вводные'!$B$15))*'01_Вводные'!$B$298*'01_Вводные'!$B$22,0)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IF('01_Вводные'!$B$234="Да",IF(OR(46&lt;='01_Вводные'!$B$15,46-'01_Вводные'!$B$15&gt;60),0,INDEX('19_Расчет_аналитики'!$B$3374:$BI$3374,1,46-'01_Вводные'!$B$15))*'01_Вводные'!$B$298*'01_Вводные'!$B$22,0)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IF('01_Вводные'!$B$234="Да",IF(OR(47&lt;='01_Вводные'!$B$15,47-'01_Вводные'!$B$15&gt;60),0,INDEX('19_Расчет_аналитики'!$B$3374:$BI$3374,1,47-'01_Вводные'!$B$15))*'01_Вводные'!$B$298*'01_Вводные'!$B$22,0)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IF('01_Вводные'!$B$234="Да",IF(OR(48&lt;='01_Вводные'!$B$15,48-'01_Вводные'!$B$15&gt;60),0,INDEX('19_Расчет_аналитики'!$B$3374:$BI$3374,1,48-'01_Вводные'!$B$15))*'01_Вводные'!$B$298*'01_Вводные'!$B$22,0)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IF('01_Вводные'!$B$234="Да",IF(OR(49&lt;='01_Вводные'!$B$15,49-'01_Вводные'!$B$15&gt;60),0,INDEX('19_Расчет_аналитики'!$B$3374:$BI$3374,1,49-'01_Вводные'!$B$15))*'01_Вводные'!$B$298*'01_Вводные'!$B$22,0)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IF('01_Вводные'!$B$234="Да",IF(OR(50&lt;='01_Вводные'!$B$15,50-'01_Вводные'!$B$15&gt;60),0,INDEX('19_Расчет_аналитики'!$B$3374:$BI$3374,1,50-'01_Вводные'!$B$15))*'01_Вводные'!$B$298*'01_Вводные'!$B$22,0)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IF('01_Вводные'!$B$234="Да",IF(OR(51&lt;='01_Вводные'!$B$15,51-'01_Вводные'!$B$15&gt;60),0,INDEX('19_Расчет_аналитики'!$B$3374:$BI$3374,1,51-'01_Вводные'!$B$15))*'01_Вводные'!$B$298*'01_Вводные'!$B$22,0)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IF('01_Вводные'!$B$234="Да",IF(OR(52&lt;='01_Вводные'!$B$15,52-'01_Вводные'!$B$15&gt;60),0,INDEX('19_Расчет_аналитики'!$B$3374:$BI$3374,1,52-'01_Вводные'!$B$15))*'01_Вводные'!$B$298*'01_Вводные'!$B$22,0)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IF('01_Вводные'!$B$234="Да",IF(OR(53&lt;='01_Вводные'!$B$15,53-'01_Вводные'!$B$15&gt;60),0,INDEX('19_Расчет_аналитики'!$B$3374:$BI$3374,1,53-'01_Вводные'!$B$15))*'01_Вводные'!$B$298*'01_Вводные'!$B$22,0)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IF('01_Вводные'!$B$234="Да",IF(OR(54&lt;='01_Вводные'!$B$15,54-'01_Вводные'!$B$15&gt;60),0,INDEX('19_Расчет_аналитики'!$B$3374:$BI$3374,1,54-'01_Вводные'!$B$15))*'01_Вводные'!$B$298*'01_Вводные'!$B$22,0)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IF('01_Вводные'!$B$234="Да",IF(OR(55&lt;='01_Вводные'!$B$15,55-'01_Вводные'!$B$15&gt;60),0,INDEX('19_Расчет_аналитики'!$B$3374:$BI$3374,1,55-'01_Вводные'!$B$15))*'01_Вводные'!$B$298*'01_Вводные'!$B$22,0)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IF('01_Вводные'!$B$234="Да",IF(OR(56&lt;='01_Вводные'!$B$15,56-'01_Вводные'!$B$15&gt;60),0,INDEX('19_Расчет_аналитики'!$B$3374:$BI$3374,1,56-'01_Вводные'!$B$15))*'01_Вводные'!$B$298*'01_Вводные'!$B$22,0)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IF('01_Вводные'!$B$234="Да",IF(OR(57&lt;='01_Вводные'!$B$15,57-'01_Вводные'!$B$15&gt;60),0,INDEX('19_Расчет_аналитики'!$B$3374:$BI$3374,1,57-'01_Вводные'!$B$15))*'01_Вводные'!$B$298*'01_Вводные'!$B$22,0)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IF('01_Вводные'!$B$234="Да",IF(OR(58&lt;='01_Вводные'!$B$15,58-'01_Вводные'!$B$15&gt;60),0,INDEX('19_Расчет_аналитики'!$B$3374:$BI$3374,1,58-'01_Вводные'!$B$15))*'01_Вводные'!$B$298*'01_Вводные'!$B$22,0)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IF('01_Вводные'!$B$234="Да",IF(OR(59&lt;='01_Вводные'!$B$15,59-'01_Вводные'!$B$15&gt;60),0,INDEX('19_Расчет_аналитики'!$B$3374:$BI$3374,1,59-'01_Вводные'!$B$15))*'01_Вводные'!$B$298*'01_Вводные'!$B$22,0)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IF('01_Вводные'!$B$234="Да",IF(OR(60&lt;='01_Вводные'!$B$15,60-'01_Вводные'!$B$15&gt;60),0,INDEX('19_Расчет_аналитики'!$B$3374:$BI$3374,1,60-'01_Вводные'!$B$15))*'01_Вводные'!$B$298*'01_Вводные'!$B$22,0)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IF('01_Вводные'!$B$234="Да",IF(OR(61&lt;='01_Вводные'!$B$15,61-'01_Вводные'!$B$15&gt;60),0,INDEX('19_Расчет_аналитики'!$B$3374:$BI$3374,1,61-'01_Вводные'!$B$15))*'01_Вводные'!$B$298*'01_Вводные'!$B$22,0)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IF('01_Вводные'!$B$234="Да",IF(OR(62&lt;='01_Вводные'!$B$15,62-'01_Вводные'!$B$15&gt;60),0,INDEX('19_Расчет_аналитики'!$B$3374:$BI$3374,1,62-'01_Вводные'!$B$15))*'01_Вводные'!$B$298*'01_Вводные'!$B$22,0)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IF('01_Вводные'!$B$234="Да",IF(OR(63&lt;='01_Вводные'!$B$15,63-'01_Вводные'!$B$15&gt;60),0,INDEX('19_Расчет_аналитики'!$B$3374:$BI$3374,1,63-'01_Вводные'!$B$15))*'01_Вводные'!$B$298*'01_Вводные'!$B$22,0)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IF('01_Вводные'!$B$234="Да",IF(OR(64&lt;='01_Вводные'!$B$15,64-'01_Вводные'!$B$15&gt;60),0,INDEX('19_Расчет_аналитики'!$B$3374:$BI$3374,1,64-'01_Вводные'!$B$15))*'01_Вводные'!$B$298*'01_Вводные'!$B$22,0)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IF('01_Вводные'!$B$234="Да",IF(OR(65&lt;='01_Вводные'!$B$15,65-'01_Вводные'!$B$15&gt;60),0,INDEX('19_Расчет_аналитики'!$B$3374:$BI$3374,1,65-'01_Вводные'!$B$15))*'01_Вводные'!$B$298*'01_Вводные'!$B$22,0)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IF('01_Вводные'!$B$234="Да",IF(OR(66&lt;='01_Вводные'!$B$15,66-'01_Вводные'!$B$15&gt;60),0,INDEX('19_Расчет_аналитики'!$B$3374:$BI$3374,1,66-'01_Вводные'!$B$15))*'01_Вводные'!$B$298*'01_Вводные'!$B$22,0)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IF('01_Вводные'!$B$234="Да",IF(OR(1&lt;='01_Вводные'!$B$15,1-'01_Вводные'!$B$15&gt;60),0,INDEX('19_Расчет_аналитики'!$B$4386:$BI$4386,1,1-'01_Вводные'!$B$15))*'01_Вводные'!$B$298*'01_Вводные'!$B$22,0)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IF('01_Вводные'!$B$234="Да",IF(OR(2&lt;='01_Вводные'!$B$15,2-'01_Вводные'!$B$15&gt;60),0,INDEX('19_Расчет_аналитики'!$B$4386:$BI$4386,1,2-'01_Вводные'!$B$15))*'01_Вводные'!$B$298*'01_Вводные'!$B$22,0)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IF('01_Вводные'!$B$234="Да",IF(OR(3&lt;='01_Вводные'!$B$15,3-'01_Вводные'!$B$15&gt;60),0,INDEX('19_Расчет_аналитики'!$B$4386:$BI$4386,1,3-'01_Вводные'!$B$15))*'01_Вводные'!$B$298*'01_Вводные'!$B$22,0)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IF('01_Вводные'!$B$234="Да",IF(OR(4&lt;='01_Вводные'!$B$15,4-'01_Вводные'!$B$15&gt;60),0,INDEX('19_Расчет_аналитики'!$B$4386:$BI$4386,1,4-'01_Вводные'!$B$15))*'01_Вводные'!$B$298*'01_Вводные'!$B$22,0)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IF('01_Вводные'!$B$234="Да",IF(OR(5&lt;='01_Вводные'!$B$15,5-'01_Вводные'!$B$15&gt;60),0,INDEX('19_Расчет_аналитики'!$B$4386:$BI$4386,1,5-'01_Вводные'!$B$15))*'01_Вводные'!$B$298*'01_Вводные'!$B$22,0)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IF('01_Вводные'!$B$234="Да",IF(OR(6&lt;='01_Вводные'!$B$15,6-'01_Вводные'!$B$15&gt;60),0,INDEX('19_Расчет_аналитики'!$B$4386:$BI$4386,1,6-'01_Вводные'!$B$15))*'01_Вводные'!$B$298*'01_Вводные'!$B$22,0)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IF('01_Вводные'!$B$234="Да",IF(OR(7&lt;='01_Вводные'!$B$15,7-'01_Вводные'!$B$15&gt;60),0,INDEX('19_Расчет_аналитики'!$B$4386:$BI$4386,1,7-'01_Вводные'!$B$15))*'01_Вводные'!$B$298*'01_Вводные'!$B$22,0)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IF('01_Вводные'!$B$234="Да",IF(OR(8&lt;='01_Вводные'!$B$15,8-'01_Вводные'!$B$15&gt;60),0,INDEX('19_Расчет_аналитики'!$B$4386:$BI$4386,1,8-'01_Вводные'!$B$15))*'01_Вводные'!$B$298*'01_Вводные'!$B$22,0)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IF('01_Вводные'!$B$234="Да",IF(OR(9&lt;='01_Вводные'!$B$15,9-'01_Вводные'!$B$15&gt;60),0,INDEX('19_Расчет_аналитики'!$B$4386:$BI$4386,1,9-'01_Вводные'!$B$15))*'01_Вводные'!$B$298*'01_Вводные'!$B$22,0)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IF('01_Вводные'!$B$234="Да",IF(OR(10&lt;='01_Вводные'!$B$15,10-'01_Вводные'!$B$15&gt;60),0,INDEX('19_Расчет_аналитики'!$B$4386:$BI$4386,1,10-'01_Вводные'!$B$15))*'01_Вводные'!$B$298*'01_Вводные'!$B$22,0)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IF('01_Вводные'!$B$234="Да",IF(OR(11&lt;='01_Вводные'!$B$15,11-'01_Вводные'!$B$15&gt;60),0,INDEX('19_Расчет_аналитики'!$B$4386:$BI$4386,1,11-'01_Вводные'!$B$15))*'01_Вводные'!$B$298*'01_Вводные'!$B$22,0)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IF('01_Вводные'!$B$234="Да",IF(OR(12&lt;='01_Вводные'!$B$15,12-'01_Вводные'!$B$15&gt;60),0,INDEX('19_Расчет_аналитики'!$B$4386:$BI$4386,1,12-'01_Вводные'!$B$15))*'01_Вводные'!$B$298*'01_Вводные'!$B$22,0)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IF('01_Вводные'!$B$234="Да",IF(OR(13&lt;='01_Вводные'!$B$15,13-'01_Вводные'!$B$15&gt;60),0,INDEX('19_Расчет_аналитики'!$B$4386:$BI$4386,1,13-'01_Вводные'!$B$15))*'01_Вводные'!$B$298*'01_Вводные'!$B$22,0)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IF('01_Вводные'!$B$234="Да",IF(OR(14&lt;='01_Вводные'!$B$15,14-'01_Вводные'!$B$15&gt;60),0,INDEX('19_Расчет_аналитики'!$B$4386:$BI$4386,1,14-'01_Вводные'!$B$15))*'01_Вводные'!$B$298*'01_Вводные'!$B$22,0)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IF('01_Вводные'!$B$234="Да",IF(OR(15&lt;='01_Вводные'!$B$15,15-'01_Вводные'!$B$15&gt;60),0,INDEX('19_Расчет_аналитики'!$B$4386:$BI$4386,1,15-'01_Вводные'!$B$15))*'01_Вводные'!$B$298*'01_Вводные'!$B$22,0)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IF('01_Вводные'!$B$234="Да",IF(OR(16&lt;='01_Вводные'!$B$15,16-'01_Вводные'!$B$15&gt;60),0,INDEX('19_Расчет_аналитики'!$B$4386:$BI$4386,1,16-'01_Вводные'!$B$15))*'01_Вводные'!$B$298*'01_Вводные'!$B$22,0)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IF('01_Вводные'!$B$234="Да",IF(OR(17&lt;='01_Вводные'!$B$15,17-'01_Вводные'!$B$15&gt;60),0,INDEX('19_Расчет_аналитики'!$B$4386:$BI$4386,1,17-'01_Вводные'!$B$15))*'01_Вводные'!$B$298*'01_Вводные'!$B$22,0)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IF('01_Вводные'!$B$234="Да",IF(OR(18&lt;='01_Вводные'!$B$15,18-'01_Вводные'!$B$15&gt;60),0,INDEX('19_Расчет_аналитики'!$B$4386:$BI$4386,1,18-'01_Вводные'!$B$15))*'01_Вводные'!$B$298*'01_Вводные'!$B$22,0)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IF('01_Вводные'!$B$234="Да",IF(OR(19&lt;='01_Вводные'!$B$15,19-'01_Вводные'!$B$15&gt;60),0,INDEX('19_Расчет_аналитики'!$B$4386:$BI$4386,1,19-'01_Вводные'!$B$15))*'01_Вводные'!$B$298*'01_Вводные'!$B$22,0)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IF('01_Вводные'!$B$234="Да",IF(OR(20&lt;='01_Вводные'!$B$15,20-'01_Вводные'!$B$15&gt;60),0,INDEX('19_Расчет_аналитики'!$B$4386:$BI$4386,1,20-'01_Вводные'!$B$15))*'01_Вводные'!$B$298*'01_Вводные'!$B$22,0)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IF('01_Вводные'!$B$234="Да",IF(OR(21&lt;='01_Вводные'!$B$15,21-'01_Вводные'!$B$15&gt;60),0,INDEX('19_Расчет_аналитики'!$B$4386:$BI$4386,1,21-'01_Вводные'!$B$15))*'01_Вводные'!$B$298*'01_Вводные'!$B$22,0)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IF('01_Вводные'!$B$234="Да",IF(OR(22&lt;='01_Вводные'!$B$15,22-'01_Вводные'!$B$15&gt;60),0,INDEX('19_Расчет_аналитики'!$B$4386:$BI$4386,1,22-'01_Вводные'!$B$15))*'01_Вводные'!$B$298*'01_Вводные'!$B$22,0)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IF('01_Вводные'!$B$234="Да",IF(OR(23&lt;='01_Вводные'!$B$15,23-'01_Вводные'!$B$15&gt;60),0,INDEX('19_Расчет_аналитики'!$B$4386:$BI$4386,1,23-'01_Вводные'!$B$15))*'01_Вводные'!$B$298*'01_Вводные'!$B$22,0)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IF('01_Вводные'!$B$234="Да",IF(OR(24&lt;='01_Вводные'!$B$15,24-'01_Вводные'!$B$15&gt;60),0,INDEX('19_Расчет_аналитики'!$B$4386:$BI$4386,1,24-'01_Вводные'!$B$15))*'01_Вводные'!$B$298*'01_Вводные'!$B$22,0)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IF('01_Вводные'!$B$234="Да",IF(OR(25&lt;='01_Вводные'!$B$15,25-'01_Вводные'!$B$15&gt;60),0,INDEX('19_Расчет_аналитики'!$B$4386:$BI$4386,1,25-'01_Вводные'!$B$15))*'01_Вводные'!$B$298*'01_Вводные'!$B$22,0)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IF('01_Вводные'!$B$234="Да",IF(OR(26&lt;='01_Вводные'!$B$15,26-'01_Вводные'!$B$15&gt;60),0,INDEX('19_Расчет_аналитики'!$B$4386:$BI$4386,1,26-'01_Вводные'!$B$15))*'01_Вводные'!$B$298*'01_Вводные'!$B$22,0)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IF('01_Вводные'!$B$234="Да",IF(OR(27&lt;='01_Вводные'!$B$15,27-'01_Вводные'!$B$15&gt;60),0,INDEX('19_Расчет_аналитики'!$B$4386:$BI$4386,1,27-'01_Вводные'!$B$15))*'01_Вводные'!$B$298*'01_Вводные'!$B$22,0)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IF('01_Вводные'!$B$234="Да",IF(OR(28&lt;='01_Вводные'!$B$15,28-'01_Вводные'!$B$15&gt;60),0,INDEX('19_Расчет_аналитики'!$B$4386:$BI$4386,1,28-'01_Вводные'!$B$15))*'01_Вводные'!$B$298*'01_Вводные'!$B$22,0)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IF('01_Вводные'!$B$234="Да",IF(OR(29&lt;='01_Вводные'!$B$15,29-'01_Вводные'!$B$15&gt;60),0,INDEX('19_Расчет_аналитики'!$B$4386:$BI$4386,1,29-'01_Вводные'!$B$15))*'01_Вводные'!$B$298*'01_Вводные'!$B$22,0)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IF('01_Вводные'!$B$234="Да",IF(OR(30&lt;='01_Вводные'!$B$15,30-'01_Вводные'!$B$15&gt;60),0,INDEX('19_Расчет_аналитики'!$B$4386:$BI$4386,1,30-'01_Вводные'!$B$15))*'01_Вводные'!$B$298*'01_Вводные'!$B$22,0)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IF('01_Вводные'!$B$234="Да",IF(OR(31&lt;='01_Вводные'!$B$15,31-'01_Вводные'!$B$15&gt;60),0,INDEX('19_Расчет_аналитики'!$B$4386:$BI$4386,1,31-'01_Вводные'!$B$15))*'01_Вводные'!$B$298*'01_Вводные'!$B$22,0)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IF('01_Вводные'!$B$234="Да",IF(OR(32&lt;='01_Вводные'!$B$15,32-'01_Вводные'!$B$15&gt;60),0,INDEX('19_Расчет_аналитики'!$B$4386:$BI$4386,1,32-'01_Вводные'!$B$15))*'01_Вводные'!$B$298*'01_Вводные'!$B$22,0)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IF('01_Вводные'!$B$234="Да",IF(OR(33&lt;='01_Вводные'!$B$15,33-'01_Вводные'!$B$15&gt;60),0,INDEX('19_Расчет_аналитики'!$B$4386:$BI$4386,1,33-'01_Вводные'!$B$15))*'01_Вводные'!$B$298*'01_Вводные'!$B$22,0)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IF('01_Вводные'!$B$234="Да",IF(OR(34&lt;='01_Вводные'!$B$15,34-'01_Вводные'!$B$15&gt;60),0,INDEX('19_Расчет_аналитики'!$B$4386:$BI$4386,1,34-'01_Вводные'!$B$15))*'01_Вводные'!$B$298*'01_Вводные'!$B$22,0)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IF('01_Вводные'!$B$234="Да",IF(OR(35&lt;='01_Вводные'!$B$15,35-'01_Вводные'!$B$15&gt;60),0,INDEX('19_Расчет_аналитики'!$B$4386:$BI$4386,1,35-'01_Вводные'!$B$15))*'01_Вводные'!$B$298*'01_Вводные'!$B$22,0)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IF('01_Вводные'!$B$234="Да",IF(OR(36&lt;='01_Вводные'!$B$15,36-'01_Вводные'!$B$15&gt;60),0,INDEX('19_Расчет_аналитики'!$B$4386:$BI$4386,1,36-'01_Вводные'!$B$15))*'01_Вводные'!$B$298*'01_Вводные'!$B$22,0)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IF('01_Вводные'!$B$234="Да",IF(OR(37&lt;='01_Вводные'!$B$15,37-'01_Вводные'!$B$15&gt;60),0,INDEX('19_Расчет_аналитики'!$B$4386:$BI$4386,1,37-'01_Вводные'!$B$15))*'01_Вводные'!$B$298*'01_Вводные'!$B$22,0)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IF('01_Вводные'!$B$234="Да",IF(OR(38&lt;='01_Вводные'!$B$15,38-'01_Вводные'!$B$15&gt;60),0,INDEX('19_Расчет_аналитики'!$B$4386:$BI$4386,1,38-'01_Вводные'!$B$15))*'01_Вводные'!$B$298*'01_Вводные'!$B$22,0)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IF('01_Вводные'!$B$234="Да",IF(OR(39&lt;='01_Вводные'!$B$15,39-'01_Вводные'!$B$15&gt;60),0,INDEX('19_Расчет_аналитики'!$B$4386:$BI$4386,1,39-'01_Вводные'!$B$15))*'01_Вводные'!$B$298*'01_Вводные'!$B$22,0)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IF('01_Вводные'!$B$234="Да",IF(OR(40&lt;='01_Вводные'!$B$15,40-'01_Вводные'!$B$15&gt;60),0,INDEX('19_Расчет_аналитики'!$B$4386:$BI$4386,1,40-'01_Вводные'!$B$15))*'01_Вводные'!$B$298*'01_Вводные'!$B$22,0)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IF('01_Вводные'!$B$234="Да",IF(OR(41&lt;='01_Вводные'!$B$15,41-'01_Вводные'!$B$15&gt;60),0,INDEX('19_Расчет_аналитики'!$B$4386:$BI$4386,1,41-'01_Вводные'!$B$15))*'01_Вводные'!$B$298*'01_Вводные'!$B$22,0)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IF('01_Вводные'!$B$234="Да",IF(OR(42&lt;='01_Вводные'!$B$15,42-'01_Вводные'!$B$15&gt;60),0,INDEX('19_Расчет_аналитики'!$B$4386:$BI$4386,1,42-'01_Вводные'!$B$15))*'01_Вводные'!$B$298*'01_Вводные'!$B$22,0)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IF('01_Вводные'!$B$234="Да",IF(OR(43&lt;='01_Вводные'!$B$15,43-'01_Вводные'!$B$15&gt;60),0,INDEX('19_Расчет_аналитики'!$B$4386:$BI$4386,1,43-'01_Вводные'!$B$15))*'01_Вводные'!$B$298*'01_Вводные'!$B$22,0)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IF('01_Вводные'!$B$234="Да",IF(OR(44&lt;='01_Вводные'!$B$15,44-'01_Вводные'!$B$15&gt;60),0,INDEX('19_Расчет_аналитики'!$B$4386:$BI$4386,1,44-'01_Вводные'!$B$15))*'01_Вводные'!$B$298*'01_Вводные'!$B$22,0)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IF('01_Вводные'!$B$234="Да",IF(OR(45&lt;='01_Вводные'!$B$15,45-'01_Вводные'!$B$15&gt;60),0,INDEX('19_Расчет_аналитики'!$B$4386:$BI$4386,1,45-'01_Вводные'!$B$15))*'01_Вводные'!$B$298*'01_Вводные'!$B$22,0)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IF('01_Вводные'!$B$234="Да",IF(OR(46&lt;='01_Вводные'!$B$15,46-'01_Вводные'!$B$15&gt;60),0,INDEX('19_Расчет_аналитики'!$B$4386:$BI$4386,1,46-'01_Вводные'!$B$15))*'01_Вводные'!$B$298*'01_Вводные'!$B$22,0)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IF('01_Вводные'!$B$234="Да",IF(OR(47&lt;='01_Вводные'!$B$15,47-'01_Вводные'!$B$15&gt;60),0,INDEX('19_Расчет_аналитики'!$B$4386:$BI$4386,1,47-'01_Вводные'!$B$15))*'01_Вводные'!$B$298*'01_Вводные'!$B$22,0)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IF('01_Вводные'!$B$234="Да",IF(OR(48&lt;='01_Вводные'!$B$15,48-'01_Вводные'!$B$15&gt;60),0,INDEX('19_Расчет_аналитики'!$B$4386:$BI$4386,1,48-'01_Вводные'!$B$15))*'01_Вводные'!$B$298*'01_Вводные'!$B$22,0)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IF('01_Вводные'!$B$234="Да",IF(OR(49&lt;='01_Вводные'!$B$15,49-'01_Вводные'!$B$15&gt;60),0,INDEX('19_Расчет_аналитики'!$B$4386:$BI$4386,1,49-'01_Вводные'!$B$15))*'01_Вводные'!$B$298*'01_Вводные'!$B$22,0)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IF('01_Вводные'!$B$234="Да",IF(OR(50&lt;='01_Вводные'!$B$15,50-'01_Вводные'!$B$15&gt;60),0,INDEX('19_Расчет_аналитики'!$B$4386:$BI$4386,1,50-'01_Вводные'!$B$15))*'01_Вводные'!$B$298*'01_Вводные'!$B$22,0)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IF('01_Вводные'!$B$234="Да",IF(OR(51&lt;='01_Вводные'!$B$15,51-'01_Вводные'!$B$15&gt;60),0,INDEX('19_Расчет_аналитики'!$B$4386:$BI$4386,1,51-'01_Вводные'!$B$15))*'01_Вводные'!$B$298*'01_Вводные'!$B$22,0)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IF('01_Вводные'!$B$234="Да",IF(OR(52&lt;='01_Вводные'!$B$15,52-'01_Вводные'!$B$15&gt;60),0,INDEX('19_Расчет_аналитики'!$B$4386:$BI$4386,1,52-'01_Вводные'!$B$15))*'01_Вводные'!$B$298*'01_Вводные'!$B$22,0)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IF('01_Вводные'!$B$234="Да",IF(OR(53&lt;='01_Вводные'!$B$15,53-'01_Вводные'!$B$15&gt;60),0,INDEX('19_Расчет_аналитики'!$B$4386:$BI$4386,1,53-'01_Вводные'!$B$15))*'01_Вводные'!$B$298*'01_Вводные'!$B$22,0)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IF('01_Вводные'!$B$234="Да",IF(OR(54&lt;='01_Вводные'!$B$15,54-'01_Вводные'!$B$15&gt;60),0,INDEX('19_Расчет_аналитики'!$B$4386:$BI$4386,1,54-'01_Вводные'!$B$15))*'01_Вводные'!$B$298*'01_Вводные'!$B$22,0)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IF('01_Вводные'!$B$234="Да",IF(OR(55&lt;='01_Вводные'!$B$15,55-'01_Вводные'!$B$15&gt;60),0,INDEX('19_Расчет_аналитики'!$B$4386:$BI$4386,1,55-'01_Вводные'!$B$15))*'01_Вводные'!$B$298*'01_Вводные'!$B$22,0)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IF('01_Вводные'!$B$234="Да",IF(OR(56&lt;='01_Вводные'!$B$15,56-'01_Вводные'!$B$15&gt;60),0,INDEX('19_Расчет_аналитики'!$B$4386:$BI$4386,1,56-'01_Вводные'!$B$15))*'01_Вводные'!$B$298*'01_Вводные'!$B$22,0)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IF('01_Вводные'!$B$234="Да",IF(OR(57&lt;='01_Вводные'!$B$15,57-'01_Вводные'!$B$15&gt;60),0,INDEX('19_Расчет_аналитики'!$B$4386:$BI$4386,1,57-'01_Вводные'!$B$15))*'01_Вводные'!$B$298*'01_Вводные'!$B$22,0)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IF('01_Вводные'!$B$234="Да",IF(OR(58&lt;='01_Вводные'!$B$15,58-'01_Вводные'!$B$15&gt;60),0,INDEX('19_Расчет_аналитики'!$B$4386:$BI$4386,1,58-'01_Вводные'!$B$15))*'01_Вводные'!$B$298*'01_Вводные'!$B$22,0)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IF('01_Вводные'!$B$234="Да",IF(OR(59&lt;='01_Вводные'!$B$15,59-'01_Вводные'!$B$15&gt;60),0,INDEX('19_Расчет_аналитики'!$B$4386:$BI$4386,1,59-'01_Вводные'!$B$15))*'01_Вводные'!$B$298*'01_Вводные'!$B$22,0)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IF('01_Вводные'!$B$234="Да",IF(OR(60&lt;='01_Вводные'!$B$15,60-'01_Вводные'!$B$15&gt;60),0,INDEX('19_Расчет_аналитики'!$B$4386:$BI$4386,1,60-'01_Вводные'!$B$15))*'01_Вводные'!$B$298*'01_Вводные'!$B$22,0)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IF('01_Вводные'!$B$234="Да",IF(OR(61&lt;='01_Вводные'!$B$15,61-'01_Вводные'!$B$15&gt;60),0,INDEX('19_Расчет_аналитики'!$B$4386:$BI$4386,1,61-'01_Вводные'!$B$15))*'01_Вводные'!$B$298*'01_Вводные'!$B$22,0)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IF('01_Вводные'!$B$234="Да",IF(OR(62&lt;='01_Вводные'!$B$15,62-'01_Вводные'!$B$15&gt;60),0,INDEX('19_Расчет_аналитики'!$B$4386:$BI$4386,1,62-'01_Вводные'!$B$15))*'01_Вводные'!$B$298*'01_Вводные'!$B$22,0)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IF('01_Вводные'!$B$234="Да",IF(OR(63&lt;='01_Вводные'!$B$15,63-'01_Вводные'!$B$15&gt;60),0,INDEX('19_Расчет_аналитики'!$B$4386:$BI$4386,1,63-'01_Вводные'!$B$15))*'01_Вводные'!$B$298*'01_Вводные'!$B$22,0)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IF('01_Вводные'!$B$234="Да",IF(OR(64&lt;='01_Вводные'!$B$15,64-'01_Вводные'!$B$15&gt;60),0,INDEX('19_Расчет_аналитики'!$B$4386:$BI$4386,1,64-'01_Вводные'!$B$15))*'01_Вводные'!$B$298*'01_Вводные'!$B$22,0)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IF('01_Вводные'!$B$234="Да",IF(OR(65&lt;='01_Вводные'!$B$15,65-'01_Вводные'!$B$15&gt;60),0,INDEX('19_Расчет_аналитики'!$B$4386:$BI$4386,1,65-'01_Вводные'!$B$15))*'01_Вводные'!$B$298*'01_Вводные'!$B$22,0)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IF('01_Вводные'!$B$234="Да",IF(OR(66&lt;='01_Вводные'!$B$15,66-'01_Вводные'!$B$15&gt;60),0,INDEX('19_Расчет_аналитики'!$B$4386:$BI$4386,1,66-'01_Вводные'!$B$15))*'01_Вводные'!$B$298*'01_Вводные'!$B$22,0)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7" t="n"/>
      <c r="D5" s="327" t="n"/>
      <c r="E5" s="327" t="n"/>
    </row>
    <row r="6" ht="34" customHeight="1">
      <c r="A6" s="328" t="inlineStr">
        <is>
          <t>1</t>
        </is>
      </c>
      <c r="B6" s="329" t="inlineStr">
        <is>
          <t>Лиды</t>
        </is>
      </c>
      <c r="C6" s="254" t="inlineStr">
        <is>
          <t>04_Продажи</t>
        </is>
      </c>
      <c r="D6" s="330" t="inlineStr">
        <is>
          <t>План продаж ÷ конверсия лид→продажа, округление вверх</t>
        </is>
      </c>
      <c r="E6" s="331" t="inlineStr">
        <is>
          <t>01_Вводные!B25 (3%), план продаж B36:B40</t>
        </is>
      </c>
    </row>
    <row r="7" ht="34" customHeight="1">
      <c r="A7" s="328" t="inlineStr">
        <is>
          <t>2</t>
        </is>
      </c>
      <c r="B7" s="329" t="inlineStr">
        <is>
          <t>Продажи франшиз</t>
        </is>
      </c>
      <c r="C7" s="254" t="inlineStr">
        <is>
          <t>04_Продажи</t>
        </is>
      </c>
      <c r="D7" s="330" t="inlineStr">
        <is>
          <t>Годовой план сезона × месячная доля сезонности. Годовой план = база (B210:B214) × множитель сценария (F198)</t>
        </is>
      </c>
      <c r="E7" s="331" t="inlineStr">
        <is>
          <t>01_Вводные!B36:B40 и C36:N40</t>
        </is>
      </c>
    </row>
    <row r="8" ht="34" customHeight="1">
      <c r="A8" s="328" t="inlineStr">
        <is>
          <t>3</t>
        </is>
      </c>
      <c r="B8" s="329" t="inlineStr">
        <is>
          <t>Открытия школ</t>
        </is>
      </c>
      <c r="C8" s="254" t="inlineStr">
        <is>
          <t>04_Продажи</t>
        </is>
      </c>
      <c r="D8" s="330" t="inlineStr">
        <is>
          <t>Продажи, сдвинутые на лаг «продажа → открытие», × конверсия в открытие</t>
        </is>
      </c>
      <c r="E8" s="331" t="inlineStr">
        <is>
          <t>01_Вводные!B15 (2 мес.), B298 (100%)</t>
        </is>
      </c>
    </row>
    <row r="9" ht="34" customHeight="1">
      <c r="A9" s="328" t="inlineStr">
        <is>
          <t>4</t>
        </is>
      </c>
      <c r="B9" s="329" t="inlineStr">
        <is>
          <t>Новые юрлица и школы</t>
        </is>
      </c>
      <c r="C9" s="254" t="inlineStr">
        <is>
          <t>06_Сеть_и_дети</t>
        </is>
      </c>
      <c r="D9" s="330" t="inlineStr">
        <is>
          <t>Продажи × коэффициент юрлиц; отдельно продажи × коэффициент школ</t>
        </is>
      </c>
      <c r="E9" s="331" t="inlineStr">
        <is>
          <t>01_Вводные!B16, B22</t>
        </is>
      </c>
    </row>
    <row r="10" ht="34" customHeight="1">
      <c r="A10" s="328" t="inlineStr">
        <is>
          <t>5</t>
        </is>
      </c>
      <c r="B10" s="329" t="inlineStr">
        <is>
          <t>Маркетинг привлечения</t>
        </is>
      </c>
      <c r="C10" s="254" t="inlineStr">
        <is>
          <t>04_Продажи</t>
        </is>
      </c>
      <c r="D10" s="330" t="inlineStr">
        <is>
          <t>Таргет платится за 2 месяца до продажи (для октября 2026 — за 1); плюс БИБОСС / TopFranchise / Forbes раз в год</t>
        </is>
      </c>
      <c r="E10" s="331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7" t="n"/>
      <c r="D11" s="327" t="n"/>
      <c r="E11" s="327" t="n"/>
    </row>
    <row r="12" ht="34" customHeight="1">
      <c r="A12" s="328" t="inlineStr">
        <is>
          <t>6</t>
        </is>
      </c>
      <c r="B12" s="329" t="inlineStr">
        <is>
          <t>Действующая сеть</t>
        </is>
      </c>
      <c r="C12" s="254" t="inlineStr">
        <is>
          <t>06_Сеть_и_дети</t>
        </is>
      </c>
      <c r="D12" s="330" t="inlineStr">
        <is>
          <t>104 школы × коэффициент сохранения; дети = 5 200 × рост 10% в год, пересчёт каждый сентябрь</t>
        </is>
      </c>
      <c r="E12" s="331" t="inlineStr">
        <is>
          <t>01_Вводные!B9, B11, B12, B13</t>
        </is>
      </c>
    </row>
    <row r="13" ht="34" customHeight="1">
      <c r="A13" s="328" t="inlineStr">
        <is>
          <t>7</t>
        </is>
      </c>
      <c r="B13" s="329" t="inlineStr">
        <is>
          <t>Новые школы по возрасту</t>
        </is>
      </c>
      <c r="C13" s="254" t="inlineStr">
        <is>
          <t>06_Сеть_и_дети</t>
        </is>
      </c>
      <c r="D13" s="330" t="inlineStr">
        <is>
          <t>Каждая открытая школа живёт в своей когорте: месяцы 1–12, 13–24, зрелая. Это и есть постепенный набор</t>
        </is>
      </c>
      <c r="E13" s="331" t="inlineStr">
        <is>
          <t>01_Вводные!B295, 18_Календарь_тарифы</t>
        </is>
      </c>
    </row>
    <row r="14" ht="34" customHeight="1">
      <c r="A14" s="328" t="inlineStr">
        <is>
          <t>8</t>
        </is>
      </c>
      <c r="B14" s="329" t="inlineStr">
        <is>
          <t>Дети новых школ</t>
        </is>
      </c>
      <c r="C14" s="254" t="inlineStr">
        <is>
          <t>06_Сеть_и_дети</t>
        </is>
      </c>
      <c r="D14" s="330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31" t="inlineStr">
        <is>
          <t>01_Вводные!B46 (75,05 к 12-му мес.), B47 (165,125 к 24-му), B44</t>
        </is>
      </c>
    </row>
    <row r="15" ht="34" customHeight="1">
      <c r="A15" s="328" t="inlineStr">
        <is>
          <t>9</t>
        </is>
      </c>
      <c r="B15" s="329" t="inlineStr">
        <is>
          <t>Сезонность посещаемости</t>
        </is>
      </c>
      <c r="C15" s="254" t="inlineStr">
        <is>
          <t>01_Вводные</t>
        </is>
      </c>
      <c r="D15" s="330" t="inlineStr">
        <is>
          <t>Индекс от 5,9% (август) до 100% (февраль). Умножается на детей, а не на цену: летом платящих меньше</t>
        </is>
      </c>
      <c r="E15" s="331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7" t="n"/>
      <c r="D16" s="327" t="n"/>
      <c r="E16" s="327" t="n"/>
    </row>
    <row r="17" ht="34" customHeight="1">
      <c r="A17" s="328" t="inlineStr">
        <is>
          <t>10</t>
        </is>
      </c>
      <c r="B17" s="329" t="inlineStr">
        <is>
          <t>Паушальные взносы</t>
        </is>
      </c>
      <c r="C17" s="254" t="inlineStr">
        <is>
          <t>02_Модель</t>
        </is>
      </c>
      <c r="D17" s="330" t="inlineStr">
        <is>
          <t>Продажи × средний паушальный по тарифному миксу (937 767 ₽ с НДС), затем ÷ (1 + НДС)</t>
        </is>
      </c>
      <c r="E17" s="331" t="inlineStr">
        <is>
          <t>01_Вводные!B63:B67, тарифы B263:D282</t>
        </is>
      </c>
    </row>
    <row r="18" ht="34" customHeight="1">
      <c r="A18" s="328" t="inlineStr">
        <is>
          <t>11</t>
        </is>
      </c>
      <c r="B18" s="329" t="inlineStr">
        <is>
          <t>Роялти действующей сети</t>
        </is>
      </c>
      <c r="C18" s="254" t="inlineStr">
        <is>
          <t>06_Сеть_и_дети</t>
        </is>
      </c>
      <c r="D18" s="330" t="inlineStr">
        <is>
          <t>MAX(% от оборота; 104 школы × минимум). Оборот = активные дети × абонемент. Ставка 6,5% → 10% с 01.01.2030</t>
        </is>
      </c>
      <c r="E18" s="331" t="inlineStr">
        <is>
          <t>01_Вводные!B51, B52, B55:B57, B245</t>
        </is>
      </c>
    </row>
    <row r="19" ht="34" customHeight="1">
      <c r="A19" s="328" t="inlineStr">
        <is>
          <t>12</t>
        </is>
      </c>
      <c r="B19" s="329" t="inlineStr">
        <is>
          <t>Роялти новых школ</t>
        </is>
      </c>
      <c r="C19" s="254" t="inlineStr">
        <is>
          <t>06_Сеть_и_дети</t>
        </is>
      </c>
      <c r="D19" s="330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31" t="inlineStr">
        <is>
          <t>01_Вводные!B53, B54, B239, B244</t>
        </is>
      </c>
    </row>
    <row r="20" ht="34" customHeight="1">
      <c r="A20" s="328" t="inlineStr">
        <is>
          <t>13</t>
        </is>
      </c>
      <c r="B20" s="329" t="inlineStr">
        <is>
          <t>Мерч</t>
        </is>
      </c>
      <c r="C20" s="254" t="inlineStr">
        <is>
          <t>07_Мерч</t>
        </is>
      </c>
      <c r="D20" s="330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31" t="inlineStr">
        <is>
          <t>01_Вводные!B71:B74, B87:B89, B94:M94, B99:E101</t>
        </is>
      </c>
    </row>
    <row r="21" ht="34" customHeight="1">
      <c r="A21" s="328" t="inlineStr">
        <is>
          <t>14</t>
        </is>
      </c>
      <c r="B21" s="329" t="inlineStr">
        <is>
          <t>Лагеря</t>
        </is>
      </c>
      <c r="C21" s="254" t="inlineStr">
        <is>
          <t>09_Лагеря</t>
        </is>
      </c>
      <c r="D21" s="330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31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7" t="n"/>
      <c r="D22" s="327" t="n"/>
      <c r="E22" s="327" t="n"/>
    </row>
    <row r="23" ht="34" customHeight="1">
      <c r="A23" s="328" t="inlineStr">
        <is>
          <t>15</t>
        </is>
      </c>
      <c r="B23" s="329" t="inlineStr">
        <is>
          <t>Прямые расходы</t>
        </is>
      </c>
      <c r="C23" s="254" t="inlineStr">
        <is>
          <t>02_Модель</t>
        </is>
      </c>
      <c r="D23" s="330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31" t="inlineStr">
        <is>
          <t>01_Вводные!B59, B60, B75, B76</t>
        </is>
      </c>
    </row>
    <row r="24" ht="34" customHeight="1">
      <c r="A24" s="328" t="inlineStr">
        <is>
          <t>16</t>
        </is>
      </c>
      <c r="B24" s="329" t="inlineStr">
        <is>
          <t>OPEX</t>
        </is>
      </c>
      <c r="C24" s="254" t="inlineStr">
        <is>
          <t>02_Модель</t>
        </is>
      </c>
      <c r="D24" s="330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31" t="inlineStr">
        <is>
          <t>01_Вводные!B105:B112, лист 08_ФОТ</t>
        </is>
      </c>
    </row>
    <row r="25" ht="34" customHeight="1">
      <c r="A25" s="328" t="inlineStr">
        <is>
          <t>17</t>
        </is>
      </c>
      <c r="B25" s="329" t="inlineStr">
        <is>
          <t>ФОТ</t>
        </is>
      </c>
      <c r="C25" s="254" t="inlineStr">
        <is>
          <t>08_ФОТ</t>
        </is>
      </c>
      <c r="D25" s="330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31" t="inlineStr">
        <is>
          <t>01_Вводные!B116:B152, B246:B251</t>
        </is>
      </c>
    </row>
    <row r="26" ht="34" customHeight="1">
      <c r="A26" s="328" t="inlineStr">
        <is>
          <t>18</t>
        </is>
      </c>
      <c r="B26" s="329" t="inlineStr">
        <is>
          <t>EBITDA</t>
        </is>
      </c>
      <c r="C26" s="254" t="inlineStr">
        <is>
          <t>02_Модель</t>
        </is>
      </c>
      <c r="D26" s="330" t="inlineStr">
        <is>
          <t>Выручка без НДС − прямые расходы − OPEX. До налога, CAPEX и займа</t>
        </is>
      </c>
      <c r="E26" s="331" t="inlineStr">
        <is>
          <t>—</t>
        </is>
      </c>
    </row>
    <row r="27" ht="34" customHeight="1">
      <c r="A27" s="328" t="inlineStr">
        <is>
          <t>19</t>
        </is>
      </c>
      <c r="B27" s="329" t="inlineStr">
        <is>
          <t>Налог</t>
        </is>
      </c>
      <c r="C27" s="254" t="inlineStr">
        <is>
          <t>02_Модель</t>
        </is>
      </c>
      <c r="D27" s="330" t="inlineStr">
        <is>
          <t>УСН «доходы минус расходы»: MAX(1% от выручки; 15% от прибыли). Считается помесячно</t>
        </is>
      </c>
      <c r="E27" s="331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7" t="n"/>
      <c r="D28" s="327" t="n"/>
      <c r="E28" s="327" t="n"/>
    </row>
    <row r="29" ht="34" customHeight="1">
      <c r="A29" s="328" t="inlineStr">
        <is>
          <t>20</t>
        </is>
      </c>
      <c r="B29" s="329" t="inlineStr">
        <is>
          <t>Поступления</t>
        </is>
      </c>
      <c r="C29" s="254" t="inlineStr">
        <is>
          <t>02_Модель</t>
        </is>
      </c>
      <c r="D29" s="330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31" t="inlineStr">
        <is>
          <t>01_Вводные!B18, B20</t>
        </is>
      </c>
    </row>
    <row r="30" ht="34" customHeight="1">
      <c r="A30" s="328" t="inlineStr">
        <is>
          <t>21</t>
        </is>
      </c>
      <c r="B30" s="329" t="inlineStr">
        <is>
          <t>Выплаты</t>
        </is>
      </c>
      <c r="C30" s="254" t="inlineStr">
        <is>
          <t>02_Модель</t>
        </is>
      </c>
      <c r="D30" s="330" t="inlineStr">
        <is>
          <t>Поставщики — по кредиторке 15 дней. ФОТ, НДС, УСН, лагеря, CAPEX — в месяце начисления</t>
        </is>
      </c>
      <c r="E30" s="331" t="inlineStr">
        <is>
          <t>01_Вводные!B19, B21</t>
        </is>
      </c>
    </row>
    <row r="31" ht="34" customHeight="1">
      <c r="A31" s="328" t="inlineStr">
        <is>
          <t>22</t>
        </is>
      </c>
      <c r="B31" s="329" t="inlineStr">
        <is>
          <t>Склад и закупки</t>
        </is>
      </c>
      <c r="C31" s="254" t="inlineStr">
        <is>
          <t>07_Мерч</t>
        </is>
      </c>
      <c r="D31" s="330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31" t="inlineStr">
        <is>
          <t>01_Вводные!B77, B80:B85</t>
        </is>
      </c>
    </row>
    <row r="32" ht="34" customHeight="1">
      <c r="A32" s="328" t="inlineStr">
        <is>
          <t>23</t>
        </is>
      </c>
      <c r="B32" s="329" t="inlineStr">
        <is>
          <t>Возврат займа ФК</t>
        </is>
      </c>
      <c r="C32" s="254" t="inlineStr">
        <is>
          <t>07_Мерч</t>
        </is>
      </c>
      <c r="D32" s="330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31" t="inlineStr">
        <is>
          <t>01_Вводные!B78, B79, B237, B238</t>
        </is>
      </c>
    </row>
    <row r="33" ht="34" customHeight="1">
      <c r="A33" s="328" t="inlineStr">
        <is>
          <t>24</t>
        </is>
      </c>
      <c r="B33" s="329" t="inlineStr">
        <is>
          <t>CAPEX</t>
        </is>
      </c>
      <c r="C33" s="254" t="inlineStr">
        <is>
          <t>02_Модель</t>
        </is>
      </c>
      <c r="D33" s="330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31" t="inlineStr">
        <is>
          <t>01_Вводные!B286:B290</t>
        </is>
      </c>
    </row>
    <row r="34" ht="34" customHeight="1">
      <c r="A34" s="328" t="inlineStr">
        <is>
          <t>25</t>
        </is>
      </c>
      <c r="B34" s="329" t="inlineStr">
        <is>
          <t>Итог по деньгам</t>
        </is>
      </c>
      <c r="C34" s="254" t="inlineStr">
        <is>
          <t>02_Модель</t>
        </is>
      </c>
      <c r="D34" s="330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31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7" t="n"/>
      <c r="D35" s="327" t="n"/>
      <c r="E35" s="327" t="n"/>
    </row>
    <row r="36" ht="34" customHeight="1">
      <c r="A36" s="328" t="inlineStr">
        <is>
          <t>26</t>
        </is>
      </c>
      <c r="B36" s="329" t="inlineStr">
        <is>
          <t>Мост БДР → БДДС</t>
        </is>
      </c>
      <c r="C36" s="254" t="inlineStr">
        <is>
          <t>02_Модель</t>
        </is>
      </c>
      <c r="D36" s="330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31" t="inlineStr">
        <is>
          <t>13_Проверки!A29</t>
        </is>
      </c>
    </row>
    <row r="37" ht="34" customHeight="1">
      <c r="A37" s="328" t="inlineStr">
        <is>
          <t>27</t>
        </is>
      </c>
      <c r="B37" s="329" t="inlineStr">
        <is>
          <t>Баланс склада и займа</t>
        </is>
      </c>
      <c r="C37" s="254" t="inlineStr">
        <is>
          <t>02_Модель</t>
        </is>
      </c>
      <c r="D37" s="330" t="inlineStr">
        <is>
          <t>Склад начало + закупка − списание = склад конец. Займ начало − погашения = займ конец</t>
        </is>
      </c>
      <c r="E37" s="331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32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32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32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32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32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3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3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3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3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3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9" t="inlineStr">
        <is>
          <t>Итого</t>
        </is>
      </c>
      <c r="B20" s="334" t="n">
        <v>18</v>
      </c>
      <c r="C20" s="255" t="n"/>
      <c r="D20" s="335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6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7" t="n">
        <v>0.9631999999999999</v>
      </c>
      <c r="C26" s="338" t="n">
        <v>1953441</v>
      </c>
      <c r="D26" s="339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7" t="n">
        <v>1</v>
      </c>
      <c r="C27" s="338" t="n">
        <v>2028000</v>
      </c>
      <c r="D27" s="339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7" t="n">
        <v>0.9926</v>
      </c>
      <c r="C28" s="338" t="n">
        <v>2013088</v>
      </c>
      <c r="D28" s="339" t="n">
        <v>1917227</v>
      </c>
      <c r="E28" s="340" t="n">
        <v>2336206</v>
      </c>
      <c r="F28" s="255" t="n"/>
    </row>
    <row r="29">
      <c r="A29" s="231" t="inlineStr">
        <is>
          <t>Апрель</t>
        </is>
      </c>
      <c r="B29" s="337" t="n">
        <v>0.9265</v>
      </c>
      <c r="C29" s="338" t="n">
        <v>1878882</v>
      </c>
      <c r="D29" s="339" t="n">
        <v>1789412</v>
      </c>
      <c r="E29" s="340" t="n">
        <v>2456244</v>
      </c>
      <c r="F29" s="255" t="n"/>
    </row>
    <row r="30">
      <c r="A30" s="231" t="inlineStr">
        <is>
          <t>Май</t>
        </is>
      </c>
      <c r="B30" s="337" t="n">
        <v>0.8235</v>
      </c>
      <c r="C30" s="338" t="n">
        <v>1670118</v>
      </c>
      <c r="D30" s="339" t="n">
        <v>1590588</v>
      </c>
      <c r="E30" s="340" t="n">
        <v>2454376</v>
      </c>
      <c r="F30" s="255" t="n"/>
    </row>
    <row r="31">
      <c r="A31" s="231" t="inlineStr">
        <is>
          <t>Июнь</t>
        </is>
      </c>
      <c r="B31" s="337" t="n">
        <v>0.3162</v>
      </c>
      <c r="C31" s="338" t="n">
        <v>641206</v>
      </c>
      <c r="D31" s="339" t="n">
        <v>1485714</v>
      </c>
      <c r="E31" s="340" t="n">
        <v>2866564</v>
      </c>
      <c r="F31" s="340" t="n">
        <v>2452155</v>
      </c>
    </row>
    <row r="32">
      <c r="A32" s="231" t="inlineStr">
        <is>
          <t>Июль</t>
        </is>
      </c>
      <c r="B32" s="337" t="n">
        <v>0.1397</v>
      </c>
      <c r="C32" s="338" t="n">
        <v>283324</v>
      </c>
      <c r="D32" s="339" t="n">
        <v>1485714</v>
      </c>
      <c r="E32" s="255" t="n"/>
      <c r="F32" s="340" t="n">
        <v>3070178</v>
      </c>
    </row>
    <row r="33">
      <c r="A33" s="341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2" t="inlineStr">
        <is>
          <t>Модель к факту</t>
        </is>
      </c>
      <c r="D34" s="342">
        <f>D33/E33-1</f>
        <v/>
      </c>
      <c r="E34" s="343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4" t="inlineStr">
        <is>
          <t>?</t>
        </is>
      </c>
      <c r="B38" s="345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4" t="inlineStr">
        <is>
          <t>?</t>
        </is>
      </c>
      <c r="B39" s="345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4" t="inlineStr">
        <is>
          <t>?</t>
        </is>
      </c>
      <c r="B40" s="345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4" t="inlineStr">
        <is>
          <t>?</t>
        </is>
      </c>
      <c r="B41" s="345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5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7" t="n"/>
      <c r="D6" s="327" t="n"/>
      <c r="E6" s="327" t="n"/>
    </row>
    <row r="7" ht="32" customHeight="1">
      <c r="A7" s="328" t="inlineStr">
        <is>
          <t>5.1</t>
        </is>
      </c>
      <c r="B7" s="330" t="inlineStr">
        <is>
          <t>Старт модели 01.09.2026</t>
        </is>
      </c>
      <c r="C7" s="330" t="inlineStr">
        <is>
          <t>01.09.2026</t>
        </is>
      </c>
      <c r="D7" s="254" t="inlineStr">
        <is>
          <t>01_Вводные!B7</t>
        </is>
      </c>
      <c r="E7" s="346" t="inlineStr">
        <is>
          <t>Соответствует</t>
        </is>
      </c>
    </row>
    <row r="8" ht="32" customHeight="1">
      <c r="A8" s="328" t="inlineStr">
        <is>
          <t>5.1</t>
        </is>
      </c>
      <c r="B8" s="330" t="inlineStr">
        <is>
          <t>Сезон = сентябрь–август, одна временная ось</t>
        </is>
      </c>
      <c r="C8" s="330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6" t="inlineStr">
        <is>
          <t>Соответствует</t>
        </is>
      </c>
    </row>
    <row r="9" ht="32" customHeight="1">
      <c r="A9" s="328" t="inlineStr">
        <is>
          <t>5.1</t>
        </is>
      </c>
      <c r="B9" s="330" t="inlineStr">
        <is>
          <t>Сентябрь 2026 — 0 продаж франшиз</t>
        </is>
      </c>
      <c r="C9" s="330" t="inlineStr">
        <is>
          <t>Первый месяц жёстко = 0; есть автотест</t>
        </is>
      </c>
      <c r="D9" s="254" t="inlineStr">
        <is>
          <t>04_Продажи!B15</t>
        </is>
      </c>
      <c r="E9" s="346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7" t="n"/>
      <c r="D10" s="327" t="n"/>
      <c r="E10" s="327" t="n"/>
    </row>
    <row r="11" ht="32" customHeight="1">
      <c r="A11" s="328" t="inlineStr">
        <is>
          <t>5.2</t>
        </is>
      </c>
      <c r="B11" s="330" t="inlineStr">
        <is>
          <t>Планы 66 / 72 / 72 / 60 / 50</t>
        </is>
      </c>
      <c r="C11" s="330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6" t="inlineStr">
        <is>
          <t>Соответствует</t>
        </is>
      </c>
    </row>
    <row r="12" ht="32" customHeight="1">
      <c r="A12" s="328" t="inlineStr">
        <is>
          <t>5.2</t>
        </is>
      </c>
      <c r="B12" s="330" t="inlineStr">
        <is>
          <t>Сезонность нормировать так, чтобы сумма = годовому плану</t>
        </is>
      </c>
      <c r="C12" s="330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6" t="inlineStr">
        <is>
          <t>Соответствует</t>
        </is>
      </c>
    </row>
    <row r="13" ht="32" customHeight="1">
      <c r="A13" s="328" t="inlineStr">
        <is>
          <t>5.2</t>
        </is>
      </c>
      <c r="B13" s="330" t="inlineStr">
        <is>
          <t>Дробные продажи в финплане + округлённое целое в опплане</t>
        </is>
      </c>
      <c r="C13" s="330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6" t="inlineStr">
        <is>
          <t>Соответствует</t>
        </is>
      </c>
    </row>
    <row r="14" ht="32" customHeight="1">
      <c r="A14" s="328" t="inlineStr">
        <is>
          <t>5.2</t>
        </is>
      </c>
      <c r="B14" s="330" t="inlineStr">
        <is>
          <t>Продажа, открытие и ERP — разные события; лаг 2 мес.</t>
        </is>
      </c>
      <c r="C14" s="330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6" t="inlineStr">
        <is>
          <t>Соответствует</t>
        </is>
      </c>
    </row>
    <row r="15" ht="32" customHeight="1">
      <c r="A15" s="328" t="inlineStr">
        <is>
          <t>5.2</t>
        </is>
      </c>
      <c r="B15" s="330" t="inlineStr">
        <is>
          <t>Сезонность из «План_продаж», строки 18-22</t>
        </is>
      </c>
      <c r="C15" s="330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7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7" t="n"/>
      <c r="D16" s="327" t="n"/>
      <c r="E16" s="327" t="n"/>
    </row>
    <row r="17" ht="32" customHeight="1">
      <c r="A17" s="328" t="inlineStr">
        <is>
          <t>5.3</t>
        </is>
      </c>
      <c r="B17" s="330" t="inlineStr">
        <is>
          <t>Стартовое количество юрлиц 49</t>
        </is>
      </c>
      <c r="C17" s="330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6" t="inlineStr">
        <is>
          <t>Соответствует</t>
        </is>
      </c>
    </row>
    <row r="18" ht="32" customHeight="1">
      <c r="A18" s="328" t="inlineStr">
        <is>
          <t>5.3</t>
        </is>
      </c>
      <c r="B18" s="330" t="inlineStr">
        <is>
          <t>Стартовые дети действующей сети 5 200</t>
        </is>
      </c>
      <c r="C18" s="330" t="inlineStr">
        <is>
          <t>5 200</t>
        </is>
      </c>
      <c r="D18" s="254" t="inlineStr">
        <is>
          <t>01_Вводные!B11</t>
        </is>
      </c>
      <c r="E18" s="346" t="inlineStr">
        <is>
          <t>Соответствует</t>
        </is>
      </c>
    </row>
    <row r="19" ht="32" customHeight="1">
      <c r="A19" s="328" t="inlineStr">
        <is>
          <t>5.3</t>
        </is>
      </c>
      <c r="B19" s="330" t="inlineStr">
        <is>
          <t>Рост детей 10% г/г, сложный, пересчёт на начало сезона</t>
        </is>
      </c>
      <c r="C19" s="330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6" t="inlineStr">
        <is>
          <t>Соответствует</t>
        </is>
      </c>
    </row>
    <row r="20" ht="32" customHeight="1">
      <c r="A20" s="328" t="inlineStr">
        <is>
          <t>5.3</t>
        </is>
      </c>
      <c r="B20" s="330" t="inlineStr">
        <is>
          <t>Внутри сезона — отдельный индекс посещаемости</t>
        </is>
      </c>
      <c r="C20" s="330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6" t="inlineStr">
        <is>
          <t>Соответствует</t>
        </is>
      </c>
    </row>
    <row r="21" ht="32" customHeight="1">
      <c r="A21" s="328" t="inlineStr">
        <is>
          <t>5.3</t>
        </is>
      </c>
      <c r="B21" s="330" t="inlineStr">
        <is>
          <t>1-й сезон ≈ 75 детей («Микс_продаж!N44»)</t>
        </is>
      </c>
      <c r="C21" s="330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6" t="inlineStr">
        <is>
          <t>Соответствует</t>
        </is>
      </c>
    </row>
    <row r="22" ht="32" customHeight="1">
      <c r="A22" s="328" t="inlineStr">
        <is>
          <t>5.3</t>
        </is>
      </c>
      <c r="B22" s="330" t="inlineStr">
        <is>
          <t>2-й год ≈ 165 детей («O44») — только после подтверждения</t>
        </is>
      </c>
      <c r="C22" s="330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7" t="inlineStr">
        <is>
          <t>Нет источника</t>
        </is>
      </c>
    </row>
    <row r="23" ht="32" customHeight="1">
      <c r="A23" s="328" t="inlineStr">
        <is>
          <t>5.3</t>
        </is>
      </c>
      <c r="B23" s="330" t="inlineStr">
        <is>
          <t>Рост когорт по возрасту: 1-12, 13-24, зрелая</t>
        </is>
      </c>
      <c r="C23" s="330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6" t="inlineStr">
        <is>
          <t>Соответствует</t>
        </is>
      </c>
    </row>
    <row r="24" ht="32" customHeight="1">
      <c r="A24" s="328" t="inlineStr">
        <is>
          <t>5.3</t>
        </is>
      </c>
      <c r="B24" s="330" t="inlineStr">
        <is>
          <t>Закрытие школы уменьшает детей, ERP, роялти, нагрузку</t>
        </is>
      </c>
      <c r="C24" s="330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8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7" t="n"/>
      <c r="D25" s="327" t="n"/>
      <c r="E25" s="327" t="n"/>
    </row>
    <row r="26" ht="32" customHeight="1">
      <c r="A26" s="328" t="inlineStr">
        <is>
          <t>5.4</t>
        </is>
      </c>
      <c r="B26" s="330" t="inlineStr">
        <is>
          <t>Средний паушальный — через взвешенный микс продуктов</t>
        </is>
      </c>
      <c r="C26" s="330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6" t="inlineStr">
        <is>
          <t>Соответствует</t>
        </is>
      </c>
    </row>
    <row r="27" ht="32" customHeight="1">
      <c r="A27" s="328" t="inlineStr">
        <is>
          <t>5.4</t>
        </is>
      </c>
      <c r="B27" s="330" t="inlineStr">
        <is>
          <t>Роялти 6,5% для действующих на 31.12.2026 и продаж до этой даты</t>
        </is>
      </c>
      <c r="C27" s="330" t="inlineStr">
        <is>
          <t>6,5% по договорам с датой ≤ 31.12.2026</t>
        </is>
      </c>
      <c r="D27" s="254" t="inlineStr">
        <is>
          <t>01_Вводные!B55</t>
        </is>
      </c>
      <c r="E27" s="346" t="inlineStr">
        <is>
          <t>Соответствует</t>
        </is>
      </c>
    </row>
    <row r="28" ht="32" customHeight="1">
      <c r="A28" s="328" t="inlineStr">
        <is>
          <t>5.4</t>
        </is>
      </c>
      <c r="B28" s="330" t="inlineStr">
        <is>
          <t>Роялти 8,5% для новых с 01.01.2027</t>
        </is>
      </c>
      <c r="C28" s="330" t="inlineStr">
        <is>
          <t>8,5%</t>
        </is>
      </c>
      <c r="D28" s="254" t="inlineStr">
        <is>
          <t>01_Вводные!B56</t>
        </is>
      </c>
      <c r="E28" s="346" t="inlineStr">
        <is>
          <t>Соответствует</t>
        </is>
      </c>
    </row>
    <row r="29" ht="32" customHeight="1">
      <c r="A29" s="328" t="inlineStr">
        <is>
          <t>5.4</t>
        </is>
      </c>
      <c r="B29" s="330" t="inlineStr">
        <is>
          <t>С 01.01.2030 все переходят на 10%</t>
        </is>
      </c>
      <c r="C29" s="330" t="inlineStr">
        <is>
          <t>10% с 01.01.2030 для всех</t>
        </is>
      </c>
      <c r="D29" s="254" t="inlineStr">
        <is>
          <t>01_Вводные!B57</t>
        </is>
      </c>
      <c r="E29" s="346" t="inlineStr">
        <is>
          <t>Соответствует</t>
        </is>
      </c>
    </row>
    <row r="30" ht="32" customHeight="1">
      <c r="A30" s="328" t="inlineStr">
        <is>
          <t>5.4</t>
        </is>
      </c>
      <c r="B30" s="330" t="inlineStr">
        <is>
          <t>Сохранить минимальный роялти</t>
        </is>
      </c>
      <c r="C30" s="330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6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7" t="n"/>
      <c r="D31" s="327" t="n"/>
      <c r="E31" s="327" t="n"/>
    </row>
    <row r="32" ht="32" customHeight="1">
      <c r="A32" s="328" t="inlineStr">
        <is>
          <t>5.5</t>
        </is>
      </c>
      <c r="B32" s="330" t="inlineStr">
        <is>
          <t>Действующая сеть, сен–дек 2026 — согласованные значения</t>
        </is>
      </c>
      <c r="C32" s="330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6" t="inlineStr">
        <is>
          <t>Соответствует</t>
        </is>
      </c>
    </row>
    <row r="33" ht="32" customHeight="1">
      <c r="A33" s="328" t="inlineStr">
        <is>
          <t>5.5</t>
        </is>
      </c>
      <c r="B33" s="330" t="inlineStr">
        <is>
          <t>С января 2027 — сезонность из строки 77 листа «Допущения»</t>
        </is>
      </c>
      <c r="C33" s="330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7" t="inlineStr">
        <is>
          <t>Нет источника</t>
        </is>
      </c>
    </row>
    <row r="34" ht="32" customHeight="1">
      <c r="A34" s="328" t="inlineStr">
        <is>
          <t>5.5</t>
        </is>
      </c>
      <c r="B34" s="330" t="inlineStr">
        <is>
          <t>Новые партнёры: 50% / 30% / 20% за первые три месяца</t>
        </is>
      </c>
      <c r="C34" s="330" t="inlineStr">
        <is>
          <t>0,5 / 0,3 / 0,2, контроль суммы = 100%</t>
        </is>
      </c>
      <c r="D34" s="254" t="inlineStr">
        <is>
          <t>01_Вводные!B87</t>
        </is>
      </c>
      <c r="E34" s="346" t="inlineStr">
        <is>
          <t>Соответствует</t>
        </is>
      </c>
    </row>
    <row r="35" ht="32" customHeight="1">
      <c r="A35" s="328" t="inlineStr">
        <is>
          <t>5.5</t>
        </is>
      </c>
      <c r="B35" s="330" t="inlineStr">
        <is>
          <t>Когорта не должна одновременно быть в первичной и повторной закупке</t>
        </is>
      </c>
      <c r="C35" s="330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6" t="inlineStr">
        <is>
          <t>Соответствует</t>
        </is>
      </c>
    </row>
    <row r="36" ht="32" customHeight="1">
      <c r="A36" s="328" t="inlineStr">
        <is>
          <t>5.5</t>
        </is>
      </c>
      <c r="B36" s="330" t="inlineStr">
        <is>
          <t>COGS 2 100 ₽, наценка 85%, цена 3 885 ₽</t>
        </is>
      </c>
      <c r="C36" s="330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6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7" t="n"/>
      <c r="D37" s="327" t="n"/>
      <c r="E37" s="327" t="n"/>
    </row>
    <row r="38" ht="32" customHeight="1">
      <c r="A38" s="328" t="inlineStr">
        <is>
          <t>5.6</t>
        </is>
      </c>
      <c r="B38" s="330" t="inlineStr">
        <is>
          <t>Стартовый запас 50 млн ₽, займ 50 млн ₽ беспроцентный</t>
        </is>
      </c>
      <c r="C38" s="330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6" t="inlineStr">
        <is>
          <t>Соответствует</t>
        </is>
      </c>
    </row>
    <row r="39" ht="32" customHeight="1">
      <c r="A39" s="328" t="inlineStr">
        <is>
          <t>5.6</t>
        </is>
      </c>
      <c r="B39" s="330" t="inlineStr">
        <is>
          <t>60% себестоимости реализованного мерча — на возврат займа</t>
        </is>
      </c>
      <c r="C39" s="330" t="inlineStr">
        <is>
          <t>MIN(остаток займа; COGS × 60%)</t>
        </is>
      </c>
      <c r="D39" s="254" t="inlineStr">
        <is>
          <t>07_Мерч!A30</t>
        </is>
      </c>
      <c r="E39" s="346" t="inlineStr">
        <is>
          <t>Соответствует</t>
        </is>
      </c>
    </row>
    <row r="40" ht="32" customHeight="1">
      <c r="A40" s="328" t="inlineStr">
        <is>
          <t>5.6</t>
        </is>
      </c>
      <c r="B40" s="330" t="inlineStr">
        <is>
          <t>Платёж ограничен остатком займа, деньгами и запасом на 6 мес.</t>
        </is>
      </c>
      <c r="C40" s="330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6" t="inlineStr">
        <is>
          <t>Соответствует</t>
        </is>
      </c>
    </row>
    <row r="41" ht="32" customHeight="1">
      <c r="A41" s="328" t="inlineStr">
        <is>
          <t>5.6</t>
        </is>
      </c>
      <c r="B41" s="330" t="inlineStr">
        <is>
          <t>Пополнение на 6 мес. вперёд не чаще 4 раз в год</t>
        </is>
      </c>
      <c r="C41" s="330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6" t="inlineStr">
        <is>
          <t>Соответствует</t>
        </is>
      </c>
    </row>
    <row r="42" ht="32" customHeight="1">
      <c r="A42" s="328" t="inlineStr">
        <is>
          <t>5.6</t>
        </is>
      </c>
      <c r="B42" s="330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30" t="inlineStr">
        <is>
          <t>Все восемь строк раскрыты отдельно</t>
        </is>
      </c>
      <c r="D42" s="254" t="inlineStr">
        <is>
          <t>07_Мерч!A21</t>
        </is>
      </c>
      <c r="E42" s="346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7" t="n"/>
      <c r="D43" s="327" t="n"/>
      <c r="E43" s="327" t="n"/>
    </row>
    <row r="44" ht="32" customHeight="1">
      <c r="A44" s="328" t="inlineStr">
        <is>
          <t>5.7</t>
        </is>
      </c>
      <c r="B44" s="330" t="inlineStr">
        <is>
          <t>ERP 80 тыс. ₽ база + 3 тыс. ₽ за новую активную школу</t>
        </is>
      </c>
      <c r="C44" s="330" t="inlineStr">
        <is>
          <t>80 000 + 3 000 × (школы сверх базы)</t>
        </is>
      </c>
      <c r="D44" s="254" t="inlineStr">
        <is>
          <t>02_Модель!A37</t>
        </is>
      </c>
      <c r="E44" s="346" t="inlineStr">
        <is>
          <t>Соответствует</t>
        </is>
      </c>
    </row>
    <row r="45" ht="32" customHeight="1">
      <c r="A45" s="328" t="inlineStr">
        <is>
          <t>5.7</t>
        </is>
      </c>
      <c r="B45" s="330" t="inlineStr">
        <is>
          <t>Базовое число школ в 80 тыс. ₽ — активные на 01.09.2026</t>
        </is>
      </c>
      <c r="C45" s="330" t="inlineStr">
        <is>
          <t>104 школы, отдельным допущением</t>
        </is>
      </c>
      <c r="D45" s="254" t="inlineStr">
        <is>
          <t>01_Вводные!B106</t>
        </is>
      </c>
      <c r="E45" s="346" t="inlineStr">
        <is>
          <t>Соответствует</t>
        </is>
      </c>
    </row>
    <row r="46" ht="32" customHeight="1">
      <c r="A46" s="328" t="inlineStr">
        <is>
          <t>5.7</t>
        </is>
      </c>
      <c r="B46" s="330" t="inlineStr">
        <is>
          <t>Офис, аренда, уборка, парковка — без изменений до переезда</t>
        </is>
      </c>
      <c r="C46" s="330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6" t="inlineStr">
        <is>
          <t>Соответствует</t>
        </is>
      </c>
    </row>
    <row r="47" ht="32" customHeight="1">
      <c r="A47" s="328" t="inlineStr">
        <is>
          <t>5.7</t>
        </is>
      </c>
      <c r="B47" s="330" t="inlineStr">
        <is>
          <t>Юристы/аудит/бухгалтерия 40 тыс.; IT 80 тыс. отдельной строкой</t>
        </is>
      </c>
      <c r="C47" s="330" t="inlineStr">
        <is>
          <t>40 000 и 80 000, отдельными строками БДР</t>
        </is>
      </c>
      <c r="D47" s="254" t="inlineStr">
        <is>
          <t>01_Вводные!B109</t>
        </is>
      </c>
      <c r="E47" s="346" t="inlineStr">
        <is>
          <t>Соответствует</t>
        </is>
      </c>
    </row>
    <row r="48" ht="32" customHeight="1">
      <c r="A48" s="328" t="inlineStr">
        <is>
          <t>5.7</t>
        </is>
      </c>
      <c r="B48" s="330" t="inlineStr">
        <is>
          <t>Маркетинг/SMM 100 тыс. до 31.08.2027, далее штатный SMM 100 тыс. на руки + подрядчики 40 тыс.</t>
        </is>
      </c>
      <c r="C48" s="330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6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7" t="n"/>
      <c r="D49" s="327" t="n"/>
      <c r="E49" s="327" t="n"/>
    </row>
    <row r="50" ht="32" customHeight="1">
      <c r="A50" s="328" t="inlineStr">
        <is>
          <t>6.1</t>
        </is>
      </c>
      <c r="B50" s="330" t="inlineStr">
        <is>
          <t>Ядро и оклады как в v5; Левон — проектный менеджер, оклад сохранён</t>
        </is>
      </c>
      <c r="C50" s="330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6" t="inlineStr">
        <is>
          <t>Соответствует</t>
        </is>
      </c>
    </row>
    <row r="51" ht="32" customHeight="1">
      <c r="A51" s="328" t="inlineStr">
        <is>
          <t>6.1</t>
        </is>
      </c>
      <c r="B51" s="330" t="inlineStr">
        <is>
          <t>Офис-менеджер 70 тыс. на руки с 01.01.2027</t>
        </is>
      </c>
      <c r="C51" s="330" t="inlineStr">
        <is>
          <t>70 000 net, дата выхода 01.01.2027</t>
        </is>
      </c>
      <c r="D51" s="254" t="inlineStr">
        <is>
          <t>01_Вводные!B133</t>
        </is>
      </c>
      <c r="E51" s="346" t="inlineStr">
        <is>
          <t>Соответствует</t>
        </is>
      </c>
    </row>
    <row r="52" ht="32" customHeight="1">
      <c r="A52" s="328" t="inlineStr">
        <is>
          <t>6.1</t>
        </is>
      </c>
      <c r="B52" s="330" t="inlineStr">
        <is>
          <t>SMM 100 тыс. на руки с 01.09.2027</t>
        </is>
      </c>
      <c r="C52" s="330" t="inlineStr">
        <is>
          <t>100 000 net, дата выхода 01.09.2027</t>
        </is>
      </c>
      <c r="D52" s="254" t="inlineStr">
        <is>
          <t>01_Вводные!B134</t>
        </is>
      </c>
      <c r="E52" s="346" t="inlineStr">
        <is>
          <t>Соответствует</t>
        </is>
      </c>
    </row>
    <row r="53" ht="32" customHeight="1">
      <c r="A53" s="328" t="inlineStr">
        <is>
          <t>6.1</t>
        </is>
      </c>
      <c r="B53" s="330" t="inlineStr">
        <is>
          <t>Оклад ГД +100 тыс. на руки с 01.01.2028</t>
        </is>
      </c>
      <c r="C53" s="330" t="inlineStr">
        <is>
          <t>100 000 net с 01.01.2028</t>
        </is>
      </c>
      <c r="D53" s="254" t="inlineStr">
        <is>
          <t>01_Вводные!B135</t>
        </is>
      </c>
      <c r="E53" s="346" t="inlineStr">
        <is>
          <t>Соответствует</t>
        </is>
      </c>
    </row>
    <row r="54" ht="32" customHeight="1">
      <c r="A54" s="328" t="inlineStr">
        <is>
          <t>6.1</t>
        </is>
      </c>
      <c r="B54" s="330" t="inlineStr">
        <is>
          <t>Индексация окладов 1 сентября с 01.09.2027, ежегодно</t>
        </is>
      </c>
      <c r="C54" s="330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6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7" t="n"/>
      <c r="D55" s="327" t="n"/>
      <c r="E55" s="327" t="n"/>
    </row>
    <row r="56" ht="32" customHeight="1">
      <c r="A56" s="328" t="inlineStr">
        <is>
          <t>6.2</t>
        </is>
      </c>
      <c r="B56" s="330" t="inlineStr">
        <is>
          <t>Один менеджер на 35 активных юрлиц</t>
        </is>
      </c>
      <c r="C56" s="330" t="inlineStr">
        <is>
          <t>35 юрлиц на менеджера</t>
        </is>
      </c>
      <c r="D56" s="254" t="inlineStr">
        <is>
          <t>01_Вводные!B117</t>
        </is>
      </c>
      <c r="E56" s="346" t="inlineStr">
        <is>
          <t>Соответствует</t>
        </is>
      </c>
    </row>
    <row r="57" ht="32" customHeight="1">
      <c r="A57" s="328" t="inlineStr">
        <is>
          <t>6.2</t>
        </is>
      </c>
      <c r="B57" s="330" t="inlineStr">
        <is>
          <t>После перевода Левона остаются два менеджера развития</t>
        </is>
      </c>
      <c r="C57" s="330" t="inlineStr">
        <is>
          <t>База 2 менеджера</t>
        </is>
      </c>
      <c r="D57" s="254" t="inlineStr">
        <is>
          <t>01_Вводные!B118</t>
        </is>
      </c>
      <c r="E57" s="346" t="inlineStr">
        <is>
          <t>Соответствует</t>
        </is>
      </c>
    </row>
    <row r="58" ht="32" customHeight="1">
      <c r="A58" s="328" t="inlineStr">
        <is>
          <t>6.2</t>
        </is>
      </c>
      <c r="B58" s="330" t="inlineStr">
        <is>
          <t>Найм на 70, 105, 140 юрлиц — опережающий на границе загрузки</t>
        </is>
      </c>
      <c r="C58" s="330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6" t="inlineStr">
        <is>
          <t>Соответствует</t>
        </is>
      </c>
    </row>
    <row r="59" ht="32" customHeight="1">
      <c r="A59" s="328" t="inlineStr">
        <is>
          <t>6.2</t>
        </is>
      </c>
      <c r="B59" s="330" t="inlineStr">
        <is>
          <t>Комиссия агентства = один месячный оклад gross</t>
        </is>
      </c>
      <c r="C59" s="330" t="inlineStr">
        <is>
          <t>Коэффициент 1,00× gross</t>
        </is>
      </c>
      <c r="D59" s="254" t="inlineStr">
        <is>
          <t>01_Вводные!B120</t>
        </is>
      </c>
      <c r="E59" s="346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7" t="n"/>
      <c r="D60" s="327" t="n"/>
      <c r="E60" s="327" t="n"/>
    </row>
    <row r="61" ht="32" customHeight="1">
      <c r="A61" s="328" t="inlineStr">
        <is>
          <t>6.3</t>
        </is>
      </c>
      <c r="B61" s="330" t="inlineStr">
        <is>
          <t>240 тыс. ₽ в октябре 2026 на замену директора по маркетингу</t>
        </is>
      </c>
      <c r="C61" s="330" t="inlineStr">
        <is>
          <t>240 000 ₽, дата 01.10.2026</t>
        </is>
      </c>
      <c r="D61" s="254" t="inlineStr">
        <is>
          <t>01_Вводные!B121</t>
        </is>
      </c>
      <c r="E61" s="346" t="inlineStr">
        <is>
          <t>Соответствует</t>
        </is>
      </c>
    </row>
    <row r="62" ht="32" customHeight="1">
      <c r="A62" s="328" t="inlineStr">
        <is>
          <t>6.3</t>
        </is>
      </c>
      <c r="B62" s="330" t="inlineStr">
        <is>
          <t>Резерв на ротацию 350 тыс. ₽ в год</t>
        </is>
      </c>
      <c r="C62" s="330" t="inlineStr">
        <is>
          <t>350 000 ₽ раз в год, в сентябре</t>
        </is>
      </c>
      <c r="D62" s="254" t="inlineStr">
        <is>
          <t>01_Вводные!B122</t>
        </is>
      </c>
      <c r="E62" s="346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7" t="n"/>
      <c r="D63" s="327" t="n"/>
      <c r="E63" s="327" t="n"/>
    </row>
    <row r="64" ht="32" customHeight="1">
      <c r="A64" s="328" t="inlineStr">
        <is>
          <t>6.4</t>
        </is>
      </c>
      <c r="B64" s="330" t="inlineStr">
        <is>
          <t>Менеджеры развития: 25 тыс. на руки до 31.12.2026, далее 30 тыс.; НДФЛ и взносы учитывать. Левон входит</t>
        </is>
      </c>
      <c r="C64" s="330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6" t="inlineStr">
        <is>
          <t>Соответствует</t>
        </is>
      </c>
    </row>
    <row r="65" ht="32" customHeight="1">
      <c r="A65" s="328" t="inlineStr">
        <is>
          <t>6.4</t>
        </is>
      </c>
      <c r="B65" s="330" t="inlineStr">
        <is>
          <t>Евгений: при 2+ продажах 4% паушальных за вычетом НДС; «на руки получит 4% минус все налоги»</t>
        </is>
      </c>
      <c r="C65" s="330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8" t="inlineStr">
        <is>
          <t>Отклонение</t>
        </is>
      </c>
    </row>
    <row r="66" ht="32" customHeight="1">
      <c r="A66" s="328" t="inlineStr">
        <is>
          <t>6.4</t>
        </is>
      </c>
      <c r="B66" s="330" t="inlineStr">
        <is>
          <t>Отдельные схемы не должны давать двойную премию за одни и те же продажи</t>
        </is>
      </c>
      <c r="C66" s="330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8" t="inlineStr">
        <is>
          <t>Отклонение</t>
        </is>
      </c>
    </row>
    <row r="67" ht="32" customHeight="1">
      <c r="A67" s="328" t="inlineStr">
        <is>
          <t>6.4</t>
        </is>
      </c>
      <c r="B67" s="330" t="inlineStr">
        <is>
          <t>При 5+ продажах временный продавец: 80 тыс. на руки + 5%, налоги аналогично. Временный подрядчик</t>
        </is>
      </c>
      <c r="C67" s="330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6" t="inlineStr">
        <is>
          <t>Соответствует</t>
        </is>
      </c>
    </row>
    <row r="68" ht="32" customHeight="1">
      <c r="A68" s="328" t="inlineStr">
        <is>
          <t>6.4</t>
        </is>
      </c>
      <c r="B68" s="330" t="inlineStr">
        <is>
          <t>Квартальные премии 60% месячного оклада с 01.10.2027, первая выплата за IV кв. 2027 в декабре 2027</t>
        </is>
      </c>
      <c r="C68" s="330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6" t="inlineStr">
        <is>
          <t>Соответствует</t>
        </is>
      </c>
    </row>
    <row r="69" ht="32" customHeight="1">
      <c r="A69" s="328" t="inlineStr">
        <is>
          <t>6.4</t>
        </is>
      </c>
      <c r="B69" s="330" t="inlineStr">
        <is>
          <t>Отдельные схемы не должны получать двойную премию</t>
        </is>
      </c>
      <c r="C69" s="330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6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7" t="n"/>
      <c r="D70" s="327" t="n"/>
      <c r="E70" s="327" t="n"/>
    </row>
    <row r="71" ht="32" customHeight="1">
      <c r="A71" s="328" t="inlineStr">
        <is>
          <t>7</t>
        </is>
      </c>
      <c r="B71" s="330" t="inlineStr">
        <is>
          <t>Таргет за два месяца до продажи, 160 тыс. ₽ на продажу</t>
        </is>
      </c>
      <c r="C71" s="330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9" t="inlineStr">
        <is>
          <t>Нет в ТЗ</t>
        </is>
      </c>
    </row>
    <row r="72" ht="32" customHeight="1">
      <c r="A72" s="328" t="inlineStr">
        <is>
          <t>7</t>
        </is>
      </c>
      <c r="B72" s="330" t="inlineStr">
        <is>
          <t>БИБОСС 250 тыс. октябрь, TopFranchise 250 тыс. ноябрь, Forbes 250 тыс. декабрь, ежегодно</t>
        </is>
      </c>
      <c r="C72" s="330" t="inlineStr">
        <is>
          <t>250 000 × 3, месяцы 10 / 11 / 12, каждый год</t>
        </is>
      </c>
      <c r="D72" s="254" t="inlineStr">
        <is>
          <t>01_Вводные!B28</t>
        </is>
      </c>
      <c r="E72" s="346" t="inlineStr">
        <is>
          <t>Соответствует</t>
        </is>
      </c>
    </row>
    <row r="73" ht="32" customHeight="1">
      <c r="A73" s="328" t="inlineStr">
        <is>
          <t>7</t>
        </is>
      </c>
      <c r="B73" s="330" t="inlineStr">
        <is>
          <t>Конверсия лид→продажа 3%; лиды = продажи / 3%, округление вверх</t>
        </is>
      </c>
      <c r="C73" s="330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6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7" t="n"/>
      <c r="D74" s="327" t="n"/>
      <c r="E74" s="327" t="n"/>
    </row>
    <row r="75" ht="32" customHeight="1">
      <c r="A75" s="328" t="inlineStr">
        <is>
          <t>8</t>
        </is>
      </c>
      <c r="B75" s="330" t="inlineStr">
        <is>
          <t>Разделять начисление (БДР) и движение денег (БДДС)</t>
        </is>
      </c>
      <c r="C75" s="330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6" t="inlineStr">
        <is>
          <t>Соответствует</t>
        </is>
      </c>
    </row>
    <row r="76" ht="32" customHeight="1">
      <c r="A76" s="328" t="inlineStr">
        <is>
          <t>8</t>
        </is>
      </c>
      <c r="B76" s="330" t="inlineStr">
        <is>
          <t>Дебиторка и кредиторка базово 15 дней</t>
        </is>
      </c>
      <c r="C76" s="330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6" t="inlineStr">
        <is>
          <t>Соответствует</t>
        </is>
      </c>
    </row>
    <row r="77" ht="32" customHeight="1">
      <c r="A77" s="328" t="inlineStr">
        <is>
          <t>8</t>
        </is>
      </c>
      <c r="B77" s="330" t="inlineStr">
        <is>
          <t>Паушальный взнос поступает в месяц продажи</t>
        </is>
      </c>
      <c r="C77" s="330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6" t="inlineStr">
        <is>
          <t>Соответствует</t>
        </is>
      </c>
    </row>
    <row r="78" ht="32" customHeight="1">
      <c r="A78" s="328" t="inlineStr">
        <is>
          <t>8</t>
        </is>
      </c>
      <c r="B78" s="330" t="inlineStr">
        <is>
          <t>Ставки налогов</t>
        </is>
      </c>
      <c r="C78" s="330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9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7" t="n"/>
      <c r="D79" s="327" t="n"/>
      <c r="E79" s="327" t="n"/>
    </row>
    <row r="80" ht="32" customHeight="1">
      <c r="A80" s="328" t="inlineStr">
        <is>
          <t>9</t>
        </is>
      </c>
      <c r="B80" s="330" t="inlineStr">
        <is>
          <t>ОТКЛЮЧЕНО по запросу 09.09.2026</t>
        </is>
      </c>
      <c r="C80" s="330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9" t="inlineStr">
        <is>
          <t>Нет в ТЗ</t>
        </is>
      </c>
    </row>
    <row r="81" ht="32" customHeight="1">
      <c r="A81" s="328" t="inlineStr">
        <is>
          <t>9</t>
        </is>
      </c>
      <c r="B81" s="330" t="inlineStr">
        <is>
          <t>Лагеря в июне, 2 смены по 100 человек</t>
        </is>
      </c>
      <c r="C81" s="330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6" t="inlineStr">
        <is>
          <t>Соответствует</t>
        </is>
      </c>
    </row>
    <row r="82" ht="32" customHeight="1">
      <c r="A82" s="328" t="inlineStr">
        <is>
          <t>9</t>
        </is>
      </c>
      <c r="B82" s="330" t="inlineStr">
        <is>
          <t>Продажи с февраля равными долями до мая включительно</t>
        </is>
      </c>
      <c r="C82" s="330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6" t="inlineStr">
        <is>
          <t>Соответствует</t>
        </is>
      </c>
    </row>
    <row r="83" ht="32" customHeight="1">
      <c r="A83" s="328" t="inlineStr">
        <is>
          <t>9</t>
        </is>
      </c>
      <c r="B83" s="330" t="inlineStr">
        <is>
          <t>Оплаты клиентов авансом 40/60</t>
        </is>
      </c>
      <c r="C83" s="330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6" t="inlineStr">
        <is>
          <t>Соответствует</t>
        </is>
      </c>
    </row>
    <row r="84" ht="32" customHeight="1">
      <c r="A84" s="328" t="inlineStr">
        <is>
          <t>9</t>
        </is>
      </c>
      <c r="B84" s="330" t="inlineStr">
        <is>
          <t>Оплата проживания 40/60, первая в марте</t>
        </is>
      </c>
      <c r="C84" s="330" t="inlineStr">
        <is>
          <t>40% в марте, 60% в мае</t>
        </is>
      </c>
      <c r="D84" s="254" t="inlineStr">
        <is>
          <t>01_Вводные!B174</t>
        </is>
      </c>
      <c r="E84" s="346" t="inlineStr">
        <is>
          <t>Соответствует</t>
        </is>
      </c>
    </row>
    <row r="85" ht="32" customHeight="1">
      <c r="A85" s="328" t="inlineStr">
        <is>
          <t>9</t>
        </is>
      </c>
      <c r="B85" s="330" t="inlineStr">
        <is>
          <t>Цены и расходы смены</t>
        </is>
      </c>
      <c r="C85" s="330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7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7" t="n"/>
      <c r="D86" s="327" t="n"/>
      <c r="E86" s="327" t="n"/>
    </row>
    <row r="87" ht="32" customHeight="1">
      <c r="A87" s="328" t="inlineStr">
        <is>
          <t>10</t>
        </is>
      </c>
      <c r="B87" s="330" t="inlineStr">
        <is>
          <t>Показать результат в двух вариациях: с 01.09.2025 и с 01.09.2026</t>
        </is>
      </c>
      <c r="C87" s="330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6" t="inlineStr">
        <is>
          <t>Соответствует</t>
        </is>
      </c>
    </row>
    <row r="88" ht="32" customHeight="1">
      <c r="A88" s="328" t="inlineStr">
        <is>
          <t>10</t>
        </is>
      </c>
      <c r="B88" s="330" t="inlineStr">
        <is>
          <t>Факт P&amp;L июнь и июль 2026</t>
        </is>
      </c>
      <c r="C88" s="330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6" t="inlineStr">
        <is>
          <t>Соответствует</t>
        </is>
      </c>
    </row>
    <row r="89" ht="32" customHeight="1">
      <c r="A89" s="328" t="inlineStr">
        <is>
          <t>10</t>
        </is>
      </c>
      <c r="B89" s="330" t="inlineStr">
        <is>
          <t>Факт ДДС январь–июль 2026</t>
        </is>
      </c>
      <c r="C89" s="330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6" t="inlineStr">
        <is>
          <t>Соответствует</t>
        </is>
      </c>
    </row>
    <row r="90" ht="32" customHeight="1">
      <c r="A90" s="328" t="inlineStr">
        <is>
          <t>10</t>
        </is>
      </c>
      <c r="B90" s="330" t="inlineStr">
        <is>
          <t>Стартовый денежный остаток</t>
        </is>
      </c>
      <c r="C90" s="330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6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50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50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50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2026-09-11T10:56:54Z</dcterms:modified>
</cp:coreProperties>
</file>