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kto\Desktop\Turing College\Sprint 10 Financial Analyst\"/>
    </mc:Choice>
  </mc:AlternateContent>
  <xr:revisionPtr revIDLastSave="0" documentId="13_ncr:1_{E9BE1C77-A573-4E01-BC2D-B7BB0AA70265}" xr6:coauthVersionLast="47" xr6:coauthVersionMax="47" xr10:uidLastSave="{00000000-0000-0000-0000-000000000000}"/>
  <bookViews>
    <workbookView xWindow="20" yWindow="20" windowWidth="19180" windowHeight="10060" xr2:uid="{42404470-84D7-428D-93FE-868AEFBC88B4}"/>
  </bookViews>
  <sheets>
    <sheet name="Conclusion" sheetId="8" r:id="rId1"/>
    <sheet name="Comparison" sheetId="7" r:id="rId2"/>
    <sheet name="Investment Details" sheetId="3" r:id="rId3"/>
    <sheet name="Income Statement" sheetId="4" r:id="rId4"/>
    <sheet name="Balance sheet" sheetId="5" r:id="rId5"/>
    <sheet name="Cash flows" sheetId="6" r:id="rId6"/>
  </sheets>
  <externalReferences>
    <externalReference r:id="rId7"/>
  </externalReferences>
  <definedNames>
    <definedName name="ats" localSheetId="4">#REF!</definedName>
    <definedName name="ats" localSheetId="5">#REF!</definedName>
    <definedName name="ats" localSheetId="3">#REF!</definedName>
    <definedName name="ats">#REF!</definedName>
    <definedName name="Atsargos_t" localSheetId="4">#REF!</definedName>
    <definedName name="Atsargos_t" localSheetId="5">#REF!</definedName>
    <definedName name="Atsargos_t" localSheetId="3">#REF!</definedName>
    <definedName name="Atsargos_t">#REF!</definedName>
    <definedName name="BE_Fixed">#REF!</definedName>
    <definedName name="BE_Revenue">#REF!</definedName>
    <definedName name="BE_Total">#REF!</definedName>
    <definedName name="BE_Variable">#REF!</definedName>
    <definedName name="Contribution_margin">#REF!</definedName>
    <definedName name="Derlingumas">#REF!</definedName>
    <definedName name="Derlius">#REF!</definedName>
    <definedName name="Fixed_expenses">#REF!</definedName>
    <definedName name="Išlaidos_Lt">#REF!</definedName>
    <definedName name="Išlaikymo_nuostoliai">#REF!</definedName>
    <definedName name="Kainos">#REF!</definedName>
    <definedName name="korekcijos_faktor">#REF!</definedName>
    <definedName name="korekcijos_faktor2">#REF!</definedName>
    <definedName name="Pardavimai_Lt">#REF!</definedName>
    <definedName name="Pardavimai_užskaitoma">#REF!</definedName>
    <definedName name="Parduota_natūra">#REF!</definedName>
    <definedName name="Pirkta_produkcija">#REF!</definedName>
    <definedName name="Plotas">#REF!</definedName>
    <definedName name="Revenue_increments" localSheetId="4">#REF!</definedName>
    <definedName name="Revenue_increments" localSheetId="5">#REF!</definedName>
    <definedName name="Revenue_increments" localSheetId="3">#REF!</definedName>
    <definedName name="Revenue_increments">#REF!</definedName>
    <definedName name="Suvartota_pašarams">#REF!</definedName>
    <definedName name="Suvartota_sėklai">#REF!</definedName>
    <definedName name="Table_Fixed">#REF!</definedName>
    <definedName name="Table_Revenue">#REF!</definedName>
    <definedName name="Table_total">#REF!</definedName>
    <definedName name="Table_Vari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7" l="1"/>
  <c r="C51" i="7"/>
  <c r="C37" i="7"/>
  <c r="E73" i="7"/>
  <c r="C34" i="7"/>
  <c r="E28" i="7"/>
  <c r="F28" i="7" s="1"/>
  <c r="G28" i="7" s="1"/>
  <c r="H28" i="7" s="1"/>
  <c r="I28" i="7" s="1"/>
  <c r="J28" i="7" s="1"/>
  <c r="E12" i="7"/>
  <c r="F12" i="7" s="1"/>
  <c r="G12" i="7" s="1"/>
  <c r="E29" i="7"/>
  <c r="F73" i="7"/>
  <c r="J26" i="7"/>
  <c r="I26" i="7"/>
  <c r="H26" i="7"/>
  <c r="J73" i="7"/>
  <c r="I73" i="7"/>
  <c r="H73" i="7"/>
  <c r="J72" i="7"/>
  <c r="I72" i="7"/>
  <c r="H72" i="7"/>
  <c r="C74" i="7"/>
  <c r="D74" i="7" s="1"/>
  <c r="E74" i="7" s="1"/>
  <c r="F74" i="7" s="1"/>
  <c r="G74" i="7" s="1"/>
  <c r="H74" i="7" s="1"/>
  <c r="I74" i="7" s="1"/>
  <c r="J74" i="7" s="1"/>
  <c r="I8" i="4"/>
  <c r="C47" i="8"/>
  <c r="H28" i="3"/>
  <c r="H31" i="3"/>
  <c r="H30" i="3"/>
  <c r="H30" i="7"/>
  <c r="G73" i="7"/>
  <c r="C72" i="7"/>
  <c r="D72" i="7"/>
  <c r="C63" i="7"/>
  <c r="D63" i="7" s="1"/>
  <c r="D65" i="7" s="1"/>
  <c r="D66" i="7" s="1"/>
  <c r="G26" i="7"/>
  <c r="F87" i="7"/>
  <c r="F89" i="7" s="1"/>
  <c r="C59" i="8" s="1"/>
  <c r="G72" i="7"/>
  <c r="F72" i="7"/>
  <c r="E72" i="7"/>
  <c r="D71" i="7"/>
  <c r="C71" i="7"/>
  <c r="F46" i="7"/>
  <c r="F48" i="7" s="1"/>
  <c r="C31" i="8" s="1"/>
  <c r="F26" i="7"/>
  <c r="E26" i="7"/>
  <c r="D25" i="7"/>
  <c r="C25" i="7"/>
  <c r="D24" i="7"/>
  <c r="C24" i="7"/>
  <c r="D23" i="7"/>
  <c r="D22" i="7"/>
  <c r="C22" i="7"/>
  <c r="D14" i="7"/>
  <c r="C14" i="7"/>
  <c r="D13" i="7"/>
  <c r="C13" i="7"/>
  <c r="D12" i="7"/>
  <c r="K23" i="4"/>
  <c r="E6" i="3"/>
  <c r="I19" i="4"/>
  <c r="I23" i="4"/>
  <c r="I5" i="4"/>
  <c r="E10" i="5"/>
  <c r="D10" i="5"/>
  <c r="E6" i="5"/>
  <c r="D6" i="5"/>
  <c r="E20" i="5"/>
  <c r="D20" i="5"/>
  <c r="I24" i="5"/>
  <c r="H24" i="5"/>
  <c r="I20" i="5"/>
  <c r="H20" i="5"/>
  <c r="H5" i="5"/>
  <c r="I5" i="5"/>
  <c r="C17" i="8" l="1"/>
  <c r="J76" i="7"/>
  <c r="J77" i="7" s="1"/>
  <c r="I76" i="7"/>
  <c r="C76" i="7"/>
  <c r="C39" i="8" s="1"/>
  <c r="C33" i="7"/>
  <c r="C10" i="8" s="1"/>
  <c r="H76" i="7"/>
  <c r="H39" i="8" s="1"/>
  <c r="D33" i="7"/>
  <c r="D10" i="8" s="1"/>
  <c r="E33" i="7"/>
  <c r="F29" i="7"/>
  <c r="G29" i="7" s="1"/>
  <c r="H29" i="7" s="1"/>
  <c r="I29" i="7" s="1"/>
  <c r="J29" i="7" s="1"/>
  <c r="J33" i="7" s="1"/>
  <c r="F31" i="7"/>
  <c r="C16" i="7"/>
  <c r="G76" i="7"/>
  <c r="D38" i="8"/>
  <c r="C45" i="8"/>
  <c r="C65" i="7"/>
  <c r="C80" i="7" s="1"/>
  <c r="D76" i="7"/>
  <c r="D80" i="7" s="1"/>
  <c r="E76" i="7"/>
  <c r="F76" i="7"/>
  <c r="E63" i="7"/>
  <c r="D16" i="7"/>
  <c r="E16" i="7"/>
  <c r="E5" i="5"/>
  <c r="D5" i="5"/>
  <c r="I19" i="5"/>
  <c r="H19" i="5"/>
  <c r="C9" i="8" l="1"/>
  <c r="C11" i="8" s="1"/>
  <c r="C17" i="7"/>
  <c r="D9" i="8"/>
  <c r="D11" i="8" s="1"/>
  <c r="D17" i="7"/>
  <c r="E9" i="8"/>
  <c r="E17" i="7"/>
  <c r="J39" i="8"/>
  <c r="J10" i="8"/>
  <c r="I39" i="8"/>
  <c r="I77" i="7"/>
  <c r="I33" i="7"/>
  <c r="H77" i="7"/>
  <c r="E10" i="8"/>
  <c r="E37" i="7"/>
  <c r="F33" i="7"/>
  <c r="F10" i="8" s="1"/>
  <c r="D77" i="7"/>
  <c r="D83" i="7" s="1"/>
  <c r="D39" i="8"/>
  <c r="D40" i="8" s="1"/>
  <c r="C38" i="8"/>
  <c r="C40" i="8" s="1"/>
  <c r="C66" i="7"/>
  <c r="F77" i="7"/>
  <c r="F39" i="8"/>
  <c r="G77" i="7"/>
  <c r="G39" i="8"/>
  <c r="E77" i="7"/>
  <c r="E39" i="8"/>
  <c r="C77" i="7"/>
  <c r="F63" i="7"/>
  <c r="E65" i="7"/>
  <c r="D37" i="7"/>
  <c r="G16" i="7"/>
  <c r="G9" i="8" s="1"/>
  <c r="H12" i="7"/>
  <c r="I30" i="5"/>
  <c r="L11" i="5" s="1"/>
  <c r="H30" i="5"/>
  <c r="K11" i="5" s="1"/>
  <c r="E11" i="8" l="1"/>
  <c r="E12" i="8" s="1"/>
  <c r="C83" i="7"/>
  <c r="C84" i="7" s="1"/>
  <c r="C38" i="7"/>
  <c r="D38" i="7"/>
  <c r="E38" i="7"/>
  <c r="I10" i="8"/>
  <c r="H16" i="7"/>
  <c r="I12" i="7"/>
  <c r="C81" i="7"/>
  <c r="D81" i="7"/>
  <c r="D67" i="7"/>
  <c r="J78" i="7"/>
  <c r="I78" i="7"/>
  <c r="C41" i="8"/>
  <c r="C12" i="8"/>
  <c r="H33" i="7"/>
  <c r="H10" i="8" s="1"/>
  <c r="G33" i="7"/>
  <c r="G10" i="8" s="1"/>
  <c r="D78" i="7"/>
  <c r="C67" i="7"/>
  <c r="E66" i="7"/>
  <c r="E38" i="8"/>
  <c r="E40" i="8" s="1"/>
  <c r="E80" i="7"/>
  <c r="D12" i="8"/>
  <c r="D41" i="8"/>
  <c r="E78" i="7"/>
  <c r="H78" i="7"/>
  <c r="F78" i="7"/>
  <c r="G78" i="7"/>
  <c r="G63" i="7"/>
  <c r="F65" i="7"/>
  <c r="C78" i="7"/>
  <c r="K23" i="5"/>
  <c r="M11" i="5"/>
  <c r="L23" i="5"/>
  <c r="M23" i="5" s="1"/>
  <c r="D84" i="7" l="1"/>
  <c r="E67" i="7"/>
  <c r="E83" i="7"/>
  <c r="E84" i="7" s="1"/>
  <c r="E81" i="7"/>
  <c r="H9" i="8"/>
  <c r="H11" i="8" s="1"/>
  <c r="H37" i="7"/>
  <c r="J12" i="7"/>
  <c r="J16" i="7" s="1"/>
  <c r="I16" i="7"/>
  <c r="G37" i="7"/>
  <c r="F66" i="7"/>
  <c r="F83" i="7" s="1"/>
  <c r="F38" i="8"/>
  <c r="F40" i="8" s="1"/>
  <c r="F80" i="7"/>
  <c r="E41" i="8"/>
  <c r="G11" i="8"/>
  <c r="H63" i="7"/>
  <c r="G65" i="7"/>
  <c r="C44" i="7"/>
  <c r="F84" i="7" l="1"/>
  <c r="H65" i="7"/>
  <c r="H66" i="7" s="1"/>
  <c r="H83" i="7" s="1"/>
  <c r="I63" i="7"/>
  <c r="I37" i="7"/>
  <c r="I17" i="7"/>
  <c r="I9" i="8"/>
  <c r="I11" i="8" s="1"/>
  <c r="C19" i="8"/>
  <c r="J34" i="7"/>
  <c r="I34" i="7"/>
  <c r="J17" i="7"/>
  <c r="J9" i="8"/>
  <c r="J11" i="8" s="1"/>
  <c r="J37" i="7"/>
  <c r="F81" i="7"/>
  <c r="F67" i="7"/>
  <c r="G66" i="7"/>
  <c r="G83" i="7" s="1"/>
  <c r="G84" i="7" s="1"/>
  <c r="G80" i="7"/>
  <c r="G38" i="8"/>
  <c r="G40" i="8" s="1"/>
  <c r="G41" i="8" s="1"/>
  <c r="F41" i="8"/>
  <c r="D34" i="7"/>
  <c r="F34" i="7"/>
  <c r="H34" i="7"/>
  <c r="G34" i="7"/>
  <c r="E34" i="7"/>
  <c r="G17" i="7"/>
  <c r="H17" i="7"/>
  <c r="C40" i="7" l="1"/>
  <c r="C41" i="7" s="1"/>
  <c r="G40" i="7"/>
  <c r="D40" i="7"/>
  <c r="E40" i="7"/>
  <c r="H84" i="7"/>
  <c r="H40" i="7"/>
  <c r="I40" i="7"/>
  <c r="J40" i="7"/>
  <c r="H80" i="7"/>
  <c r="H81" i="7" s="1"/>
  <c r="H38" i="8"/>
  <c r="H40" i="8" s="1"/>
  <c r="H41" i="8" s="1"/>
  <c r="I65" i="7"/>
  <c r="J63" i="7"/>
  <c r="J65" i="7" s="1"/>
  <c r="J80" i="7" s="1"/>
  <c r="J35" i="7"/>
  <c r="I35" i="7"/>
  <c r="G81" i="7"/>
  <c r="G67" i="7"/>
  <c r="H67" i="7"/>
  <c r="D35" i="7"/>
  <c r="F35" i="7"/>
  <c r="E35" i="7"/>
  <c r="C35" i="7"/>
  <c r="G35" i="7"/>
  <c r="H35" i="7"/>
  <c r="C18" i="7"/>
  <c r="D18" i="7"/>
  <c r="E18" i="7"/>
  <c r="D41" i="7" l="1"/>
  <c r="E41" i="7"/>
  <c r="C13" i="8"/>
  <c r="E13" i="8"/>
  <c r="D13" i="8"/>
  <c r="J38" i="8"/>
  <c r="J40" i="8" s="1"/>
  <c r="J66" i="7"/>
  <c r="J83" i="7" s="1"/>
  <c r="I38" i="8"/>
  <c r="I40" i="8" s="1"/>
  <c r="I66" i="7"/>
  <c r="I83" i="7" s="1"/>
  <c r="I80" i="7"/>
  <c r="I7" i="4"/>
  <c r="F28" i="4"/>
  <c r="F27" i="4" s="1"/>
  <c r="D25" i="6"/>
  <c r="C25" i="6"/>
  <c r="D17" i="6"/>
  <c r="C17" i="6"/>
  <c r="D7" i="6"/>
  <c r="C7" i="6"/>
  <c r="D6" i="6"/>
  <c r="D5" i="6"/>
  <c r="D4" i="6" s="1"/>
  <c r="D12" i="6" s="1"/>
  <c r="C5" i="6"/>
  <c r="C4" i="6" s="1"/>
  <c r="C12" i="6" s="1"/>
  <c r="C27" i="6" s="1"/>
  <c r="C29" i="6" s="1"/>
  <c r="C31" i="6" s="1"/>
  <c r="G32" i="4"/>
  <c r="F32" i="4"/>
  <c r="G31" i="4"/>
  <c r="F31" i="4"/>
  <c r="G28" i="4"/>
  <c r="G27" i="4" s="1"/>
  <c r="G21" i="4"/>
  <c r="F21" i="4"/>
  <c r="F15" i="4" s="1"/>
  <c r="F26" i="4" s="1"/>
  <c r="G16" i="4"/>
  <c r="G14" i="4"/>
  <c r="F14" i="4"/>
  <c r="I13" i="3"/>
  <c r="H13" i="3"/>
  <c r="D13" i="3"/>
  <c r="E13" i="3" s="1"/>
  <c r="D11" i="3"/>
  <c r="G9" i="3"/>
  <c r="G12" i="3" s="1"/>
  <c r="G14" i="3" s="1"/>
  <c r="G15" i="3" s="1"/>
  <c r="C9" i="3"/>
  <c r="C12" i="3" s="1"/>
  <c r="C14" i="3" s="1"/>
  <c r="H8" i="3"/>
  <c r="D8" i="3"/>
  <c r="I7" i="3"/>
  <c r="H7" i="3"/>
  <c r="E7" i="3"/>
  <c r="D7" i="3"/>
  <c r="I5" i="3"/>
  <c r="H5" i="3"/>
  <c r="E5" i="3"/>
  <c r="D5" i="3"/>
  <c r="I84" i="7" l="1"/>
  <c r="J84" i="7"/>
  <c r="J67" i="7"/>
  <c r="C89" i="7" s="1"/>
  <c r="C96" i="7" s="1"/>
  <c r="I67" i="7"/>
  <c r="J41" i="8"/>
  <c r="I41" i="8"/>
  <c r="J81" i="7"/>
  <c r="C49" i="8" s="1"/>
  <c r="I81" i="7"/>
  <c r="C92" i="7"/>
  <c r="C53" i="8" s="1"/>
  <c r="E53" i="8" s="1"/>
  <c r="C90" i="7"/>
  <c r="C15" i="3"/>
  <c r="I8" i="3"/>
  <c r="D9" i="3"/>
  <c r="D12" i="3" s="1"/>
  <c r="D14" i="3" s="1"/>
  <c r="D15" i="3" s="1"/>
  <c r="E8" i="3"/>
  <c r="G15" i="4"/>
  <c r="G26" i="4" s="1"/>
  <c r="F30" i="4"/>
  <c r="G30" i="4"/>
  <c r="F34" i="4"/>
  <c r="F36" i="4" s="1"/>
  <c r="H9" i="3"/>
  <c r="H12" i="3" s="1"/>
  <c r="H14" i="3" s="1"/>
  <c r="H15" i="3" s="1"/>
  <c r="D28" i="6"/>
  <c r="D27" i="6"/>
  <c r="C94" i="7" l="1"/>
  <c r="C55" i="8" s="1"/>
  <c r="C51" i="8"/>
  <c r="E51" i="8" s="1"/>
  <c r="E9" i="3"/>
  <c r="E12" i="3" s="1"/>
  <c r="E14" i="3" s="1"/>
  <c r="E15" i="3" s="1"/>
  <c r="I9" i="3"/>
  <c r="I12" i="3" s="1"/>
  <c r="I14" i="3" s="1"/>
  <c r="I15" i="3" s="1"/>
  <c r="G34" i="4"/>
  <c r="G36" i="4" s="1"/>
  <c r="D29" i="6"/>
  <c r="D31" i="6" s="1"/>
  <c r="C57" i="8" l="1"/>
  <c r="E57" i="8" s="1"/>
  <c r="F16" i="7"/>
  <c r="F17" i="7" s="1"/>
  <c r="F37" i="7" l="1"/>
  <c r="F9" i="8"/>
  <c r="F11" i="8" s="1"/>
  <c r="F40" i="7"/>
  <c r="H41" i="7" l="1"/>
  <c r="I41" i="7"/>
  <c r="J41" i="7"/>
  <c r="F41" i="7"/>
  <c r="G41" i="7"/>
  <c r="G38" i="7"/>
  <c r="I38" i="7"/>
  <c r="C25" i="8"/>
  <c r="E25" i="8" s="1"/>
  <c r="J38" i="7"/>
  <c r="C21" i="8" s="1"/>
  <c r="H38" i="7"/>
  <c r="F38" i="7"/>
  <c r="C53" i="7" s="1"/>
  <c r="C49" i="7"/>
  <c r="I18" i="7"/>
  <c r="I13" i="8" s="1"/>
  <c r="J18" i="7"/>
  <c r="C48" i="7" s="1"/>
  <c r="J12" i="8"/>
  <c r="I12" i="8"/>
  <c r="F12" i="8"/>
  <c r="G12" i="8"/>
  <c r="H12" i="8"/>
  <c r="F18" i="7"/>
  <c r="F13" i="8" s="1"/>
  <c r="H18" i="7"/>
  <c r="H13" i="8" s="1"/>
  <c r="G18" i="7"/>
  <c r="G13" i="8" s="1"/>
  <c r="J13" i="8" l="1"/>
  <c r="C27" i="8"/>
  <c r="C29" i="8" l="1"/>
  <c r="E29" i="8" s="1"/>
  <c r="C23" i="8"/>
  <c r="E2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viktoria</author>
  </authors>
  <commentList>
    <comment ref="B51" authorId="0" shapeId="0" xr:uid="{EF4BC9D5-537C-44BC-9F4B-21DCE493F517}">
      <text>
        <r>
          <rPr>
            <b/>
            <sz val="9"/>
            <color indexed="81"/>
            <rFont val="Tahoma"/>
            <family val="2"/>
          </rPr>
          <t>viktoria:</t>
        </r>
        <r>
          <rPr>
            <sz val="9"/>
            <color indexed="81"/>
            <rFont val="Tahoma"/>
            <family val="2"/>
          </rPr>
          <t xml:space="preserve">
Attention: if you have more than 1 year where the Net Cash Flow is negative (=our case), then you will get more than 1 IRR. Exel just gave us the first one.</t>
        </r>
      </text>
    </comment>
    <comment ref="B87" authorId="0" shapeId="0" xr:uid="{0D383C6F-C4C6-4B65-9964-28DA32E5BAFC}">
      <text>
        <r>
          <rPr>
            <b/>
            <sz val="9"/>
            <color indexed="81"/>
            <rFont val="Tahoma"/>
            <family val="2"/>
          </rPr>
          <t>viktoria:</t>
        </r>
        <r>
          <rPr>
            <sz val="9"/>
            <color indexed="81"/>
            <rFont val="Tahoma"/>
            <family val="2"/>
          </rPr>
          <t xml:space="preserve">
Our own funds are considered to be Equity. Thus, our Cost of Equity (= our Interest Rate) is based on what the company would obtain for alternative investment opportunities with a similar risk. I assume that investing our EUR 8 Mio own funds in the S&amp;P 500 Index qualifies for that. Thus, the Opportunity Costs Rate is assumed to equal the Interest Rate</t>
        </r>
      </text>
    </comment>
    <comment ref="B92" authorId="0" shapeId="0" xr:uid="{E586D65A-B1F3-4EBA-A966-FC66E9E2085E}">
      <text>
        <r>
          <rPr>
            <b/>
            <sz val="9"/>
            <color indexed="81"/>
            <rFont val="Tahoma"/>
            <family val="2"/>
          </rPr>
          <t>viktoria:</t>
        </r>
        <r>
          <rPr>
            <sz val="9"/>
            <color indexed="81"/>
            <rFont val="Tahoma"/>
            <family val="2"/>
          </rPr>
          <t xml:space="preserve">
Attention: if you have more than 1 year where the Net Cash Flow is negative (=our case), then you will get more than 1 IRR. Exel just gave us the first one.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viktoria</author>
  </authors>
  <commentList>
    <comment ref="C17" authorId="0" shapeId="0" xr:uid="{B7FF36D6-F05C-4F6B-910D-6FAAA56F5C55}">
      <text>
        <r>
          <rPr>
            <b/>
            <sz val="9"/>
            <color indexed="81"/>
            <rFont val="Tahoma"/>
            <family val="2"/>
          </rPr>
          <t>viktoria:</t>
        </r>
        <r>
          <rPr>
            <sz val="9"/>
            <color indexed="81"/>
            <rFont val="Tahoma"/>
            <family val="2"/>
          </rPr>
          <t xml:space="preserve">
because Depreciation and Amortization is here already deducted, we do not have a EBITDA line</t>
        </r>
      </text>
    </comment>
    <comment ref="C22" authorId="0" shapeId="0" xr:uid="{53D8AD4A-E385-4F01-88F7-279F4328B9D7}">
      <text>
        <r>
          <rPr>
            <b/>
            <sz val="9"/>
            <color indexed="81"/>
            <rFont val="Tahoma"/>
            <family val="2"/>
          </rPr>
          <t>viktoria:</t>
        </r>
        <r>
          <rPr>
            <sz val="9"/>
            <color indexed="81"/>
            <rFont val="Tahoma"/>
            <family val="2"/>
          </rPr>
          <t xml:space="preserve">
because Depreciation and Amortization is here already deducted, we do not have a EBITDA line</t>
        </r>
      </text>
    </comment>
  </commentList>
</comments>
</file>

<file path=xl/sharedStrings.xml><?xml version="1.0" encoding="utf-8"?>
<sst xmlns="http://schemas.openxmlformats.org/spreadsheetml/2006/main" count="332" uniqueCount="241">
  <si>
    <t xml:space="preserve"> </t>
  </si>
  <si>
    <t>Project 1</t>
  </si>
  <si>
    <t>Cash Inflow</t>
  </si>
  <si>
    <t>Cash Outflow</t>
  </si>
  <si>
    <t>Net Cash Flow</t>
  </si>
  <si>
    <t>Cumulative Cash Flow</t>
  </si>
  <si>
    <t>Project 2</t>
  </si>
  <si>
    <t>Project 1: Build a Factory</t>
  </si>
  <si>
    <t>Project value and funding sources, EUR</t>
  </si>
  <si>
    <t>EUR, without VAT</t>
  </si>
  <si>
    <t>Total</t>
  </si>
  <si>
    <t>Investments in fixed assets - equipment</t>
  </si>
  <si>
    <t>Investments in fixed assets - buildings</t>
  </si>
  <si>
    <t>Salary of the project implementation team</t>
  </si>
  <si>
    <t>Purchase of services</t>
  </si>
  <si>
    <t>Total value of the project</t>
  </si>
  <si>
    <t>Private investment (third party)</t>
  </si>
  <si>
    <t>Own funds</t>
  </si>
  <si>
    <t>Project funding sources, total</t>
  </si>
  <si>
    <t>Loan terms</t>
  </si>
  <si>
    <t>Private investment</t>
  </si>
  <si>
    <t>Bank loan</t>
  </si>
  <si>
    <t>Articles</t>
  </si>
  <si>
    <t>I.</t>
  </si>
  <si>
    <t>SALES REVENUE</t>
  </si>
  <si>
    <t>II.</t>
  </si>
  <si>
    <t>COST OF SALES</t>
  </si>
  <si>
    <t>Depreciation and amortization</t>
  </si>
  <si>
    <t>Materials (raw materials)</t>
  </si>
  <si>
    <t>Wage</t>
  </si>
  <si>
    <t>Rental of industrial premises</t>
  </si>
  <si>
    <t>Others</t>
  </si>
  <si>
    <t>III.</t>
  </si>
  <si>
    <t>GROSS PROFIT (LOSS)</t>
  </si>
  <si>
    <t>IV.</t>
  </si>
  <si>
    <t>OPERATING COSTS</t>
  </si>
  <si>
    <t xml:space="preserve">  IV.1</t>
  </si>
  <si>
    <t>For sale</t>
  </si>
  <si>
    <t>Marketing</t>
  </si>
  <si>
    <t xml:space="preserve">  IV.2</t>
  </si>
  <si>
    <t>General and administrative</t>
  </si>
  <si>
    <t>Rent of premises</t>
  </si>
  <si>
    <t>V.</t>
  </si>
  <si>
    <t>OPERATING PROFIT</t>
  </si>
  <si>
    <t>VI.</t>
  </si>
  <si>
    <t>ANOTHER ACTIVITY</t>
  </si>
  <si>
    <t xml:space="preserve">  VI.1.</t>
  </si>
  <si>
    <t>Income</t>
  </si>
  <si>
    <t xml:space="preserve">  VI.2.</t>
  </si>
  <si>
    <t>Costs</t>
  </si>
  <si>
    <t>VII.</t>
  </si>
  <si>
    <t>FINANCING AND INVESTING ACTIVITIES</t>
  </si>
  <si>
    <t xml:space="preserve">  VII.1.</t>
  </si>
  <si>
    <t xml:space="preserve">  VII.2.</t>
  </si>
  <si>
    <t>X.</t>
  </si>
  <si>
    <t>LOSSES</t>
  </si>
  <si>
    <t>XI.</t>
  </si>
  <si>
    <t>XII.</t>
  </si>
  <si>
    <t>INCOME TAX</t>
  </si>
  <si>
    <t>XIII.</t>
  </si>
  <si>
    <t>Actual</t>
  </si>
  <si>
    <t>FIXED ASSETS</t>
  </si>
  <si>
    <t>INTANGIBLE ASSETS</t>
  </si>
  <si>
    <t>Patents and licenses</t>
  </si>
  <si>
    <t>software</t>
  </si>
  <si>
    <t>Other current assets</t>
  </si>
  <si>
    <t>TANGIBLE ASSETS</t>
  </si>
  <si>
    <t>Land</t>
  </si>
  <si>
    <t>Buildings and structures</t>
  </si>
  <si>
    <t>Machinery and equipment</t>
  </si>
  <si>
    <t>Vehicles</t>
  </si>
  <si>
    <t>Other equipment, tools and installations</t>
  </si>
  <si>
    <t>Construction work in progress</t>
  </si>
  <si>
    <t>Financial assets</t>
  </si>
  <si>
    <t>OTHER FIXED ASSETS</t>
  </si>
  <si>
    <t>CURRENT ASSETS</t>
  </si>
  <si>
    <t>STOCKS</t>
  </si>
  <si>
    <t>Raw materials and components</t>
  </si>
  <si>
    <t>Unfinished production</t>
  </si>
  <si>
    <t>Finished products</t>
  </si>
  <si>
    <t>Goods for resale</t>
  </si>
  <si>
    <t>Other</t>
  </si>
  <si>
    <t>AMOUNTS RECEIVABLE DURING ONE YEAR</t>
  </si>
  <si>
    <t>Trade receivables</t>
  </si>
  <si>
    <t>Other receivables</t>
  </si>
  <si>
    <t>OTHER CURRENT ASSETS</t>
  </si>
  <si>
    <t>CASH AND CASH EQUIVALENTS</t>
  </si>
  <si>
    <t>TOTAL ASSETS:</t>
  </si>
  <si>
    <t>PERSONAL CAPITAL</t>
  </si>
  <si>
    <t>CAPITAL:</t>
  </si>
  <si>
    <t>Authorized capital</t>
  </si>
  <si>
    <t>Discount extras</t>
  </si>
  <si>
    <t>REVALUATION RESERVE</t>
  </si>
  <si>
    <t>RESERVES:</t>
  </si>
  <si>
    <t>Mandatory</t>
  </si>
  <si>
    <t>Retained Earnings (LOSS)</t>
  </si>
  <si>
    <t>Profit (loss) for the reporting year</t>
  </si>
  <si>
    <t>Profit (loss) for the previous year</t>
  </si>
  <si>
    <t>GRANTS AND SUBSIDIES</t>
  </si>
  <si>
    <t>PAYMENT SUMS AND LIABILITIES</t>
  </si>
  <si>
    <t>AMOUNTS PAYABLE AFTER ONE YEAR AND NON-CURRENT LIABILITIES</t>
  </si>
  <si>
    <t>Financial debts</t>
  </si>
  <si>
    <t>Other debts</t>
  </si>
  <si>
    <t>AMOUNTS PAYABLE WITHIN ONE YEAR AND CURRENT LIABILITIES</t>
  </si>
  <si>
    <t>Current part of long - term debt</t>
  </si>
  <si>
    <t>Debts to suppliers</t>
  </si>
  <si>
    <t>TOTAL EQUITY AND LIABILITIES:</t>
  </si>
  <si>
    <t>Cash inflow (including VAT):</t>
  </si>
  <si>
    <t>From customers</t>
  </si>
  <si>
    <t>Cash benefits:</t>
  </si>
  <si>
    <t>Money paid to suppliers</t>
  </si>
  <si>
    <t>For wages</t>
  </si>
  <si>
    <t>Fees paid</t>
  </si>
  <si>
    <t>Other benefits</t>
  </si>
  <si>
    <t>Net cash flows from manufacturing activities</t>
  </si>
  <si>
    <t>Acquisition of fixed assets</t>
  </si>
  <si>
    <t>Transfer of fixed assets</t>
  </si>
  <si>
    <t>Other cash flows from investing activities (listed)</t>
  </si>
  <si>
    <t>Net cash flows from investing activities</t>
  </si>
  <si>
    <t>Shareholders' contributions</t>
  </si>
  <si>
    <t>Dividends are paid</t>
  </si>
  <si>
    <t>Obtaining loans</t>
  </si>
  <si>
    <t>Repayment of loans</t>
  </si>
  <si>
    <t>Interest paid</t>
  </si>
  <si>
    <t>Other cash flows from financing activities</t>
  </si>
  <si>
    <t>Net cash flows from financing activities</t>
  </si>
  <si>
    <t>Cash flow</t>
  </si>
  <si>
    <t>Amount of money at the beginning of the year</t>
  </si>
  <si>
    <t>Amount of money at the end of the year</t>
  </si>
  <si>
    <t>Check</t>
  </si>
  <si>
    <t>Balance Sheet</t>
  </si>
  <si>
    <t>EBT</t>
  </si>
  <si>
    <t xml:space="preserve">PROFIT (LOSS) BEFORE TAX </t>
  </si>
  <si>
    <t>EBIT</t>
  </si>
  <si>
    <t>NET INCOME</t>
  </si>
  <si>
    <t>(?)</t>
  </si>
  <si>
    <t>!</t>
  </si>
  <si>
    <t>Year</t>
  </si>
  <si>
    <t>Income Statement, EUR</t>
  </si>
  <si>
    <t>Financing of credit institutions (= bank loan)</t>
  </si>
  <si>
    <t>Private Investment - Receiving</t>
  </si>
  <si>
    <t>Private Investment - Payback</t>
  </si>
  <si>
    <t>Bank Loan - Receiving</t>
  </si>
  <si>
    <t>Growth Rate</t>
  </si>
  <si>
    <t>Additional Sales with finished factory</t>
  </si>
  <si>
    <t xml:space="preserve">Interest Rate Private Investment </t>
  </si>
  <si>
    <t xml:space="preserve">Interest Rate Bank Loan </t>
  </si>
  <si>
    <t xml:space="preserve">IRR </t>
  </si>
  <si>
    <t xml:space="preserve">Payback Period </t>
  </si>
  <si>
    <t xml:space="preserve">Initial Cost of Project </t>
  </si>
  <si>
    <t xml:space="preserve">Opportunity Costs </t>
  </si>
  <si>
    <t xml:space="preserve">ROI </t>
  </si>
  <si>
    <t>PV of Cash Inflow</t>
  </si>
  <si>
    <t xml:space="preserve">Cash Inflow </t>
  </si>
  <si>
    <t>Additional 10 Employees' Salary</t>
  </si>
  <si>
    <t xml:space="preserve">Assumptions: </t>
  </si>
  <si>
    <t>1. we only need the 10 extra people once the factory is finished thus, as of 2020</t>
  </si>
  <si>
    <t>Assumptions:</t>
  </si>
  <si>
    <t>Share of Equity in %</t>
  </si>
  <si>
    <t>Share of Debt in %</t>
  </si>
  <si>
    <t>EQUITY</t>
  </si>
  <si>
    <t>LIABILITIES</t>
  </si>
  <si>
    <t>Avg.</t>
  </si>
  <si>
    <t>Equity &amp; Liability</t>
  </si>
  <si>
    <t>Book Value Share</t>
  </si>
  <si>
    <t xml:space="preserve">  https://curvo.eu/backtest/en/market-index/sp-500?currency=eur </t>
  </si>
  <si>
    <t xml:space="preserve">  As a proxy, I used the S&amp;P 500 Index compound annual growth rate (11%) from the last 32 years </t>
  </si>
  <si>
    <t>building Factory</t>
  </si>
  <si>
    <t>using Factory</t>
  </si>
  <si>
    <t>Assumptions</t>
  </si>
  <si>
    <t>Sales will increase by 50% "from current ones" (aka = sales in year 2017) once factory is finished thus, as of 2020, and then it will continue to grow 10% annually</t>
  </si>
  <si>
    <t>Employees</t>
  </si>
  <si>
    <t>unknown</t>
  </si>
  <si>
    <t>Capital Budgeting Analysis (in EUR)</t>
  </si>
  <si>
    <t>Salary of Project Implementation Team</t>
  </si>
  <si>
    <t xml:space="preserve">avg. Salary 2017: </t>
  </si>
  <si>
    <t>Cost of Equity in %</t>
  </si>
  <si>
    <t>Cost of Debt in %</t>
  </si>
  <si>
    <t>Running Campaign</t>
  </si>
  <si>
    <t>Residual effects of Campaign</t>
  </si>
  <si>
    <t>Additional Sales due to Campaign</t>
  </si>
  <si>
    <t>(Instructions) Sales will increase by 30% annually during the campaign and then 15% in subsequent periods</t>
  </si>
  <si>
    <t>Interest Rate</t>
  </si>
  <si>
    <t xml:space="preserve"> own funds are considered to have a cost of equity of 0%</t>
  </si>
  <si>
    <t xml:space="preserve">(Share of Equity  x  Cost of Equity)  +  (Share of Debt  x  Cost of Debt) = </t>
  </si>
  <si>
    <t>Investment in fixed assets - equipment</t>
  </si>
  <si>
    <t>2. average salary: in 2017 we had 60 employees and wage expenses of EUR 1.37 Mio. Hence, avg. Salary is assumed to equal to EUR 22.808</t>
  </si>
  <si>
    <t>Investment in fixed assets - buildings</t>
  </si>
  <si>
    <t>Purchase of Services</t>
  </si>
  <si>
    <t xml:space="preserve">  Initial Cost*(1+0.11)^5 years</t>
  </si>
  <si>
    <t xml:space="preserve">   Initial Cost*(1+0.11)^5 years</t>
  </si>
  <si>
    <t>Additional Marketing Budget</t>
  </si>
  <si>
    <t>Duration</t>
  </si>
  <si>
    <t>5 years</t>
  </si>
  <si>
    <t>3 years</t>
  </si>
  <si>
    <t>Repayment</t>
  </si>
  <si>
    <t>at expiration</t>
  </si>
  <si>
    <t>EUR 500.000</t>
  </si>
  <si>
    <t>monthly is repaid (Assumption: starting after the 3 years)</t>
  </si>
  <si>
    <t>Additional 10 Employees' Double-Salary</t>
  </si>
  <si>
    <t>Advertising Budget</t>
  </si>
  <si>
    <t xml:space="preserve">Interest Rate  </t>
  </si>
  <si>
    <t>PV of Cash Outflow</t>
  </si>
  <si>
    <t xml:space="preserve">Cost of Capital = WACC  </t>
  </si>
  <si>
    <t>How I calculated the WACC</t>
  </si>
  <si>
    <t>"Today" is Jan. 2018. Thus, Year 0 = 2018</t>
  </si>
  <si>
    <t>Additional Marketing Costs are assumed to be proportional to additional sales thus, 50% increase in 2020 and 10% increase in the subsequent years. Baseline marketing costs can be found in Income Statement for the year 2017.</t>
  </si>
  <si>
    <t xml:space="preserve">NPV (manually calculated)  </t>
  </si>
  <si>
    <t xml:space="preserve">NPV (Excel Fx)  </t>
  </si>
  <si>
    <t>Instructions say that after the campaign, the advertising budgets will fall to EUR 1 Mio. per year. It is assumed that we are talking about the entire company's marketing costs. As we only should consider project-related cash flows in our analysis, I have deducted the 2017 marketing costs from the EUR 1 Mio. for each year</t>
  </si>
  <si>
    <t xml:space="preserve">Bank Loan - Payback </t>
  </si>
  <si>
    <t>(see calculations under "Balance sheet")</t>
  </si>
  <si>
    <r>
      <t xml:space="preserve">2. </t>
    </r>
    <r>
      <rPr>
        <b/>
        <sz val="10"/>
        <color rgb="FF000000"/>
        <rFont val="Aptos Narrow"/>
        <family val="2"/>
        <scheme val="minor"/>
      </rPr>
      <t>Cost of Equity</t>
    </r>
    <r>
      <rPr>
        <sz val="10"/>
        <color rgb="FF000000"/>
        <rFont val="Aptos Narrow"/>
        <family val="2"/>
        <scheme val="minor"/>
      </rPr>
      <t xml:space="preserve"> equals the Interest Rate of the Private Investment, it's 5 % (acc. to instructions)</t>
    </r>
  </si>
  <si>
    <r>
      <t xml:space="preserve">3. </t>
    </r>
    <r>
      <rPr>
        <b/>
        <sz val="10"/>
        <color rgb="FF000000"/>
        <rFont val="Aptos Narrow"/>
        <family val="2"/>
        <scheme val="minor"/>
      </rPr>
      <t xml:space="preserve">Cost of Debt </t>
    </r>
    <r>
      <rPr>
        <sz val="10"/>
        <color rgb="FF000000"/>
        <rFont val="Aptos Narrow"/>
        <family val="2"/>
        <scheme val="minor"/>
      </rPr>
      <t>equals the interest rate of the bank loan (acc. to instructions)</t>
    </r>
  </si>
  <si>
    <r>
      <t xml:space="preserve">1. </t>
    </r>
    <r>
      <rPr>
        <b/>
        <sz val="10"/>
        <color rgb="FF000000"/>
        <rFont val="Aptos Narrow"/>
        <family val="2"/>
        <scheme val="minor"/>
      </rPr>
      <t xml:space="preserve">Share of Equity and Share of Debt </t>
    </r>
    <r>
      <rPr>
        <sz val="10"/>
        <color rgb="FF000000"/>
        <rFont val="Aptos Narrow"/>
        <family val="2"/>
        <scheme val="minor"/>
      </rPr>
      <t>equal the last (2017) book value of the balance sheet</t>
    </r>
  </si>
  <si>
    <t xml:space="preserve"> (Profit / Costs =&gt; NPV / Cumulative Cash Outflows of Project)</t>
  </si>
  <si>
    <t>in terms of todays EUR, this is worth about EUR 11.5 Mio in Cash Inflows</t>
  </si>
  <si>
    <t>Never include interest payments as cash flows within an NPV calculation as these are already taken account of by the cost of capital</t>
  </si>
  <si>
    <t xml:space="preserve">NPV  </t>
  </si>
  <si>
    <t>Cumulative PV of Cash Inflow</t>
  </si>
  <si>
    <t>Cumulative PV of Cash Outflow</t>
  </si>
  <si>
    <t xml:space="preserve">  (see under sheet "Investment Details" how WACC was calculated)</t>
  </si>
  <si>
    <t xml:space="preserve">Cumulative Net Cash Flow  </t>
  </si>
  <si>
    <t xml:space="preserve"> --&gt;</t>
  </si>
  <si>
    <t>Additional Cost of Sales</t>
  </si>
  <si>
    <t>The additional products that we produce with our new factory will also require their own material. It is assumed that the Material Costs are proportional to additional sales thus, 50% increase in 2020 and 10% increase in the subsequent years. Baseline "Cost of Sales" can be found in Income Statement for the year 2017.</t>
  </si>
  <si>
    <t>Additional Costs of Sales are assumed to increase proportionally to increased sales thus an annual increase of 30% during the campaign, and an annual increase of 15% in subsequent years</t>
  </si>
  <si>
    <t>Average Salary is calculated the same way as in Project 1</t>
  </si>
  <si>
    <t>Time Horizon was chosen to be 7 years for both projects to harmonize a bit the comparability. I settled with 7 years because it feels intuitive that building a factory needs longer until it "pays back" and because the Campaign project has a payback period of almost 7 years</t>
  </si>
  <si>
    <t>Project 2: Marketing Campaign and New Electronic Product</t>
  </si>
  <si>
    <t>7 years</t>
  </si>
  <si>
    <t>Time Horizon of Analysis</t>
  </si>
  <si>
    <t>Cumulative PV of Net Cash Flow</t>
  </si>
  <si>
    <t>Cumulative FV of Net Cash Flow</t>
  </si>
  <si>
    <r>
      <t xml:space="preserve">Net Cash Flow of </t>
    </r>
    <r>
      <rPr>
        <b/>
        <sz val="10"/>
        <color rgb="FF0033CC"/>
        <rFont val="Calibri"/>
        <family val="2"/>
      </rPr>
      <t>Future Value (FV)</t>
    </r>
  </si>
  <si>
    <r>
      <t xml:space="preserve">Net Cash Flow of </t>
    </r>
    <r>
      <rPr>
        <b/>
        <sz val="10"/>
        <color rgb="FF0033CC"/>
        <rFont val="Calibri"/>
        <family val="2"/>
      </rPr>
      <t>Present Value (PV)</t>
    </r>
  </si>
  <si>
    <r>
      <rPr>
        <sz val="14"/>
        <rFont val="Calibri"/>
        <family val="2"/>
      </rPr>
      <t xml:space="preserve">Recommendation: Go ahead with </t>
    </r>
    <r>
      <rPr>
        <b/>
        <sz val="14"/>
        <rFont val="Calibri"/>
        <family val="2"/>
      </rPr>
      <t>Projet 1</t>
    </r>
    <r>
      <rPr>
        <sz val="14"/>
        <rFont val="Calibri"/>
        <family val="2"/>
      </rPr>
      <t>, building a Factory</t>
    </r>
  </si>
  <si>
    <t>Conclusion based on Capital Budgeting Analysis</t>
  </si>
  <si>
    <t>x</t>
  </si>
  <si>
    <t>maybe able to negotiate better prices with suppliers - maybe 5% less</t>
  </si>
  <si>
    <t>For salary: inflation rate would be good to be considered (monthly) - maybe 3 or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</si>
</sst>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_);_(* \(#,##0\);_(* &quot;-&quot;??_);_(@_)"/>
    <numFmt numFmtId="165" formatCode="_-* #,##0\ _€_-;\-* #,##0\ _€_-;_-* &quot;-&quot;??\ _€_-;_-@"/>
    <numFmt numFmtId="166" formatCode="0.000%"/>
    <numFmt numFmtId="167" formatCode="_(* #,##0_);_(* \(#,##0\);_(* &quot;-&quot;_);_(@_)"/>
    <numFmt numFmtId="168" formatCode="_ * #,##0_ ;_ * \-#,##0_ ;_ * &quot;-&quot;??_ ;_ @_ "/>
    <numFmt numFmtId="169" formatCode="#.##&quot; years&quot;"/>
  </numFmts>
  <fonts count="5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b/>
      <sz val="10"/>
      <color theme="1"/>
      <name val="Arial"/>
    </font>
    <font>
      <sz val="10"/>
      <name val="Arial"/>
    </font>
    <font>
      <sz val="11"/>
      <color rgb="FF000000"/>
      <name val="Calibri"/>
    </font>
    <font>
      <sz val="10"/>
      <color theme="1"/>
      <name val="Arial"/>
    </font>
    <font>
      <b/>
      <sz val="11"/>
      <color rgb="FF000000"/>
      <name val="Calibri"/>
    </font>
    <font>
      <i/>
      <sz val="10"/>
      <color theme="1"/>
      <name val="Arial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theme="1"/>
      <name val="Calibri Light"/>
      <family val="2"/>
    </font>
    <font>
      <sz val="10"/>
      <name val="Calibri Light"/>
      <family val="2"/>
    </font>
    <font>
      <i/>
      <sz val="10"/>
      <color rgb="FF000000"/>
      <name val="Calibri Light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theme="0"/>
      <name val="Calibri Light"/>
      <family val="2"/>
    </font>
    <font>
      <b/>
      <sz val="10"/>
      <color theme="0"/>
      <name val="Calibri Light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0432FF"/>
      <name val="Calibri"/>
      <family val="2"/>
    </font>
    <font>
      <b/>
      <sz val="14"/>
      <color theme="1"/>
      <name val="Calibri"/>
      <family val="2"/>
    </font>
    <font>
      <sz val="18"/>
      <color theme="1"/>
      <name val="Calibri"/>
      <family val="2"/>
    </font>
    <font>
      <b/>
      <sz val="12"/>
      <color theme="1"/>
      <name val="Calibri Light"/>
      <family val="2"/>
    </font>
    <font>
      <sz val="9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ptos Narrow"/>
      <family val="2"/>
      <scheme val="minor"/>
    </font>
    <font>
      <sz val="8"/>
      <color theme="1"/>
      <name val="Calibri"/>
      <family val="2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Aptos Narrow"/>
      <family val="2"/>
      <scheme val="minor"/>
    </font>
    <font>
      <b/>
      <sz val="10"/>
      <name val="Calibri"/>
      <family val="2"/>
    </font>
    <font>
      <sz val="10"/>
      <color rgb="FFFF0000"/>
      <name val="Aptos Narrow"/>
      <family val="2"/>
      <scheme val="minor"/>
    </font>
    <font>
      <sz val="10"/>
      <color rgb="FF0033CC"/>
      <name val="Calibri"/>
      <family val="2"/>
    </font>
    <font>
      <sz val="10"/>
      <color rgb="FF0033CC"/>
      <name val="Aptos Narrow"/>
      <family val="2"/>
      <scheme val="minor"/>
    </font>
    <font>
      <b/>
      <sz val="10"/>
      <color rgb="FF0033CC"/>
      <name val="Calibri"/>
      <family val="2"/>
    </font>
    <font>
      <b/>
      <sz val="10"/>
      <color rgb="FF0033CC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0"/>
      <color theme="5"/>
      <name val="Aptos Narrow"/>
      <family val="2"/>
      <scheme val="minor"/>
    </font>
    <font>
      <sz val="9"/>
      <color theme="5"/>
      <name val="Aptos Narrow"/>
      <family val="2"/>
      <scheme val="minor"/>
    </font>
    <font>
      <sz val="10"/>
      <color theme="5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rgb="FFFFFF99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rgb="FFD9E2F3"/>
      </patternFill>
    </fill>
    <fill>
      <patternFill patternType="solid">
        <fgColor rgb="FFD8E4BC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ashed">
        <color theme="0" tint="-0.249977111117893"/>
      </left>
      <right style="dashed">
        <color theme="0" tint="-0.249977111117893"/>
      </right>
      <top style="dashed">
        <color theme="0" tint="-0.249977111117893"/>
      </top>
      <bottom style="dashed">
        <color theme="0" tint="-0.249977111117893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dashed">
        <color theme="0" tint="-0.249977111117893"/>
      </left>
      <right style="dashed">
        <color theme="0" tint="-0.249977111117893"/>
      </right>
      <top/>
      <bottom style="dashed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5" fillId="0" borderId="0" applyNumberFormat="0" applyFill="0" applyBorder="0" applyAlignment="0" applyProtection="0"/>
  </cellStyleXfs>
  <cellXfs count="256">
    <xf numFmtId="0" fontId="0" fillId="0" borderId="0" xfId="0"/>
    <xf numFmtId="0" fontId="2" fillId="0" borderId="0" xfId="3"/>
    <xf numFmtId="0" fontId="3" fillId="0" borderId="0" xfId="3" applyFont="1"/>
    <xf numFmtId="0" fontId="8" fillId="0" borderId="0" xfId="3" applyFont="1"/>
    <xf numFmtId="0" fontId="3" fillId="0" borderId="8" xfId="3" applyFont="1" applyBorder="1" applyAlignment="1">
      <alignment horizontal="center" vertical="center"/>
    </xf>
    <xf numFmtId="0" fontId="10" fillId="0" borderId="0" xfId="3" applyFont="1"/>
    <xf numFmtId="0" fontId="12" fillId="0" borderId="0" xfId="3" applyFont="1"/>
    <xf numFmtId="167" fontId="12" fillId="0" borderId="0" xfId="3" applyNumberFormat="1" applyFont="1"/>
    <xf numFmtId="0" fontId="13" fillId="0" borderId="0" xfId="3" applyFont="1"/>
    <xf numFmtId="0" fontId="14" fillId="0" borderId="0" xfId="3" applyFont="1"/>
    <xf numFmtId="0" fontId="14" fillId="0" borderId="0" xfId="3" applyFont="1" applyAlignment="1">
      <alignment horizontal="left"/>
    </xf>
    <xf numFmtId="3" fontId="14" fillId="0" borderId="0" xfId="3" applyNumberFormat="1" applyFont="1" applyAlignment="1">
      <alignment horizontal="right"/>
    </xf>
    <xf numFmtId="0" fontId="16" fillId="0" borderId="0" xfId="3" applyFont="1" applyAlignment="1">
      <alignment vertical="center" wrapText="1"/>
    </xf>
    <xf numFmtId="3" fontId="12" fillId="0" borderId="0" xfId="3" applyNumberFormat="1" applyFont="1" applyAlignment="1">
      <alignment vertical="center" wrapText="1"/>
    </xf>
    <xf numFmtId="3" fontId="14" fillId="0" borderId="0" xfId="3" applyNumberFormat="1" applyFont="1"/>
    <xf numFmtId="0" fontId="12" fillId="0" borderId="0" xfId="3" applyFont="1" applyAlignment="1">
      <alignment horizontal="left"/>
    </xf>
    <xf numFmtId="3" fontId="12" fillId="0" borderId="0" xfId="3" applyNumberFormat="1" applyFont="1"/>
    <xf numFmtId="1" fontId="12" fillId="0" borderId="0" xfId="3" applyNumberFormat="1" applyFont="1"/>
    <xf numFmtId="0" fontId="17" fillId="0" borderId="0" xfId="3" applyFont="1"/>
    <xf numFmtId="0" fontId="18" fillId="0" borderId="0" xfId="3" applyFont="1"/>
    <xf numFmtId="0" fontId="19" fillId="0" borderId="3" xfId="3" applyFont="1" applyBorder="1" applyAlignment="1">
      <alignment wrapText="1"/>
    </xf>
    <xf numFmtId="3" fontId="17" fillId="0" borderId="7" xfId="3" applyNumberFormat="1" applyFont="1" applyBorder="1"/>
    <xf numFmtId="3" fontId="17" fillId="0" borderId="8" xfId="3" applyNumberFormat="1" applyFont="1" applyBorder="1"/>
    <xf numFmtId="3" fontId="17" fillId="0" borderId="9" xfId="3" applyNumberFormat="1" applyFont="1" applyBorder="1"/>
    <xf numFmtId="3" fontId="17" fillId="0" borderId="10" xfId="3" applyNumberFormat="1" applyFont="1" applyBorder="1"/>
    <xf numFmtId="3" fontId="17" fillId="0" borderId="0" xfId="3" applyNumberFormat="1" applyFont="1"/>
    <xf numFmtId="3" fontId="17" fillId="0" borderId="3" xfId="3" applyNumberFormat="1" applyFont="1" applyBorder="1" applyAlignment="1">
      <alignment vertical="center" wrapText="1"/>
    </xf>
    <xf numFmtId="3" fontId="19" fillId="0" borderId="3" xfId="3" applyNumberFormat="1" applyFont="1" applyBorder="1" applyAlignment="1">
      <alignment vertical="center" wrapText="1"/>
    </xf>
    <xf numFmtId="0" fontId="17" fillId="0" borderId="4" xfId="3" applyFont="1" applyBorder="1" applyAlignment="1">
      <alignment vertical="center" wrapText="1"/>
    </xf>
    <xf numFmtId="3" fontId="17" fillId="0" borderId="4" xfId="3" applyNumberFormat="1" applyFont="1" applyBorder="1" applyAlignment="1">
      <alignment vertical="center" wrapText="1"/>
    </xf>
    <xf numFmtId="0" fontId="19" fillId="0" borderId="1" xfId="3" applyFont="1" applyBorder="1" applyAlignment="1">
      <alignment horizontal="center" vertical="center"/>
    </xf>
    <xf numFmtId="0" fontId="19" fillId="0" borderId="5" xfId="3" applyFont="1" applyBorder="1" applyAlignment="1">
      <alignment wrapText="1"/>
    </xf>
    <xf numFmtId="3" fontId="17" fillId="0" borderId="16" xfId="3" applyNumberFormat="1" applyFont="1" applyBorder="1"/>
    <xf numFmtId="3" fontId="19" fillId="0" borderId="15" xfId="3" applyNumberFormat="1" applyFont="1" applyBorder="1"/>
    <xf numFmtId="0" fontId="17" fillId="0" borderId="16" xfId="3" applyFont="1" applyBorder="1"/>
    <xf numFmtId="0" fontId="17" fillId="0" borderId="20" xfId="3" applyFont="1" applyBorder="1" applyAlignment="1">
      <alignment horizontal="left"/>
    </xf>
    <xf numFmtId="0" fontId="17" fillId="0" borderId="21" xfId="3" applyFont="1" applyBorder="1" applyAlignment="1">
      <alignment horizontal="left"/>
    </xf>
    <xf numFmtId="0" fontId="17" fillId="0" borderId="22" xfId="3" applyFont="1" applyBorder="1" applyAlignment="1">
      <alignment horizontal="left"/>
    </xf>
    <xf numFmtId="0" fontId="17" fillId="0" borderId="18" xfId="3" applyFont="1" applyBorder="1"/>
    <xf numFmtId="0" fontId="19" fillId="0" borderId="23" xfId="3" applyFont="1" applyBorder="1"/>
    <xf numFmtId="3" fontId="19" fillId="0" borderId="24" xfId="3" applyNumberFormat="1" applyFont="1" applyBorder="1"/>
    <xf numFmtId="0" fontId="19" fillId="0" borderId="25" xfId="3" applyFont="1" applyBorder="1"/>
    <xf numFmtId="0" fontId="19" fillId="0" borderId="0" xfId="3" applyFont="1" applyAlignment="1">
      <alignment horizontal="center" vertical="center"/>
    </xf>
    <xf numFmtId="0" fontId="19" fillId="0" borderId="13" xfId="3" applyFont="1" applyBorder="1" applyAlignment="1">
      <alignment wrapText="1"/>
    </xf>
    <xf numFmtId="0" fontId="17" fillId="5" borderId="5" xfId="3" applyFont="1" applyFill="1" applyBorder="1" applyAlignment="1">
      <alignment horizontal="left"/>
    </xf>
    <xf numFmtId="3" fontId="17" fillId="5" borderId="3" xfId="3" applyNumberFormat="1" applyFont="1" applyFill="1" applyBorder="1"/>
    <xf numFmtId="0" fontId="17" fillId="5" borderId="5" xfId="3" applyFont="1" applyFill="1" applyBorder="1"/>
    <xf numFmtId="0" fontId="17" fillId="5" borderId="19" xfId="3" applyFont="1" applyFill="1" applyBorder="1"/>
    <xf numFmtId="3" fontId="17" fillId="5" borderId="14" xfId="3" applyNumberFormat="1" applyFont="1" applyFill="1" applyBorder="1"/>
    <xf numFmtId="0" fontId="12" fillId="0" borderId="0" xfId="3" applyFont="1" applyAlignment="1">
      <alignment horizontal="center" vertical="center" wrapText="1"/>
    </xf>
    <xf numFmtId="0" fontId="14" fillId="0" borderId="0" xfId="3" applyFont="1" applyAlignment="1">
      <alignment horizontal="center"/>
    </xf>
    <xf numFmtId="3" fontId="12" fillId="0" borderId="0" xfId="3" applyNumberFormat="1" applyFont="1" applyAlignment="1">
      <alignment horizontal="right"/>
    </xf>
    <xf numFmtId="0" fontId="22" fillId="0" borderId="0" xfId="3" applyFont="1"/>
    <xf numFmtId="0" fontId="23" fillId="0" borderId="0" xfId="3" applyFont="1" applyAlignment="1">
      <alignment horizontal="left"/>
    </xf>
    <xf numFmtId="0" fontId="22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2" fillId="0" borderId="16" xfId="3" applyBorder="1"/>
    <xf numFmtId="0" fontId="2" fillId="0" borderId="18" xfId="3" applyBorder="1"/>
    <xf numFmtId="0" fontId="3" fillId="0" borderId="12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5" fillId="0" borderId="29" xfId="3" applyFont="1" applyBorder="1" applyAlignment="1">
      <alignment horizontal="left" vertical="center"/>
    </xf>
    <xf numFmtId="0" fontId="7" fillId="0" borderId="29" xfId="3" applyFont="1" applyBorder="1" applyAlignment="1">
      <alignment vertical="center"/>
    </xf>
    <xf numFmtId="0" fontId="5" fillId="0" borderId="31" xfId="3" applyFont="1" applyBorder="1" applyAlignment="1">
      <alignment horizontal="left" vertical="center"/>
    </xf>
    <xf numFmtId="0" fontId="3" fillId="0" borderId="30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4" fillId="0" borderId="8" xfId="3" applyFont="1" applyBorder="1" applyAlignment="1">
      <alignment vertical="center"/>
    </xf>
    <xf numFmtId="0" fontId="9" fillId="0" borderId="0" xfId="0" applyFont="1"/>
    <xf numFmtId="0" fontId="19" fillId="0" borderId="1" xfId="0" applyFont="1" applyBorder="1"/>
    <xf numFmtId="0" fontId="24" fillId="0" borderId="0" xfId="0" applyFont="1"/>
    <xf numFmtId="0" fontId="17" fillId="0" borderId="0" xfId="0" applyFont="1"/>
    <xf numFmtId="0" fontId="19" fillId="3" borderId="1" xfId="0" applyFont="1" applyFill="1" applyBorder="1" applyAlignment="1">
      <alignment horizontal="center"/>
    </xf>
    <xf numFmtId="165" fontId="17" fillId="0" borderId="0" xfId="0" applyNumberFormat="1" applyFont="1"/>
    <xf numFmtId="166" fontId="17" fillId="0" borderId="0" xfId="0" applyNumberFormat="1" applyFont="1"/>
    <xf numFmtId="0" fontId="19" fillId="0" borderId="2" xfId="0" applyFont="1" applyBorder="1"/>
    <xf numFmtId="164" fontId="19" fillId="0" borderId="2" xfId="0" applyNumberFormat="1" applyFont="1" applyBorder="1"/>
    <xf numFmtId="9" fontId="17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7" fillId="0" borderId="1" xfId="0" applyFont="1" applyBorder="1"/>
    <xf numFmtId="0" fontId="19" fillId="0" borderId="32" xfId="3" applyFont="1" applyBorder="1" applyAlignment="1">
      <alignment horizontal="center" vertical="center"/>
    </xf>
    <xf numFmtId="0" fontId="17" fillId="0" borderId="33" xfId="3" applyFont="1" applyBorder="1"/>
    <xf numFmtId="0" fontId="17" fillId="5" borderId="34" xfId="3" applyFont="1" applyFill="1" applyBorder="1"/>
    <xf numFmtId="168" fontId="17" fillId="0" borderId="0" xfId="1" applyNumberFormat="1" applyFont="1"/>
    <xf numFmtId="10" fontId="19" fillId="6" borderId="3" xfId="0" applyNumberFormat="1" applyFont="1" applyFill="1" applyBorder="1" applyAlignment="1">
      <alignment horizontal="center"/>
    </xf>
    <xf numFmtId="0" fontId="18" fillId="0" borderId="5" xfId="3" applyFont="1" applyBorder="1" applyAlignment="1">
      <alignment vertical="center" wrapText="1"/>
    </xf>
    <xf numFmtId="0" fontId="21" fillId="0" borderId="5" xfId="3" applyFont="1" applyBorder="1" applyAlignment="1">
      <alignment vertical="center" wrapText="1"/>
    </xf>
    <xf numFmtId="0" fontId="18" fillId="0" borderId="35" xfId="3" applyFont="1" applyBorder="1" applyAlignment="1">
      <alignment vertical="center" wrapText="1"/>
    </xf>
    <xf numFmtId="3" fontId="19" fillId="0" borderId="15" xfId="3" applyNumberFormat="1" applyFont="1" applyBorder="1" applyAlignment="1">
      <alignment vertical="center" wrapText="1"/>
    </xf>
    <xf numFmtId="0" fontId="18" fillId="0" borderId="11" xfId="3" applyFont="1" applyBorder="1" applyAlignment="1">
      <alignment vertical="center" wrapText="1"/>
    </xf>
    <xf numFmtId="0" fontId="21" fillId="0" borderId="35" xfId="3" applyFont="1" applyBorder="1" applyAlignment="1">
      <alignment vertical="center" wrapText="1"/>
    </xf>
    <xf numFmtId="167" fontId="12" fillId="0" borderId="36" xfId="3" applyNumberFormat="1" applyFont="1" applyBorder="1"/>
    <xf numFmtId="0" fontId="30" fillId="0" borderId="0" xfId="0" applyFont="1" applyAlignment="1">
      <alignment vertical="center"/>
    </xf>
    <xf numFmtId="0" fontId="9" fillId="0" borderId="39" xfId="0" applyFont="1" applyBorder="1"/>
    <xf numFmtId="0" fontId="32" fillId="0" borderId="16" xfId="3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164" fontId="26" fillId="4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9" fillId="0" borderId="0" xfId="0" applyFont="1" applyAlignment="1">
      <alignment horizontal="left" indent="2"/>
    </xf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33" fillId="0" borderId="0" xfId="3" applyFont="1"/>
    <xf numFmtId="0" fontId="10" fillId="0" borderId="0" xfId="3" applyFont="1" applyAlignment="1">
      <alignment horizontal="left" indent="2"/>
    </xf>
    <xf numFmtId="0" fontId="10" fillId="0" borderId="0" xfId="3" applyFont="1" applyAlignment="1">
      <alignment horizontal="right"/>
    </xf>
    <xf numFmtId="0" fontId="17" fillId="5" borderId="5" xfId="3" applyFont="1" applyFill="1" applyBorder="1" applyAlignment="1">
      <alignment horizontal="left" indent="2"/>
    </xf>
    <xf numFmtId="0" fontId="17" fillId="0" borderId="20" xfId="3" applyFont="1" applyBorder="1" applyAlignment="1">
      <alignment horizontal="left" indent="2"/>
    </xf>
    <xf numFmtId="0" fontId="17" fillId="0" borderId="22" xfId="3" applyFont="1" applyBorder="1" applyAlignment="1">
      <alignment horizontal="left" indent="2"/>
    </xf>
    <xf numFmtId="0" fontId="17" fillId="0" borderId="20" xfId="3" applyFont="1" applyBorder="1" applyAlignment="1">
      <alignment horizontal="left" indent="4"/>
    </xf>
    <xf numFmtId="0" fontId="17" fillId="0" borderId="21" xfId="3" applyFont="1" applyBorder="1" applyAlignment="1">
      <alignment horizontal="left" indent="4"/>
    </xf>
    <xf numFmtId="0" fontId="17" fillId="0" borderId="22" xfId="3" applyFont="1" applyBorder="1" applyAlignment="1">
      <alignment horizontal="left" indent="4"/>
    </xf>
    <xf numFmtId="0" fontId="18" fillId="0" borderId="4" xfId="3" applyFont="1" applyBorder="1"/>
    <xf numFmtId="0" fontId="17" fillId="0" borderId="20" xfId="3" applyFont="1" applyBorder="1" applyAlignment="1">
      <alignment horizontal="left" indent="5"/>
    </xf>
    <xf numFmtId="0" fontId="17" fillId="0" borderId="21" xfId="3" applyFont="1" applyBorder="1" applyAlignment="1">
      <alignment horizontal="left" indent="5"/>
    </xf>
    <xf numFmtId="0" fontId="17" fillId="0" borderId="22" xfId="3" applyFont="1" applyBorder="1" applyAlignment="1">
      <alignment horizontal="left" indent="5"/>
    </xf>
    <xf numFmtId="0" fontId="17" fillId="5" borderId="34" xfId="3" applyFont="1" applyFill="1" applyBorder="1" applyAlignment="1">
      <alignment horizontal="left" indent="2"/>
    </xf>
    <xf numFmtId="0" fontId="17" fillId="0" borderId="41" xfId="3" applyFont="1" applyBorder="1" applyAlignment="1">
      <alignment horizontal="left" indent="5"/>
    </xf>
    <xf numFmtId="3" fontId="17" fillId="0" borderId="42" xfId="3" applyNumberFormat="1" applyFont="1" applyBorder="1"/>
    <xf numFmtId="3" fontId="17" fillId="0" borderId="33" xfId="3" applyNumberFormat="1" applyFont="1" applyBorder="1"/>
    <xf numFmtId="0" fontId="17" fillId="0" borderId="12" xfId="3" applyFont="1" applyBorder="1" applyAlignment="1">
      <alignment horizontal="left" indent="4"/>
    </xf>
    <xf numFmtId="9" fontId="2" fillId="0" borderId="0" xfId="3" applyNumberFormat="1"/>
    <xf numFmtId="9" fontId="17" fillId="0" borderId="43" xfId="2" applyFont="1" applyBorder="1" applyAlignment="1">
      <alignment vertical="center"/>
    </xf>
    <xf numFmtId="0" fontId="18" fillId="0" borderId="39" xfId="3" applyFont="1" applyBorder="1"/>
    <xf numFmtId="0" fontId="18" fillId="0" borderId="43" xfId="3" applyFont="1" applyBorder="1"/>
    <xf numFmtId="0" fontId="17" fillId="0" borderId="39" xfId="3" applyFont="1" applyBorder="1"/>
    <xf numFmtId="9" fontId="17" fillId="0" borderId="39" xfId="2" applyFont="1" applyBorder="1" applyAlignment="1">
      <alignment vertical="center"/>
    </xf>
    <xf numFmtId="0" fontId="19" fillId="0" borderId="0" xfId="3" applyFont="1"/>
    <xf numFmtId="0" fontId="10" fillId="0" borderId="0" xfId="3" applyFont="1" applyAlignment="1">
      <alignment horizontal="left" indent="3"/>
    </xf>
    <xf numFmtId="0" fontId="36" fillId="0" borderId="0" xfId="4" applyFont="1"/>
    <xf numFmtId="168" fontId="19" fillId="6" borderId="3" xfId="1" applyNumberFormat="1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/>
    </xf>
    <xf numFmtId="0" fontId="19" fillId="3" borderId="44" xfId="0" applyFont="1" applyFill="1" applyBorder="1" applyAlignment="1">
      <alignment horizontal="center"/>
    </xf>
    <xf numFmtId="0" fontId="15" fillId="0" borderId="0" xfId="3" applyFont="1"/>
    <xf numFmtId="1" fontId="12" fillId="0" borderId="0" xfId="3" applyNumberFormat="1" applyFont="1" applyAlignment="1">
      <alignment horizontal="center" vertical="center" wrapText="1"/>
    </xf>
    <xf numFmtId="0" fontId="15" fillId="0" borderId="0" xfId="3" applyFont="1" applyAlignment="1">
      <alignment horizontal="right"/>
    </xf>
    <xf numFmtId="9" fontId="12" fillId="0" borderId="0" xfId="2" applyFont="1"/>
    <xf numFmtId="0" fontId="9" fillId="0" borderId="0" xfId="0" applyFont="1" applyAlignment="1">
      <alignment horizontal="right"/>
    </xf>
    <xf numFmtId="0" fontId="12" fillId="0" borderId="0" xfId="3" applyFont="1" applyAlignment="1">
      <alignment horizontal="right"/>
    </xf>
    <xf numFmtId="168" fontId="12" fillId="0" borderId="0" xfId="1" applyNumberFormat="1" applyFont="1"/>
    <xf numFmtId="168" fontId="9" fillId="0" borderId="0" xfId="1" applyNumberFormat="1" applyFont="1"/>
    <xf numFmtId="0" fontId="14" fillId="0" borderId="0" xfId="3" applyFont="1" applyAlignment="1">
      <alignment horizontal="right"/>
    </xf>
    <xf numFmtId="168" fontId="14" fillId="0" borderId="0" xfId="1" applyNumberFormat="1" applyFont="1"/>
    <xf numFmtId="9" fontId="12" fillId="0" borderId="0" xfId="2" applyFont="1" applyAlignment="1">
      <alignment horizontal="center"/>
    </xf>
    <xf numFmtId="0" fontId="13" fillId="0" borderId="0" xfId="3" applyFont="1" applyAlignment="1">
      <alignment horizontal="center"/>
    </xf>
    <xf numFmtId="0" fontId="17" fillId="8" borderId="0" xfId="0" applyFont="1" applyFill="1" applyAlignment="1">
      <alignment horizontal="center"/>
    </xf>
    <xf numFmtId="0" fontId="17" fillId="0" borderId="0" xfId="0" applyFont="1" applyAlignment="1">
      <alignment horizontal="right"/>
    </xf>
    <xf numFmtId="0" fontId="31" fillId="0" borderId="29" xfId="3" applyFont="1" applyBorder="1" applyAlignment="1">
      <alignment horizontal="left" vertical="center"/>
    </xf>
    <xf numFmtId="0" fontId="39" fillId="7" borderId="0" xfId="3" applyFont="1" applyFill="1"/>
    <xf numFmtId="0" fontId="3" fillId="0" borderId="16" xfId="3" applyFont="1" applyBorder="1"/>
    <xf numFmtId="9" fontId="26" fillId="0" borderId="0" xfId="0" applyNumberFormat="1" applyFont="1" applyAlignment="1">
      <alignment horizontal="left"/>
    </xf>
    <xf numFmtId="1" fontId="26" fillId="0" borderId="0" xfId="0" applyNumberFormat="1" applyFont="1" applyAlignment="1">
      <alignment horizontal="center"/>
    </xf>
    <xf numFmtId="0" fontId="3" fillId="7" borderId="0" xfId="3" applyFont="1" applyFill="1"/>
    <xf numFmtId="0" fontId="25" fillId="2" borderId="0" xfId="0" applyFont="1" applyFill="1" applyAlignment="1">
      <alignment horizontal="left" vertical="center"/>
    </xf>
    <xf numFmtId="0" fontId="19" fillId="0" borderId="45" xfId="0" applyFont="1" applyBorder="1" applyAlignment="1">
      <alignment horizontal="left" indent="1"/>
    </xf>
    <xf numFmtId="164" fontId="19" fillId="0" borderId="45" xfId="0" applyNumberFormat="1" applyFont="1" applyBorder="1"/>
    <xf numFmtId="0" fontId="33" fillId="0" borderId="0" xfId="3" applyFont="1" applyAlignment="1">
      <alignment horizontal="right"/>
    </xf>
    <xf numFmtId="9" fontId="33" fillId="0" borderId="0" xfId="2" applyFont="1"/>
    <xf numFmtId="0" fontId="19" fillId="3" borderId="18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/>
    </xf>
    <xf numFmtId="0" fontId="19" fillId="3" borderId="39" xfId="0" applyFont="1" applyFill="1" applyBorder="1" applyAlignment="1">
      <alignment horizontal="center"/>
    </xf>
    <xf numFmtId="0" fontId="19" fillId="3" borderId="46" xfId="0" applyFont="1" applyFill="1" applyBorder="1" applyAlignment="1">
      <alignment horizontal="center"/>
    </xf>
    <xf numFmtId="169" fontId="19" fillId="6" borderId="3" xfId="0" applyNumberFormat="1" applyFont="1" applyFill="1" applyBorder="1" applyAlignment="1">
      <alignment horizontal="center"/>
    </xf>
    <xf numFmtId="0" fontId="19" fillId="0" borderId="45" xfId="0" applyFont="1" applyBorder="1"/>
    <xf numFmtId="168" fontId="40" fillId="6" borderId="3" xfId="1" applyNumberFormat="1" applyFont="1" applyFill="1" applyBorder="1" applyAlignment="1">
      <alignment horizontal="center"/>
    </xf>
    <xf numFmtId="0" fontId="41" fillId="0" borderId="0" xfId="0" applyFont="1"/>
    <xf numFmtId="0" fontId="10" fillId="0" borderId="0" xfId="3" applyFont="1" applyAlignment="1">
      <alignment horizontal="left" indent="4"/>
    </xf>
    <xf numFmtId="164" fontId="9" fillId="0" borderId="0" xfId="0" applyNumberFormat="1" applyFont="1" applyAlignment="1">
      <alignment horizontal="left"/>
    </xf>
    <xf numFmtId="9" fontId="20" fillId="0" borderId="3" xfId="0" applyNumberFormat="1" applyFont="1" applyBorder="1" applyAlignment="1">
      <alignment horizontal="center"/>
    </xf>
    <xf numFmtId="164" fontId="42" fillId="4" borderId="0" xfId="0" applyNumberFormat="1" applyFont="1" applyFill="1"/>
    <xf numFmtId="0" fontId="43" fillId="0" borderId="0" xfId="0" applyFont="1"/>
    <xf numFmtId="164" fontId="42" fillId="4" borderId="16" xfId="0" applyNumberFormat="1" applyFont="1" applyFill="1" applyBorder="1"/>
    <xf numFmtId="164" fontId="44" fillId="4" borderId="0" xfId="0" applyNumberFormat="1" applyFont="1" applyFill="1"/>
    <xf numFmtId="164" fontId="42" fillId="0" borderId="0" xfId="0" applyNumberFormat="1" applyFont="1"/>
    <xf numFmtId="0" fontId="43" fillId="0" borderId="16" xfId="0" applyFont="1" applyBorder="1"/>
    <xf numFmtId="164" fontId="45" fillId="0" borderId="0" xfId="0" applyNumberFormat="1" applyFont="1"/>
    <xf numFmtId="9" fontId="44" fillId="0" borderId="3" xfId="0" applyNumberFormat="1" applyFont="1" applyBorder="1" applyAlignment="1">
      <alignment horizontal="center"/>
    </xf>
    <xf numFmtId="164" fontId="44" fillId="4" borderId="40" xfId="0" applyNumberFormat="1" applyFont="1" applyFill="1" applyBorder="1" applyAlignment="1">
      <alignment horizontal="center" vertical="center"/>
    </xf>
    <xf numFmtId="164" fontId="42" fillId="0" borderId="16" xfId="0" applyNumberFormat="1" applyFont="1" applyBorder="1"/>
    <xf numFmtId="164" fontId="44" fillId="4" borderId="38" xfId="0" applyNumberFormat="1" applyFont="1" applyFill="1" applyBorder="1" applyAlignment="1">
      <alignment horizontal="center" vertical="center"/>
    </xf>
    <xf numFmtId="1" fontId="44" fillId="0" borderId="28" xfId="0" applyNumberFormat="1" applyFont="1" applyBorder="1" applyAlignment="1">
      <alignment horizontal="center"/>
    </xf>
    <xf numFmtId="164" fontId="44" fillId="0" borderId="0" xfId="0" applyNumberFormat="1" applyFont="1" applyAlignment="1">
      <alignment horizontal="center"/>
    </xf>
    <xf numFmtId="9" fontId="44" fillId="0" borderId="0" xfId="0" applyNumberFormat="1" applyFont="1" applyAlignment="1">
      <alignment horizontal="center"/>
    </xf>
    <xf numFmtId="164" fontId="44" fillId="0" borderId="0" xfId="0" applyNumberFormat="1" applyFont="1"/>
    <xf numFmtId="169" fontId="44" fillId="0" borderId="3" xfId="0" applyNumberFormat="1" applyFont="1" applyBorder="1" applyAlignment="1">
      <alignment horizontal="center"/>
    </xf>
    <xf numFmtId="0" fontId="19" fillId="3" borderId="44" xfId="0" applyFont="1" applyFill="1" applyBorder="1" applyAlignment="1">
      <alignment vertical="center"/>
    </xf>
    <xf numFmtId="0" fontId="19" fillId="0" borderId="0" xfId="0" applyFont="1" applyAlignment="1">
      <alignment horizontal="left" indent="1"/>
    </xf>
    <xf numFmtId="0" fontId="19" fillId="0" borderId="17" xfId="0" applyFont="1" applyBorder="1" applyAlignment="1">
      <alignment horizontal="left" indent="1"/>
    </xf>
    <xf numFmtId="164" fontId="19" fillId="0" borderId="17" xfId="0" applyNumberFormat="1" applyFont="1" applyBorder="1"/>
    <xf numFmtId="0" fontId="45" fillId="0" borderId="0" xfId="0" applyFont="1"/>
    <xf numFmtId="0" fontId="9" fillId="0" borderId="0" xfId="0" applyFont="1" applyAlignment="1">
      <alignment vertical="center"/>
    </xf>
    <xf numFmtId="164" fontId="19" fillId="0" borderId="2" xfId="0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6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center"/>
    </xf>
    <xf numFmtId="9" fontId="17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9" fillId="0" borderId="18" xfId="0" applyFont="1" applyBorder="1" applyAlignment="1">
      <alignment vertical="center"/>
    </xf>
    <xf numFmtId="0" fontId="19" fillId="0" borderId="37" xfId="0" applyFont="1" applyBorder="1" applyAlignment="1">
      <alignment vertical="center"/>
    </xf>
    <xf numFmtId="0" fontId="19" fillId="0" borderId="16" xfId="0" applyFont="1" applyBorder="1" applyAlignment="1">
      <alignment horizontal="left" vertical="center" indent="1"/>
    </xf>
    <xf numFmtId="164" fontId="19" fillId="0" borderId="47" xfId="0" applyNumberFormat="1" applyFont="1" applyBorder="1" applyAlignment="1">
      <alignment vertical="center"/>
    </xf>
    <xf numFmtId="164" fontId="19" fillId="0" borderId="16" xfId="0" applyNumberFormat="1" applyFont="1" applyBorder="1" applyAlignment="1">
      <alignment vertical="center"/>
    </xf>
    <xf numFmtId="164" fontId="19" fillId="0" borderId="48" xfId="0" applyNumberFormat="1" applyFont="1" applyBorder="1" applyAlignment="1">
      <alignment vertical="center"/>
    </xf>
    <xf numFmtId="0" fontId="19" fillId="0" borderId="49" xfId="0" applyFont="1" applyBorder="1" applyAlignment="1">
      <alignment horizontal="left" vertical="center" indent="1"/>
    </xf>
    <xf numFmtId="0" fontId="17" fillId="0" borderId="0" xfId="3" applyFont="1" applyAlignment="1">
      <alignment horizontal="center"/>
    </xf>
    <xf numFmtId="0" fontId="16" fillId="7" borderId="0" xfId="3" applyFont="1" applyFill="1" applyAlignment="1">
      <alignment vertical="center" wrapText="1"/>
    </xf>
    <xf numFmtId="3" fontId="12" fillId="7" borderId="0" xfId="3" applyNumberFormat="1" applyFont="1" applyFill="1" applyAlignment="1">
      <alignment vertical="center" wrapText="1"/>
    </xf>
    <xf numFmtId="0" fontId="2" fillId="0" borderId="0" xfId="3" applyAlignment="1">
      <alignment vertical="center"/>
    </xf>
    <xf numFmtId="4" fontId="6" fillId="0" borderId="31" xfId="3" applyNumberFormat="1" applyFont="1" applyBorder="1" applyAlignment="1">
      <alignment vertical="center"/>
    </xf>
    <xf numFmtId="4" fontId="6" fillId="0" borderId="0" xfId="3" applyNumberFormat="1" applyFont="1" applyAlignment="1">
      <alignment vertical="center"/>
    </xf>
    <xf numFmtId="4" fontId="6" fillId="0" borderId="29" xfId="3" applyNumberFormat="1" applyFont="1" applyBorder="1" applyAlignment="1">
      <alignment vertical="center"/>
    </xf>
    <xf numFmtId="4" fontId="3" fillId="0" borderId="29" xfId="3" applyNumberFormat="1" applyFont="1" applyBorder="1" applyAlignment="1">
      <alignment vertical="center"/>
    </xf>
    <xf numFmtId="4" fontId="3" fillId="0" borderId="0" xfId="3" applyNumberFormat="1" applyFont="1" applyAlignment="1">
      <alignment vertical="center"/>
    </xf>
    <xf numFmtId="0" fontId="48" fillId="0" borderId="0" xfId="0" applyFont="1"/>
    <xf numFmtId="0" fontId="49" fillId="0" borderId="0" xfId="0" applyFont="1" applyAlignment="1">
      <alignment vertical="center"/>
    </xf>
    <xf numFmtId="165" fontId="50" fillId="0" borderId="0" xfId="0" applyNumberFormat="1" applyFont="1"/>
    <xf numFmtId="0" fontId="17" fillId="8" borderId="39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46" fillId="9" borderId="0" xfId="0" applyFont="1" applyFill="1" applyAlignment="1">
      <alignment horizontal="left" vertical="center" indent="2"/>
    </xf>
    <xf numFmtId="0" fontId="25" fillId="2" borderId="0" xfId="0" applyFont="1" applyFill="1" applyAlignment="1">
      <alignment horizontal="left" vertical="center"/>
    </xf>
    <xf numFmtId="0" fontId="17" fillId="8" borderId="18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19" fillId="3" borderId="18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3" fillId="0" borderId="26" xfId="3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11" xfId="3" applyFont="1" applyBorder="1" applyAlignment="1">
      <alignment vertical="center"/>
    </xf>
    <xf numFmtId="0" fontId="14" fillId="0" borderId="0" xfId="3" applyFont="1" applyAlignment="1">
      <alignment horizontal="left"/>
    </xf>
    <xf numFmtId="1" fontId="12" fillId="0" borderId="2" xfId="3" applyNumberFormat="1" applyFont="1" applyBorder="1" applyAlignment="1">
      <alignment horizontal="center" vertical="center" wrapText="1"/>
    </xf>
    <xf numFmtId="1" fontId="12" fillId="0" borderId="0" xfId="3" applyNumberFormat="1" applyFont="1" applyAlignment="1">
      <alignment horizontal="center" vertical="center" wrapText="1"/>
    </xf>
    <xf numFmtId="0" fontId="29" fillId="0" borderId="6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 wrapText="1"/>
    </xf>
    <xf numFmtId="0" fontId="22" fillId="0" borderId="0" xfId="3" applyFont="1"/>
    <xf numFmtId="0" fontId="12" fillId="0" borderId="2" xfId="3" applyFont="1" applyBorder="1" applyAlignment="1">
      <alignment horizontal="center" vertical="center" wrapText="1"/>
    </xf>
    <xf numFmtId="0" fontId="13" fillId="0" borderId="0" xfId="3" applyFont="1"/>
    <xf numFmtId="0" fontId="15" fillId="0" borderId="1" xfId="3" applyFont="1" applyBorder="1"/>
    <xf numFmtId="3" fontId="34" fillId="0" borderId="33" xfId="3" applyNumberFormat="1" applyFont="1" applyBorder="1" applyAlignment="1">
      <alignment horizontal="center" vertical="center" textRotation="255"/>
    </xf>
    <xf numFmtId="0" fontId="34" fillId="0" borderId="33" xfId="3" applyFont="1" applyBorder="1" applyAlignment="1">
      <alignment horizontal="center" vertical="center" textRotation="255"/>
    </xf>
    <xf numFmtId="0" fontId="17" fillId="0" borderId="16" xfId="3" applyFont="1" applyBorder="1" applyAlignment="1">
      <alignment horizontal="center"/>
    </xf>
    <xf numFmtId="0" fontId="17" fillId="0" borderId="0" xfId="3" applyFont="1" applyAlignment="1">
      <alignment horizontal="center"/>
    </xf>
    <xf numFmtId="0" fontId="19" fillId="0" borderId="27" xfId="3" applyFont="1" applyBorder="1" applyAlignment="1">
      <alignment horizontal="center"/>
    </xf>
    <xf numFmtId="0" fontId="20" fillId="0" borderId="27" xfId="3" applyFont="1" applyBorder="1"/>
    <xf numFmtId="0" fontId="28" fillId="0" borderId="0" xfId="3" applyFont="1" applyAlignment="1">
      <alignment horizontal="center" vertical="top"/>
    </xf>
    <xf numFmtId="0" fontId="19" fillId="0" borderId="1" xfId="3" applyFont="1" applyBorder="1" applyAlignment="1">
      <alignment horizontal="center"/>
    </xf>
    <xf numFmtId="0" fontId="20" fillId="0" borderId="1" xfId="3" applyFont="1" applyBorder="1"/>
  </cellXfs>
  <cellStyles count="5">
    <cellStyle name="Comma" xfId="1" builtinId="3"/>
    <cellStyle name="Hyperlink" xfId="4" builtinId="8"/>
    <cellStyle name="Normal" xfId="0" builtinId="0"/>
    <cellStyle name="Normal 2" xfId="3" xr:uid="{73750FAA-D1FA-4998-9ABC-9080310D9140}"/>
    <cellStyle name="Percent" xfId="2" builtinId="5"/>
  </cellStyles>
  <dxfs count="1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>
          <bgColor rgb="FFF2DCDB"/>
        </patternFill>
      </fill>
    </dxf>
    <dxf>
      <fill>
        <patternFill>
          <bgColor rgb="FFD8E4BC"/>
        </patternFill>
      </fill>
    </dxf>
    <dxf>
      <font>
        <color theme="1"/>
      </font>
      <fill>
        <patternFill>
          <bgColor rgb="FFF2DCDB"/>
        </patternFill>
      </fill>
    </dxf>
    <dxf>
      <fill>
        <patternFill>
          <bgColor rgb="FFD8E4BC"/>
        </patternFill>
      </fill>
    </dxf>
    <dxf>
      <font>
        <color theme="1"/>
      </font>
      <fill>
        <patternFill>
          <bgColor rgb="FFF2DCDB"/>
        </patternFill>
      </fill>
    </dxf>
    <dxf>
      <fill>
        <patternFill>
          <bgColor rgb="FFD8E4BC"/>
        </patternFill>
      </fill>
    </dxf>
    <dxf>
      <font>
        <color theme="1"/>
      </font>
      <fill>
        <patternFill>
          <bgColor rgb="FFF2DCDB"/>
        </patternFill>
      </fill>
    </dxf>
    <dxf>
      <fill>
        <patternFill>
          <bgColor rgb="FFD8E4BC"/>
        </patternFill>
      </fill>
    </dxf>
    <dxf>
      <font>
        <color theme="1"/>
      </font>
      <fill>
        <patternFill>
          <bgColor rgb="FFF2DCDB"/>
        </patternFill>
      </fill>
    </dxf>
    <dxf>
      <fill>
        <patternFill>
          <bgColor rgb="FFD8E4BC"/>
        </patternFill>
      </fill>
    </dxf>
    <dxf>
      <font>
        <color theme="1"/>
      </font>
      <fill>
        <patternFill>
          <bgColor rgb="FFF2DCDB"/>
        </patternFill>
      </fill>
    </dxf>
    <dxf>
      <fill>
        <patternFill>
          <bgColor rgb="FFD8E4BC"/>
        </patternFill>
      </fill>
    </dxf>
  </dxfs>
  <tableStyles count="0" defaultTableStyle="TableStyleMedium2" defaultPivotStyle="PivotStyleLight16"/>
  <colors>
    <mruColors>
      <color rgb="FFD8E4BC"/>
      <color rgb="FFD9E2F3"/>
      <color rgb="FF0033CC"/>
      <color rgb="FF009999"/>
      <color rgb="FFBDDCA0"/>
      <color rgb="FFFF4343"/>
      <color rgb="FFFF0000"/>
      <color rgb="FFD6918E"/>
      <color rgb="FF293D68"/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with Cumulative FV and PV of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81658302356872"/>
          <c:y val="0.17171296296296298"/>
          <c:w val="0.69919150019710663"/>
          <c:h val="0.475317876932050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Comparison!$B$11</c:f>
              <c:strCache>
                <c:ptCount val="1"/>
                <c:pt idx="0">
                  <c:v>Cash Inflow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Comparison!$C$9:$J$9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Comparison!$C$16:$J$16</c:f>
              <c:numCache>
                <c:formatCode>_(* #,##0_);_(* \(#,##0\);_(* "-"??_);_(@_)</c:formatCode>
                <c:ptCount val="8"/>
                <c:pt idx="0">
                  <c:v>950000</c:v>
                </c:pt>
                <c:pt idx="1">
                  <c:v>1750000</c:v>
                </c:pt>
                <c:pt idx="2">
                  <c:v>2207126.8246061169</c:v>
                </c:pt>
                <c:pt idx="3">
                  <c:v>2427839.5070667285</c:v>
                </c:pt>
                <c:pt idx="4">
                  <c:v>2670623.4577734014</c:v>
                </c:pt>
                <c:pt idx="5">
                  <c:v>2937685.8035507416</c:v>
                </c:pt>
                <c:pt idx="6">
                  <c:v>3231454.3839058159</c:v>
                </c:pt>
                <c:pt idx="7">
                  <c:v>3554599.8222963978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D-4D07-9B16-1A6E2AFE8D00}"/>
            </c:ext>
          </c:extLst>
        </c:ser>
        <c:ser>
          <c:idx val="2"/>
          <c:order val="2"/>
          <c:tx>
            <c:strRef>
              <c:f>Comparison!$B$21</c:f>
              <c:strCache>
                <c:ptCount val="1"/>
                <c:pt idx="0">
                  <c:v>Cash Outflow</c:v>
                </c:pt>
              </c:strCache>
            </c:strRef>
          </c:tx>
          <c:spPr>
            <a:solidFill>
              <a:srgbClr val="D9E2F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Comparison!$C$9:$J$9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Comparison!$C$33:$J$33</c:f>
              <c:numCache>
                <c:formatCode>_(* #,##0_);_(* \(#,##0\);_(* "-"??_);_(@_)</c:formatCode>
                <c:ptCount val="8"/>
                <c:pt idx="0">
                  <c:v>-1042309.2804448564</c:v>
                </c:pt>
                <c:pt idx="1">
                  <c:v>-4375963.9206672851</c:v>
                </c:pt>
                <c:pt idx="2">
                  <c:v>-1050727.7421995676</c:v>
                </c:pt>
                <c:pt idx="3">
                  <c:v>-2632992.0662727836</c:v>
                </c:pt>
                <c:pt idx="4">
                  <c:v>-1223482.8227533211</c:v>
                </c:pt>
                <c:pt idx="5">
                  <c:v>-2523022.6548819123</c:v>
                </c:pt>
                <c:pt idx="6">
                  <c:v>-1432516.470223363</c:v>
                </c:pt>
                <c:pt idx="7">
                  <c:v>-1552959.6670989587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D-4D07-9B16-1A6E2AFE8D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6540776"/>
        <c:axId val="806542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Comparison!$C$9:$J$9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  <c:pt idx="7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Comparison!$C$9:$J$9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  <c:pt idx="7">
                        <c:v>2025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9B1D-4D07-9B16-1A6E2AFE8D0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Comparison!$B$38</c:f>
              <c:strCache>
                <c:ptCount val="1"/>
                <c:pt idx="0">
                  <c:v>Cumulative FV of Net Cash Flow</c:v>
                </c:pt>
              </c:strCache>
            </c:strRef>
          </c:tx>
          <c:spPr>
            <a:ln w="2857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D-4D07-9B16-1A6E2AFE8D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D-4D07-9B16-1A6E2AFE8D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D-4D07-9B16-1A6E2AFE8D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D-4D07-9B16-1A6E2AFE8D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D-4D07-9B16-1A6E2AFE8D0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D-4D07-9B16-1A6E2AFE8D0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D-4D07-9B16-1A6E2AFE8D00}"/>
                </c:ext>
              </c:extLst>
            </c:dLbl>
            <c:dLbl>
              <c:idx val="7"/>
              <c:layout>
                <c:manualLayout>
                  <c:x val="0"/>
                  <c:y val="-1.7300413507127587E-2"/>
                </c:manualLayout>
              </c:layout>
              <c:numFmt formatCode="\€\ #,##0.00,,&quot; Mio.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rgbClr val="0033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D-4D07-9B16-1A6E2AFE8D00}"/>
                </c:ext>
              </c:extLst>
            </c:dLbl>
            <c:numFmt formatCode="\€\ #,##0.00,,&quot; Mio.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Comparison!$C$38:$J$38</c:f>
              <c:numCache>
                <c:formatCode>_(* #,##0_);_(* \(#,##0\);_(* "-"??_);_(@_)</c:formatCode>
                <c:ptCount val="8"/>
                <c:pt idx="0">
                  <c:v>-92309.280444856384</c:v>
                </c:pt>
                <c:pt idx="1">
                  <c:v>-2718273.2011121414</c:v>
                </c:pt>
                <c:pt idx="2">
                  <c:v>-1561874.1187055921</c:v>
                </c:pt>
                <c:pt idx="3">
                  <c:v>-1767026.6779116471</c:v>
                </c:pt>
                <c:pt idx="4">
                  <c:v>-319886.04289156687</c:v>
                </c:pt>
                <c:pt idx="5">
                  <c:v>94777.105777262477</c:v>
                </c:pt>
                <c:pt idx="6">
                  <c:v>1893715.0194597153</c:v>
                </c:pt>
                <c:pt idx="7">
                  <c:v>3895355.1746571544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1D-4D07-9B16-1A6E2AFE8D00}"/>
            </c:ext>
          </c:extLst>
        </c:ser>
        <c:ser>
          <c:idx val="4"/>
          <c:order val="4"/>
          <c:tx>
            <c:strRef>
              <c:f>Comparison!$B$41</c:f>
              <c:strCache>
                <c:ptCount val="1"/>
                <c:pt idx="0">
                  <c:v>Cumulative PV of Net Cash 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1D-4D07-9B16-1A6E2AFE8D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1D-4D07-9B16-1A6E2AFE8D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1D-4D07-9B16-1A6E2AFE8D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B1D-4D07-9B16-1A6E2AFE8D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B1D-4D07-9B16-1A6E2AFE8D0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B1D-4D07-9B16-1A6E2AFE8D0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B1D-4D07-9B16-1A6E2AFE8D00}"/>
                </c:ext>
              </c:extLst>
            </c:dLbl>
            <c:dLbl>
              <c:idx val="7"/>
              <c:layout>
                <c:manualLayout>
                  <c:x val="0"/>
                  <c:y val="1.73004135071275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B1D-4D07-9B16-1A6E2AFE8D00}"/>
                </c:ext>
              </c:extLst>
            </c:dLbl>
            <c:numFmt formatCode="\€\ #,##0.00,,&quot; Mio.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Comparison!$C$41:$J$41</c:f>
              <c:numCache>
                <c:formatCode>_(* #,##0_);_(* \(#,##0\);_(* "-"??_);_(@_)</c:formatCode>
                <c:ptCount val="8"/>
                <c:pt idx="0">
                  <c:v>-92309.280444856384</c:v>
                </c:pt>
                <c:pt idx="1">
                  <c:v>-2619007.464293553</c:v>
                </c:pt>
                <c:pt idx="2">
                  <c:v>-1548383.4878091973</c:v>
                </c:pt>
                <c:pt idx="3">
                  <c:v>-1731139.1238381823</c:v>
                </c:pt>
                <c:pt idx="4">
                  <c:v>-490717.89012434613</c:v>
                </c:pt>
                <c:pt idx="5">
                  <c:v>-148723.87346879207</c:v>
                </c:pt>
                <c:pt idx="6">
                  <c:v>1278867.3032121467</c:v>
                </c:pt>
                <c:pt idx="7">
                  <c:v>2807271.7707170271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1D-4D07-9B16-1A6E2AF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40776"/>
        <c:axId val="806542216"/>
      </c:lineChart>
      <c:catAx>
        <c:axId val="8065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2216"/>
        <c:crosses val="autoZero"/>
        <c:auto val="1"/>
        <c:lblAlgn val="ctr"/>
        <c:lblOffset val="100"/>
        <c:noMultiLvlLbl val="0"/>
      </c:catAx>
      <c:valAx>
        <c:axId val="8065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€\ #,##0,,&quot; Mio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0776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with Cumulative FV and PV of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81658302356872"/>
          <c:y val="0.17171296296296298"/>
          <c:w val="0.661187372590616"/>
          <c:h val="0.475317876932050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Comparison!$B$62</c:f>
              <c:strCache>
                <c:ptCount val="1"/>
                <c:pt idx="0">
                  <c:v>Cash Inflow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Comparison!$C$9:$J$9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Comparison!$C$65:$J$65</c:f>
              <c:numCache>
                <c:formatCode>_(* #,##0_);_(* \(#,##0\);_(* "-"??_);_(@_)</c:formatCode>
                <c:ptCount val="8"/>
                <c:pt idx="0">
                  <c:v>1324276.0947636701</c:v>
                </c:pt>
                <c:pt idx="1">
                  <c:v>1721558.9231927712</c:v>
                </c:pt>
                <c:pt idx="2">
                  <c:v>1979792.7616716868</c:v>
                </c:pt>
                <c:pt idx="3">
                  <c:v>2276761.6759224394</c:v>
                </c:pt>
                <c:pt idx="4">
                  <c:v>2618275.9273108053</c:v>
                </c:pt>
                <c:pt idx="5">
                  <c:v>3011017.3164074258</c:v>
                </c:pt>
                <c:pt idx="6">
                  <c:v>3462669.9138685395</c:v>
                </c:pt>
                <c:pt idx="7">
                  <c:v>3982070.4009488202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D-4F3F-9FB8-1EBF4CC6F8DE}"/>
            </c:ext>
          </c:extLst>
        </c:ser>
        <c:ser>
          <c:idx val="2"/>
          <c:order val="2"/>
          <c:tx>
            <c:strRef>
              <c:f>Comparison!$B$70</c:f>
              <c:strCache>
                <c:ptCount val="1"/>
                <c:pt idx="0">
                  <c:v>Cash Outflow</c:v>
                </c:pt>
              </c:strCache>
            </c:strRef>
          </c:tx>
          <c:spPr>
            <a:solidFill>
              <a:srgbClr val="D9E2F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Comparison!$C$9:$J$9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Comparison!$C$76:$J$76</c:f>
              <c:numCache>
                <c:formatCode>_(* #,##0_);_(* \(#,##0\);_(* "-"??_);_(@_)</c:formatCode>
                <c:ptCount val="8"/>
                <c:pt idx="0">
                  <c:v>-4792751.7473741118</c:v>
                </c:pt>
                <c:pt idx="1">
                  <c:v>-4893726.5707059009</c:v>
                </c:pt>
                <c:pt idx="2">
                  <c:v>-1436016.2058715634</c:v>
                </c:pt>
                <c:pt idx="3">
                  <c:v>-1511494.8863120754</c:v>
                </c:pt>
                <c:pt idx="4">
                  <c:v>-1598295.368818664</c:v>
                </c:pt>
                <c:pt idx="5">
                  <c:v>-1698115.9237012411</c:v>
                </c:pt>
                <c:pt idx="6">
                  <c:v>-1812909.5618162048</c:v>
                </c:pt>
                <c:pt idx="7">
                  <c:v>-1944922.245648413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D-4F3F-9FB8-1EBF4CC6F8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6540776"/>
        <c:axId val="806542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Comparison!$C$9:$J$9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  <c:pt idx="7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Comparison!$C$9:$J$9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  <c:pt idx="6">
                        <c:v>2024</c:v>
                      </c:pt>
                      <c:pt idx="7">
                        <c:v>2025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97D-4F3F-9FB8-1EBF4CC6F8D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Comparison!$B$81</c:f>
              <c:strCache>
                <c:ptCount val="1"/>
                <c:pt idx="0">
                  <c:v>Cumulative FV of Net Cash Flow</c:v>
                </c:pt>
              </c:strCache>
            </c:strRef>
          </c:tx>
          <c:spPr>
            <a:ln w="2857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7D-4F3F-9FB8-1EBF4CC6F8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7D-4F3F-9FB8-1EBF4CC6F8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7D-4F3F-9FB8-1EBF4CC6F8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97D-4F3F-9FB8-1EBF4CC6F8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97D-4F3F-9FB8-1EBF4CC6F8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97D-4F3F-9FB8-1EBF4CC6F8D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97D-4F3F-9FB8-1EBF4CC6F8DE}"/>
                </c:ext>
              </c:extLst>
            </c:dLbl>
            <c:dLbl>
              <c:idx val="7"/>
              <c:layout>
                <c:manualLayout>
                  <c:x val="2.923395079120432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97D-4F3F-9FB8-1EBF4CC6F8DE}"/>
                </c:ext>
              </c:extLst>
            </c:dLbl>
            <c:numFmt formatCode="\€\ #,##0.00,,&quot; Mio.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33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Comparison!$C$60:$J$60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Comparison!$C$81:$J$81</c:f>
              <c:numCache>
                <c:formatCode>_(* #,##0_);_(* \(#,##0\);_(* "-"??_);_(@_)</c:formatCode>
                <c:ptCount val="8"/>
                <c:pt idx="0">
                  <c:v>-3468475.6526104417</c:v>
                </c:pt>
                <c:pt idx="1">
                  <c:v>-6640643.3001235714</c:v>
                </c:pt>
                <c:pt idx="2">
                  <c:v>-6096866.7443234483</c:v>
                </c:pt>
                <c:pt idx="3">
                  <c:v>-5331599.9547130838</c:v>
                </c:pt>
                <c:pt idx="4">
                  <c:v>-4311619.396220943</c:v>
                </c:pt>
                <c:pt idx="5">
                  <c:v>-2998718.0035147583</c:v>
                </c:pt>
                <c:pt idx="6">
                  <c:v>-1348957.6514624236</c:v>
                </c:pt>
                <c:pt idx="7">
                  <c:v>688190.50383798359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D-4F3F-9FB8-1EBF4CC6F8DE}"/>
            </c:ext>
          </c:extLst>
        </c:ser>
        <c:ser>
          <c:idx val="4"/>
          <c:order val="4"/>
          <c:tx>
            <c:strRef>
              <c:f>Comparison!$B$84</c:f>
              <c:strCache>
                <c:ptCount val="1"/>
                <c:pt idx="0">
                  <c:v>Cumulative PV of Net Cash 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7D-4F3F-9FB8-1EBF4CC6F8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7D-4F3F-9FB8-1EBF4CC6F8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7D-4F3F-9FB8-1EBF4CC6F8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97D-4F3F-9FB8-1EBF4CC6F8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97D-4F3F-9FB8-1EBF4CC6F8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97D-4F3F-9FB8-1EBF4CC6F8D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97D-4F3F-9FB8-1EBF4CC6F8DE}"/>
                </c:ext>
              </c:extLst>
            </c:dLbl>
            <c:dLbl>
              <c:idx val="7"/>
              <c:layout>
                <c:manualLayout>
                  <c:x val="2.4852167240520702E-2"/>
                  <c:y val="0"/>
                </c:manualLayout>
              </c:layout>
              <c:numFmt formatCode="\€\ #,##0.00,,&quot; Mio.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97D-4F3F-9FB8-1EBF4CC6F8DE}"/>
                </c:ext>
              </c:extLst>
            </c:dLbl>
            <c:numFmt formatCode="\€\ #,##0.0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Comparison!$C$60:$J$60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Comparison!$C$84:$J$84</c:f>
              <c:numCache>
                <c:formatCode>_(* #,##0_);_(* \(#,##0\);_(* "-"??_);_(@_)</c:formatCode>
                <c:ptCount val="8"/>
                <c:pt idx="0">
                  <c:v>-3468475.6526104417</c:v>
                </c:pt>
                <c:pt idx="1">
                  <c:v>-6326284.3440637123</c:v>
                </c:pt>
                <c:pt idx="2">
                  <c:v>-5884943.0927041443</c:v>
                </c:pt>
                <c:pt idx="3">
                  <c:v>-5325386.6117451983</c:v>
                </c:pt>
                <c:pt idx="4">
                  <c:v>-4653493.8248407086</c:v>
                </c:pt>
                <c:pt idx="5">
                  <c:v>-3874350.749729292</c:v>
                </c:pt>
                <c:pt idx="6">
                  <c:v>-2992321.4957618928</c:v>
                </c:pt>
                <c:pt idx="7">
                  <c:v>-2011111.9525307675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D-4F3F-9FB8-1EBF4CC6F8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6540776"/>
        <c:axId val="806542216"/>
      </c:lineChart>
      <c:catAx>
        <c:axId val="80654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2216"/>
        <c:crosses val="autoZero"/>
        <c:auto val="1"/>
        <c:lblAlgn val="ctr"/>
        <c:lblOffset val="100"/>
        <c:noMultiLvlLbl val="0"/>
      </c:catAx>
      <c:valAx>
        <c:axId val="8065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€\ #,##0,,&quot; Mio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0776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425250</xdr:colOff>
      <xdr:row>14</xdr:row>
      <xdr:rowOff>39412</xdr:rowOff>
    </xdr:from>
    <xdr:to>
      <xdr:col>16</xdr:col>
      <xdr:colOff>503178</xdr:colOff>
      <xdr:row>31</xdr:row>
      <xdr:rowOff>40949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E7E8E596-0351-8145-F21F-19069515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415056</xdr:colOff>
      <xdr:row>42</xdr:row>
      <xdr:rowOff>126896</xdr:rowOff>
    </xdr:from>
    <xdr:to>
      <xdr:col>16</xdr:col>
      <xdr:colOff>498427</xdr:colOff>
      <xdr:row>59</xdr:row>
      <xdr:rowOff>92511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D16A4B03-1423-0BCB-DE01-24C73C2F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0.95611</cdr:x>
      <cdr:y>0.17553</cdr:y>
    </cdr:from>
    <cdr:to>
      <cdr:x>0.99499</cdr:x>
      <cdr:y>0.23554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F2F542-3FB6-20A8-C06D-7BAAFDB52333}"/>
            </a:ext>
          </a:extLst>
        </cdr:cNvPr>
        <cdr:cNvSpPr txBox="1"/>
      </cdr:nvSpPr>
      <cdr:spPr>
        <a:xfrm xmlns:a="http://schemas.openxmlformats.org/drawingml/2006/main">
          <a:off x="8302059" y="503670"/>
          <a:ext cx="337541" cy="17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050">
              <a:solidFill>
                <a:srgbClr val="0033CC"/>
              </a:solidFill>
            </a:rPr>
            <a:t>FV</a:t>
          </a:r>
          <a:endParaRPr lang="en-US" sz="1100">
            <a:solidFill>
              <a:srgbClr val="0033CC"/>
            </a:solidFill>
          </a:endParaRPr>
        </a:p>
      </cdr:txBody>
    </cdr:sp>
  </cdr:relSizeAnchor>
  <cdr:relSizeAnchor xmlns:cdr="http://schemas.openxmlformats.org/drawingml/2006/chartDrawing">
    <cdr:from>
      <cdr:x>0.95481</cdr:x>
      <cdr:y>0.26434</cdr:y>
    </cdr:from>
    <cdr:to>
      <cdr:x>0.99368</cdr:x>
      <cdr:y>0.32435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C28B09B-FE02-1485-E618-3D2762F6D62D}"/>
            </a:ext>
          </a:extLst>
        </cdr:cNvPr>
        <cdr:cNvSpPr txBox="1"/>
      </cdr:nvSpPr>
      <cdr:spPr>
        <a:xfrm xmlns:a="http://schemas.openxmlformats.org/drawingml/2006/main">
          <a:off x="8290717" y="758507"/>
          <a:ext cx="337541" cy="17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rgbClr val="7030A0"/>
              </a:solidFill>
            </a:rPr>
            <a:t>PV</a:t>
          </a:r>
          <a:endParaRPr lang="en-US" sz="1100">
            <a:solidFill>
              <a:srgbClr val="7030A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0.9494</cdr:x>
      <cdr:y>0.32122</cdr:y>
    </cdr:from>
    <cdr:to>
      <cdr:x>0.98828</cdr:x>
      <cdr:y>0.38123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F2F542-3FB6-20A8-C06D-7BAAFDB52333}"/>
            </a:ext>
          </a:extLst>
        </cdr:cNvPr>
        <cdr:cNvSpPr txBox="1"/>
      </cdr:nvSpPr>
      <cdr:spPr>
        <a:xfrm xmlns:a="http://schemas.openxmlformats.org/drawingml/2006/main">
          <a:off x="8242671" y="962883"/>
          <a:ext cx="337553" cy="179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050">
              <a:solidFill>
                <a:srgbClr val="0033CC"/>
              </a:solidFill>
            </a:rPr>
            <a:t>FV</a:t>
          </a:r>
          <a:endParaRPr lang="en-US" sz="1100">
            <a:solidFill>
              <a:srgbClr val="0033CC"/>
            </a:solidFill>
          </a:endParaRPr>
        </a:p>
      </cdr:txBody>
    </cdr:sp>
  </cdr:relSizeAnchor>
  <cdr:relSizeAnchor xmlns:cdr="http://schemas.openxmlformats.org/drawingml/2006/chartDrawing">
    <cdr:from>
      <cdr:x>0.94903</cdr:x>
      <cdr:y>0.41551</cdr:y>
    </cdr:from>
    <cdr:to>
      <cdr:x>0.9879</cdr:x>
      <cdr:y>0.47552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C28B09B-FE02-1485-E618-3D2762F6D62D}"/>
            </a:ext>
          </a:extLst>
        </cdr:cNvPr>
        <cdr:cNvSpPr txBox="1"/>
      </cdr:nvSpPr>
      <cdr:spPr>
        <a:xfrm xmlns:a="http://schemas.openxmlformats.org/drawingml/2006/main">
          <a:off x="8239436" y="1245508"/>
          <a:ext cx="337467" cy="17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>
              <a:solidFill>
                <a:srgbClr val="7030A0"/>
              </a:solidFill>
            </a:rPr>
            <a:t>PV</a:t>
          </a:r>
          <a:endParaRPr lang="en-US" sz="1100">
            <a:solidFill>
              <a:srgbClr val="7030A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2567940</xdr:colOff>
      <xdr:row>30</xdr:row>
      <xdr:rowOff>137160</xdr:rowOff>
    </xdr:from>
    <xdr:to>
      <xdr:col>8</xdr:col>
      <xdr:colOff>548640</xdr:colOff>
      <xdr:row>38</xdr:row>
      <xdr:rowOff>129540</xdr:rowOff>
    </xdr:to>
    <xdr:sp macro="" textlink="">
      <xdr:nvSpPr>
        <xdr:cNvPr id="12" name="Arrow: Bent-Up 11">
          <a:extLst>
            <a:ext uri="{FF2B5EF4-FFF2-40B4-BE49-F238E27FC236}">
              <a16:creationId xmlns:a16="http://schemas.microsoft.com/office/drawing/2014/main" id="{5A024F76-D1E3-A3BA-4FD3-58BE645F714A}"/>
            </a:ext>
          </a:extLst>
        </xdr:cNvPr>
        <xdr:cNvSpPr/>
      </xdr:nvSpPr>
      <xdr:spPr>
        <a:xfrm>
          <a:off x="9753600" y="5013960"/>
          <a:ext cx="2583180" cy="1249680"/>
        </a:xfrm>
        <a:prstGeom prst="bentUpArrow">
          <a:avLst>
            <a:gd name="adj1" fmla="val 6708"/>
            <a:gd name="adj2" fmla="val 8232"/>
            <a:gd name="adj3" fmla="val 97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175260</xdr:colOff>
      <xdr:row>34</xdr:row>
      <xdr:rowOff>0</xdr:rowOff>
    </xdr:from>
    <xdr:to>
      <xdr:col>6</xdr:col>
      <xdr:colOff>2141220</xdr:colOff>
      <xdr:row>41</xdr:row>
      <xdr:rowOff>129540</xdr:rowOff>
    </xdr:to>
    <xdr:sp macro="" textlink="">
      <xdr:nvSpPr>
        <xdr:cNvPr id="13" name="Arrow: Bent-Up 12">
          <a:extLst>
            <a:ext uri="{FF2B5EF4-FFF2-40B4-BE49-F238E27FC236}">
              <a16:creationId xmlns:a16="http://schemas.microsoft.com/office/drawing/2014/main" id="{3A12EED3-1E4C-4E79-BEB9-720DD7F734DA}"/>
            </a:ext>
          </a:extLst>
        </xdr:cNvPr>
        <xdr:cNvSpPr/>
      </xdr:nvSpPr>
      <xdr:spPr>
        <a:xfrm flipH="1">
          <a:off x="6400800" y="5494020"/>
          <a:ext cx="2926080" cy="1249680"/>
        </a:xfrm>
        <a:prstGeom prst="bentUpArrow">
          <a:avLst>
            <a:gd name="adj1" fmla="val 6708"/>
            <a:gd name="adj2" fmla="val 8232"/>
            <a:gd name="adj3" fmla="val 975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1287780</xdr:colOff>
      <xdr:row>37</xdr:row>
      <xdr:rowOff>121920</xdr:rowOff>
    </xdr:from>
    <xdr:to>
      <xdr:col>6</xdr:col>
      <xdr:colOff>2910840</xdr:colOff>
      <xdr:row>42</xdr:row>
      <xdr:rowOff>129540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2175E98-EA03-36F7-B0BB-8FB184087D8F}"/>
            </a:ext>
          </a:extLst>
        </xdr:cNvPr>
        <xdr:cNvSpPr txBox="1"/>
      </xdr:nvSpPr>
      <xdr:spPr>
        <a:xfrm>
          <a:off x="8473440" y="6096000"/>
          <a:ext cx="162306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we are picky:</a:t>
          </a:r>
          <a:r>
            <a:rPr lang="en-US" sz="1100" baseline="0"/>
            <a:t> our 2017 balance sheet is not balanced. </a:t>
          </a:r>
        </a:p>
        <a:p>
          <a:r>
            <a:rPr lang="en-US" sz="1100" baseline="0"/>
            <a:t>Difference of EUR 1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kto\Desktop\Turing%20College\Sprint%2010%20Financial%20Analyst\Copy%20of%20Graded%20task.xlsx" TargetMode="External"/><Relationship Id="rId1" Type="http://schemas.openxmlformats.org/officeDocument/2006/relationships/externalLinkPath" Target="Copy%20of%20Graded%20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sment"/>
      <sheetName val="Income Statement"/>
      <sheetName val="Balance sheet"/>
      <sheetName val="Cash flows"/>
    </sheetNames>
    <sheetDataSet>
      <sheetData sheetId="0"/>
      <sheetData sheetId="1">
        <row r="5">
          <cell r="D5">
            <v>2714177.4791473583</v>
          </cell>
          <cell r="E5">
            <v>4414253.6492122337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curvo.eu/backtest/en/market-index/sp-500?currency=eur" TargetMode="External"/><Relationship Id="rId1" Type="http://schemas.openxmlformats.org/officeDocument/2006/relationships/hyperlink" Target="https://curvo.eu/backtest/en/market-index/sp-500?currency=eur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47F4-6BC1-4173-A7B8-2D3281C94479}">
  <dimension ref="A1:X62"/>
  <sheetViews>
    <sheetView showGridLines="0" tabSelected="1" topLeftCell="B1" zoomScale="80" zoomScaleNormal="80" workbookViewId="0">
      <selection activeCell="E19" sqref="E19"/>
    </sheetView>
  </sheetViews>
  <sheetFormatPr defaultColWidth="12.453125" defaultRowHeight="13" outlineLevelRow="1" x14ac:dyDescent="0.3"/>
  <cols>
    <col min="1" max="1" width="8.1796875" style="66" customWidth="1"/>
    <col min="2" max="2" width="31.81640625" style="66" customWidth="1"/>
    <col min="3" max="3" width="13.36328125" style="66" customWidth="1"/>
    <col min="4" max="4" width="11.6328125" style="66" customWidth="1"/>
    <col min="5" max="10" width="11.81640625" style="66" customWidth="1"/>
    <col min="11" max="11" width="5.6328125" style="66" customWidth="1"/>
    <col min="12" max="13" width="11.81640625" style="66" customWidth="1"/>
    <col min="14" max="14" width="13.90625" style="66" customWidth="1"/>
    <col min="15" max="16" width="11.81640625" style="66" customWidth="1"/>
    <col min="17" max="17" width="7.453125" style="66" customWidth="1"/>
    <col min="18" max="24" width="11.81640625" style="66" customWidth="1"/>
    <col min="25" max="16384" width="12.453125" style="66"/>
  </cols>
  <sheetData>
    <row r="1" spans="1:24" x14ac:dyDescent="0.3">
      <c r="C1" s="66" t="s">
        <v>0</v>
      </c>
    </row>
    <row r="2" spans="1:24" ht="18.5" x14ac:dyDescent="0.45">
      <c r="B2" s="81" t="s">
        <v>237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1:24" ht="8.4" customHeight="1" x14ac:dyDescent="0.3">
      <c r="B3" s="68"/>
    </row>
    <row r="4" spans="1:24" ht="8.4" customHeight="1" x14ac:dyDescent="0.3"/>
    <row r="5" spans="1:24" ht="24" customHeight="1" x14ac:dyDescent="0.3">
      <c r="B5" s="227" t="s">
        <v>7</v>
      </c>
      <c r="C5" s="227"/>
      <c r="D5" s="227"/>
      <c r="E5" s="227"/>
      <c r="F5" s="227"/>
      <c r="G5" s="227"/>
      <c r="H5" s="227"/>
      <c r="I5" s="159"/>
      <c r="J5" s="159"/>
      <c r="K5" s="159"/>
      <c r="L5" s="159"/>
      <c r="M5" s="159"/>
      <c r="N5" s="159"/>
      <c r="O5" s="159"/>
      <c r="P5" s="159"/>
      <c r="Q5" s="159"/>
    </row>
    <row r="6" spans="1:24" ht="14.4" hidden="1" customHeight="1" outlineLevel="1" x14ac:dyDescent="0.3">
      <c r="A6" s="69"/>
      <c r="B6" s="166"/>
      <c r="C6" s="225" t="s">
        <v>167</v>
      </c>
      <c r="D6" s="228"/>
      <c r="E6" s="224" t="s">
        <v>168</v>
      </c>
      <c r="F6" s="225"/>
      <c r="G6" s="225"/>
      <c r="H6" s="225"/>
      <c r="I6" s="225"/>
      <c r="J6" s="225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 spans="1:24" ht="14.4" hidden="1" customHeight="1" outlineLevel="1" x14ac:dyDescent="0.3">
      <c r="A7" s="69"/>
      <c r="B7" s="164" t="s">
        <v>137</v>
      </c>
      <c r="C7" s="100">
        <v>2018</v>
      </c>
      <c r="D7" s="137">
        <v>2019</v>
      </c>
      <c r="E7" s="100">
        <v>2020</v>
      </c>
      <c r="F7" s="100">
        <v>2021</v>
      </c>
      <c r="G7" s="100">
        <v>2022</v>
      </c>
      <c r="H7" s="100">
        <v>2023</v>
      </c>
      <c r="I7" s="100">
        <v>2024</v>
      </c>
      <c r="J7" s="100">
        <v>2025</v>
      </c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24" hidden="1" outlineLevel="1" x14ac:dyDescent="0.3">
      <c r="A8" s="69"/>
      <c r="B8" s="165"/>
      <c r="C8" s="70">
        <v>0</v>
      </c>
      <c r="D8" s="138">
        <v>1</v>
      </c>
      <c r="E8" s="70">
        <v>2</v>
      </c>
      <c r="F8" s="70">
        <v>3</v>
      </c>
      <c r="G8" s="70">
        <v>4</v>
      </c>
      <c r="H8" s="70">
        <v>5</v>
      </c>
      <c r="I8" s="70">
        <v>6</v>
      </c>
      <c r="J8" s="70">
        <v>7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idden="1" outlineLevel="1" x14ac:dyDescent="0.3">
      <c r="B9" s="66" t="s">
        <v>153</v>
      </c>
      <c r="C9" s="176">
        <f>Comparison!C16</f>
        <v>950000</v>
      </c>
      <c r="D9" s="176">
        <f>Comparison!D16</f>
        <v>1750000</v>
      </c>
      <c r="E9" s="176">
        <f>Comparison!E16</f>
        <v>2207126.8246061169</v>
      </c>
      <c r="F9" s="176">
        <f>Comparison!F16</f>
        <v>2427839.5070667285</v>
      </c>
      <c r="G9" s="176">
        <f>Comparison!G16</f>
        <v>2670623.4577734014</v>
      </c>
      <c r="H9" s="176">
        <f>Comparison!H16</f>
        <v>2937685.8035507416</v>
      </c>
      <c r="I9" s="176">
        <f>Comparison!I16</f>
        <v>3231454.3839058159</v>
      </c>
      <c r="J9" s="176">
        <f>Comparison!J16</f>
        <v>3554599.8222963978</v>
      </c>
      <c r="K9" s="104"/>
      <c r="O9" s="71"/>
    </row>
    <row r="10" spans="1:24" hidden="1" outlineLevel="1" x14ac:dyDescent="0.3">
      <c r="B10" s="66" t="s">
        <v>3</v>
      </c>
      <c r="C10" s="176">
        <f>Comparison!C33</f>
        <v>-1042309.2804448564</v>
      </c>
      <c r="D10" s="176">
        <f>Comparison!D33</f>
        <v>-4375963.9206672851</v>
      </c>
      <c r="E10" s="176">
        <f>Comparison!E33</f>
        <v>-1050727.7421995676</v>
      </c>
      <c r="F10" s="176">
        <f>Comparison!F33</f>
        <v>-2632992.0662727836</v>
      </c>
      <c r="G10" s="176">
        <f>Comparison!G33</f>
        <v>-1223482.8227533211</v>
      </c>
      <c r="H10" s="176">
        <f>Comparison!H33</f>
        <v>-2523022.6548819123</v>
      </c>
      <c r="I10" s="176">
        <f>Comparison!I33</f>
        <v>-1432516.470223363</v>
      </c>
      <c r="J10" s="176">
        <f>Comparison!J33</f>
        <v>-1552959.6670989587</v>
      </c>
      <c r="K10" s="102"/>
      <c r="N10" s="72"/>
      <c r="O10" s="71"/>
    </row>
    <row r="11" spans="1:24" hidden="1" outlineLevel="1" x14ac:dyDescent="0.3">
      <c r="B11" s="73" t="s">
        <v>4</v>
      </c>
      <c r="C11" s="74">
        <f t="shared" ref="C11:J11" si="0">C9+C10</f>
        <v>-92309.280444856384</v>
      </c>
      <c r="D11" s="74">
        <f t="shared" si="0"/>
        <v>-2625963.9206672851</v>
      </c>
      <c r="E11" s="74">
        <f t="shared" si="0"/>
        <v>1156399.0824065492</v>
      </c>
      <c r="F11" s="74">
        <f t="shared" si="0"/>
        <v>-205152.55920605501</v>
      </c>
      <c r="G11" s="74">
        <f t="shared" si="0"/>
        <v>1447140.6350200803</v>
      </c>
      <c r="H11" s="74">
        <f t="shared" si="0"/>
        <v>414663.14866882935</v>
      </c>
      <c r="I11" s="74">
        <f t="shared" si="0"/>
        <v>1798937.9136824529</v>
      </c>
      <c r="J11" s="74">
        <f t="shared" si="0"/>
        <v>2001640.155197439</v>
      </c>
      <c r="N11" s="72"/>
      <c r="O11" s="71"/>
    </row>
    <row r="12" spans="1:24" hidden="1" outlineLevel="1" x14ac:dyDescent="0.3">
      <c r="B12" s="160" t="s">
        <v>233</v>
      </c>
      <c r="C12" s="161">
        <f>SUM($C$11:C11)</f>
        <v>-92309.280444856384</v>
      </c>
      <c r="D12" s="161">
        <f>SUM($C$11:D11)</f>
        <v>-2718273.2011121414</v>
      </c>
      <c r="E12" s="161">
        <f>SUM($C$11:E11)</f>
        <v>-1561874.1187055921</v>
      </c>
      <c r="F12" s="161">
        <f>SUM($C$11:F11)</f>
        <v>-1767026.6779116471</v>
      </c>
      <c r="G12" s="161">
        <f>SUM($C$11:G11)</f>
        <v>-319886.04289156687</v>
      </c>
      <c r="H12" s="161">
        <f>SUM($C$11:H11)</f>
        <v>94777.105777262477</v>
      </c>
      <c r="I12" s="161">
        <f>SUM($C$11:I11)</f>
        <v>1893715.0194597153</v>
      </c>
      <c r="J12" s="161">
        <f>SUM($C$11:J11)</f>
        <v>3895355.1746571544</v>
      </c>
      <c r="N12" s="75"/>
      <c r="O12" s="71"/>
    </row>
    <row r="13" spans="1:24" hidden="1" outlineLevel="1" x14ac:dyDescent="0.3">
      <c r="B13" s="194" t="s">
        <v>232</v>
      </c>
      <c r="C13" s="195">
        <f>Comparison!C18+Comparison!C35</f>
        <v>-92309.280444856384</v>
      </c>
      <c r="D13" s="195">
        <f>Comparison!D18+Comparison!D35</f>
        <v>-2619007.4642935535</v>
      </c>
      <c r="E13" s="195">
        <f>Comparison!E18+Comparison!E35</f>
        <v>-1548383.487809198</v>
      </c>
      <c r="F13" s="195">
        <f>Comparison!F18+Comparison!F35</f>
        <v>-1731139.1238381825</v>
      </c>
      <c r="G13" s="195">
        <f>Comparison!G18+Comparison!G35</f>
        <v>-490717.89012434706</v>
      </c>
      <c r="H13" s="195">
        <f>Comparison!H18+Comparison!H35</f>
        <v>-148723.87346879207</v>
      </c>
      <c r="I13" s="195">
        <f>Comparison!I18+Comparison!I35</f>
        <v>1278867.3032121472</v>
      </c>
      <c r="J13" s="195">
        <f>Comparison!J18+Comparison!J35</f>
        <v>2807271.7707170248</v>
      </c>
      <c r="N13" s="75"/>
      <c r="O13" s="71"/>
    </row>
    <row r="14" spans="1:24" collapsed="1" x14ac:dyDescent="0.3">
      <c r="B14" s="76"/>
      <c r="C14" s="77"/>
      <c r="D14" s="77"/>
      <c r="E14" s="77"/>
      <c r="F14" s="77"/>
      <c r="G14" s="77"/>
      <c r="H14" s="77"/>
      <c r="I14" s="77"/>
      <c r="J14" s="77"/>
      <c r="N14" s="75"/>
      <c r="O14" s="71"/>
    </row>
    <row r="15" spans="1:24" x14ac:dyDescent="0.3">
      <c r="B15" s="78" t="s">
        <v>231</v>
      </c>
      <c r="C15" s="191" t="s">
        <v>230</v>
      </c>
      <c r="D15" s="77"/>
      <c r="E15" s="77"/>
      <c r="F15" s="77"/>
      <c r="G15" s="77"/>
      <c r="H15" s="77"/>
      <c r="I15" s="77"/>
      <c r="J15" s="77"/>
      <c r="N15" s="75"/>
      <c r="O15" s="71"/>
    </row>
    <row r="16" spans="1:24" x14ac:dyDescent="0.3">
      <c r="B16" s="76"/>
      <c r="C16" s="77"/>
      <c r="D16" s="77"/>
      <c r="E16" s="77"/>
      <c r="F16" s="77"/>
      <c r="G16" s="77"/>
      <c r="H16" s="77"/>
      <c r="I16" s="77"/>
      <c r="J16" s="77"/>
      <c r="N16" s="75"/>
      <c r="O16" s="71"/>
    </row>
    <row r="17" spans="2:15" x14ac:dyDescent="0.3">
      <c r="B17" s="78" t="s">
        <v>149</v>
      </c>
      <c r="C17" s="184">
        <f>Comparison!F46</f>
        <v>5418273.2011121409</v>
      </c>
      <c r="D17" s="77"/>
      <c r="E17" s="77"/>
      <c r="F17" s="77"/>
      <c r="G17" s="77"/>
      <c r="H17" s="77"/>
      <c r="I17" s="77"/>
      <c r="J17" s="77"/>
      <c r="N17" s="75"/>
      <c r="O17" s="71"/>
    </row>
    <row r="18" spans="2:15" x14ac:dyDescent="0.3">
      <c r="B18" s="76"/>
      <c r="C18" s="188"/>
      <c r="D18" s="77"/>
      <c r="E18" s="77"/>
      <c r="F18" s="77"/>
      <c r="G18" s="77"/>
      <c r="H18" s="77"/>
      <c r="I18" s="77"/>
      <c r="J18" s="77"/>
      <c r="N18" s="75"/>
      <c r="O18" s="71"/>
    </row>
    <row r="19" spans="2:15" x14ac:dyDescent="0.3">
      <c r="B19" s="78" t="s">
        <v>203</v>
      </c>
      <c r="C19" s="183">
        <f>Comparison!C44</f>
        <v>3.9286740875155102E-2</v>
      </c>
      <c r="D19" s="94"/>
      <c r="G19" s="77"/>
      <c r="H19" s="77"/>
      <c r="I19" s="77"/>
      <c r="J19" s="77"/>
      <c r="N19" s="72"/>
      <c r="O19" s="71"/>
    </row>
    <row r="20" spans="2:15" x14ac:dyDescent="0.3">
      <c r="B20" s="78"/>
      <c r="C20" s="189"/>
      <c r="D20" s="94"/>
      <c r="E20" s="78"/>
      <c r="F20" s="99"/>
      <c r="G20" s="77"/>
      <c r="H20" s="77"/>
      <c r="I20" s="77"/>
      <c r="J20" s="77"/>
      <c r="N20" s="72"/>
      <c r="O20" s="71"/>
    </row>
    <row r="21" spans="2:15" x14ac:dyDescent="0.3">
      <c r="B21" s="78" t="s">
        <v>222</v>
      </c>
      <c r="C21" s="184">
        <f>Comparison!J38</f>
        <v>3895355.1746571544</v>
      </c>
      <c r="D21" s="94"/>
      <c r="E21" s="78"/>
      <c r="F21" s="99"/>
      <c r="G21" s="77"/>
      <c r="H21" s="77"/>
      <c r="I21" s="77"/>
      <c r="J21" s="77"/>
      <c r="N21" s="72"/>
      <c r="O21" s="71"/>
    </row>
    <row r="22" spans="2:15" x14ac:dyDescent="0.3">
      <c r="C22" s="79"/>
      <c r="O22" s="71"/>
    </row>
    <row r="23" spans="2:15" x14ac:dyDescent="0.3">
      <c r="B23" s="78" t="s">
        <v>218</v>
      </c>
      <c r="C23" s="171">
        <f>Comparison!C48</f>
        <v>2807271.7707170248</v>
      </c>
      <c r="D23" s="97" t="s">
        <v>223</v>
      </c>
      <c r="E23" s="175" t="str">
        <f>IF(C23&lt;0,"Reject","Accept")</f>
        <v>Accept</v>
      </c>
      <c r="G23" s="94"/>
    </row>
    <row r="24" spans="2:15" x14ac:dyDescent="0.3">
      <c r="B24" s="78"/>
      <c r="C24" s="80"/>
      <c r="E24" s="78"/>
      <c r="F24" s="135"/>
      <c r="G24" s="135"/>
    </row>
    <row r="25" spans="2:15" x14ac:dyDescent="0.3">
      <c r="B25" s="78" t="s">
        <v>147</v>
      </c>
      <c r="C25" s="86">
        <f>Comparison!C51</f>
        <v>0.2601212894902909</v>
      </c>
      <c r="D25" s="97" t="s">
        <v>223</v>
      </c>
      <c r="E25" s="175" t="str">
        <f>IF(C25&lt;C19,"Reject","Accept")</f>
        <v>Accept</v>
      </c>
    </row>
    <row r="26" spans="2:15" x14ac:dyDescent="0.3">
      <c r="B26" s="78"/>
      <c r="C26" s="80"/>
    </row>
    <row r="27" spans="2:15" x14ac:dyDescent="0.3">
      <c r="B27" s="78" t="s">
        <v>148</v>
      </c>
      <c r="C27" s="169">
        <f>Comparison!C53</f>
        <v>4.2210469633361711</v>
      </c>
    </row>
    <row r="28" spans="2:15" x14ac:dyDescent="0.3">
      <c r="C28" s="97"/>
    </row>
    <row r="29" spans="2:15" x14ac:dyDescent="0.3">
      <c r="B29" s="78" t="s">
        <v>151</v>
      </c>
      <c r="C29" s="86">
        <f>Comparison!C55</f>
        <v>0.20018512764797355</v>
      </c>
      <c r="D29" s="97" t="s">
        <v>223</v>
      </c>
      <c r="E29" s="175" t="str">
        <f>IF(C29&lt;0,"Reject","Accept")</f>
        <v>Accept</v>
      </c>
    </row>
    <row r="30" spans="2:15" x14ac:dyDescent="0.3">
      <c r="C30" s="97"/>
    </row>
    <row r="31" spans="2:15" x14ac:dyDescent="0.3">
      <c r="B31" s="78" t="s">
        <v>150</v>
      </c>
      <c r="C31" s="136">
        <f>Comparison!F48</f>
        <v>9130105.4440937992</v>
      </c>
    </row>
    <row r="34" spans="2:17" ht="24" customHeight="1" x14ac:dyDescent="0.3">
      <c r="B34" s="227" t="s">
        <v>229</v>
      </c>
      <c r="C34" s="229"/>
      <c r="D34" s="229"/>
      <c r="E34" s="229"/>
      <c r="F34" s="229"/>
      <c r="G34" s="229"/>
      <c r="H34" s="229"/>
      <c r="I34" s="159"/>
      <c r="J34" s="159"/>
      <c r="K34" s="159"/>
      <c r="L34" s="159"/>
      <c r="M34" s="159"/>
      <c r="N34" s="159"/>
      <c r="O34" s="159"/>
      <c r="P34" s="159"/>
      <c r="Q34" s="159"/>
    </row>
    <row r="35" spans="2:17" ht="14.4" hidden="1" customHeight="1" outlineLevel="1" x14ac:dyDescent="0.3">
      <c r="B35" s="166"/>
      <c r="C35" s="224" t="s">
        <v>178</v>
      </c>
      <c r="D35" s="228"/>
      <c r="E35" s="224" t="s">
        <v>179</v>
      </c>
      <c r="F35" s="225"/>
      <c r="G35" s="225"/>
      <c r="H35" s="225"/>
      <c r="I35" s="225"/>
      <c r="J35" s="225"/>
    </row>
    <row r="36" spans="2:17" hidden="1" outlineLevel="1" x14ac:dyDescent="0.3">
      <c r="B36" s="230" t="s">
        <v>137</v>
      </c>
      <c r="C36" s="167">
        <v>2018</v>
      </c>
      <c r="D36" s="137">
        <v>2019</v>
      </c>
      <c r="E36" s="100">
        <v>2020</v>
      </c>
      <c r="F36" s="100">
        <v>2021</v>
      </c>
      <c r="G36" s="100">
        <v>2022</v>
      </c>
      <c r="H36" s="100">
        <v>2023</v>
      </c>
      <c r="I36" s="100">
        <v>2024</v>
      </c>
      <c r="J36" s="100">
        <v>2025</v>
      </c>
    </row>
    <row r="37" spans="2:17" hidden="1" outlineLevel="1" x14ac:dyDescent="0.3">
      <c r="B37" s="231"/>
      <c r="C37" s="168">
        <v>0</v>
      </c>
      <c r="D37" s="138">
        <v>1</v>
      </c>
      <c r="E37" s="70">
        <v>2</v>
      </c>
      <c r="F37" s="70">
        <v>3</v>
      </c>
      <c r="G37" s="70">
        <v>4</v>
      </c>
      <c r="H37" s="70">
        <v>5</v>
      </c>
      <c r="I37" s="70">
        <v>6</v>
      </c>
      <c r="J37" s="70">
        <v>7</v>
      </c>
    </row>
    <row r="38" spans="2:17" hidden="1" outlineLevel="1" x14ac:dyDescent="0.3">
      <c r="B38" s="66" t="s">
        <v>2</v>
      </c>
      <c r="C38" s="176">
        <f>Comparison!C65</f>
        <v>1324276.0947636701</v>
      </c>
      <c r="D38" s="176">
        <f>Comparison!D65</f>
        <v>1721558.9231927712</v>
      </c>
      <c r="E38" s="176">
        <f>Comparison!E65</f>
        <v>1979792.7616716868</v>
      </c>
      <c r="F38" s="176">
        <f>Comparison!F65</f>
        <v>2276761.6759224394</v>
      </c>
      <c r="G38" s="176">
        <f>Comparison!G65</f>
        <v>2618275.9273108053</v>
      </c>
      <c r="H38" s="176">
        <f>Comparison!H65</f>
        <v>3011017.3164074258</v>
      </c>
      <c r="I38" s="176">
        <f>Comparison!I65</f>
        <v>3462669.9138685395</v>
      </c>
      <c r="J38" s="176">
        <f>Comparison!J65</f>
        <v>3982070.4009488202</v>
      </c>
    </row>
    <row r="39" spans="2:17" hidden="1" outlineLevel="1" x14ac:dyDescent="0.3">
      <c r="B39" s="66" t="s">
        <v>3</v>
      </c>
      <c r="C39" s="176">
        <f>Comparison!C76</f>
        <v>-4792751.7473741118</v>
      </c>
      <c r="D39" s="176">
        <f>Comparison!D76</f>
        <v>-4893726.5707059009</v>
      </c>
      <c r="E39" s="176">
        <f>Comparison!E76</f>
        <v>-1436016.2058715634</v>
      </c>
      <c r="F39" s="176">
        <f>Comparison!F76</f>
        <v>-1511494.8863120754</v>
      </c>
      <c r="G39" s="176">
        <f>Comparison!G76</f>
        <v>-1598295.368818664</v>
      </c>
      <c r="H39" s="176">
        <f>Comparison!H76</f>
        <v>-1698115.9237012411</v>
      </c>
      <c r="I39" s="176">
        <f>Comparison!I76</f>
        <v>-1812909.5618162048</v>
      </c>
      <c r="J39" s="176">
        <f>Comparison!J76</f>
        <v>-1944922.245648413</v>
      </c>
    </row>
    <row r="40" spans="2:17" hidden="1" outlineLevel="1" x14ac:dyDescent="0.3">
      <c r="B40" s="73" t="s">
        <v>4</v>
      </c>
      <c r="C40" s="74">
        <f t="shared" ref="C40:J40" si="1">C38+C39</f>
        <v>-3468475.6526104417</v>
      </c>
      <c r="D40" s="74">
        <f t="shared" si="1"/>
        <v>-3172167.6475131297</v>
      </c>
      <c r="E40" s="74">
        <f t="shared" si="1"/>
        <v>543776.55580012337</v>
      </c>
      <c r="F40" s="74">
        <f t="shared" si="1"/>
        <v>765266.78961036401</v>
      </c>
      <c r="G40" s="74">
        <f t="shared" si="1"/>
        <v>1019980.5584921413</v>
      </c>
      <c r="H40" s="74">
        <f t="shared" si="1"/>
        <v>1312901.3927061846</v>
      </c>
      <c r="I40" s="74">
        <f t="shared" si="1"/>
        <v>1649760.3520523347</v>
      </c>
      <c r="J40" s="74">
        <f t="shared" si="1"/>
        <v>2037148.1553004072</v>
      </c>
    </row>
    <row r="41" spans="2:17" hidden="1" outlineLevel="1" x14ac:dyDescent="0.3">
      <c r="B41" s="170" t="s">
        <v>5</v>
      </c>
      <c r="C41" s="161">
        <f>SUM($C$40:C40)</f>
        <v>-3468475.6526104417</v>
      </c>
      <c r="D41" s="161">
        <f>SUM($C$40:D40)</f>
        <v>-6640643.3001235714</v>
      </c>
      <c r="E41" s="161">
        <f>SUM($C$40:E40)</f>
        <v>-6096866.7443234483</v>
      </c>
      <c r="F41" s="161">
        <f>SUM($C$40:F40)</f>
        <v>-5331599.9547130838</v>
      </c>
      <c r="G41" s="161">
        <f>SUM($C$40:G40)</f>
        <v>-4311619.396220943</v>
      </c>
      <c r="H41" s="161">
        <f>SUM($C$40:H40)</f>
        <v>-2998718.0035147583</v>
      </c>
      <c r="I41" s="161">
        <f>SUM($C$40:I40)</f>
        <v>-1348957.6514624236</v>
      </c>
      <c r="J41" s="161">
        <f>SUM($C$40:J40)</f>
        <v>688190.50383798359</v>
      </c>
    </row>
    <row r="42" spans="2:17" collapsed="1" x14ac:dyDescent="0.3">
      <c r="B42" s="76"/>
      <c r="C42" s="77"/>
      <c r="D42" s="77"/>
      <c r="E42" s="77"/>
      <c r="F42" s="77"/>
      <c r="G42" s="77"/>
      <c r="H42" s="77"/>
      <c r="I42" s="77"/>
      <c r="J42" s="77"/>
    </row>
    <row r="43" spans="2:17" x14ac:dyDescent="0.3">
      <c r="B43" s="78" t="s">
        <v>231</v>
      </c>
      <c r="C43" s="191" t="s">
        <v>230</v>
      </c>
      <c r="D43" s="77"/>
      <c r="E43" s="77"/>
      <c r="F43" s="77"/>
      <c r="G43" s="77"/>
      <c r="H43" s="77"/>
      <c r="I43" s="77"/>
      <c r="J43" s="77"/>
    </row>
    <row r="44" spans="2:17" x14ac:dyDescent="0.3">
      <c r="B44" s="76"/>
      <c r="C44" s="77"/>
      <c r="D44" s="77"/>
      <c r="E44" s="77"/>
      <c r="F44" s="77"/>
      <c r="G44" s="77"/>
      <c r="H44" s="77"/>
      <c r="I44" s="77"/>
      <c r="J44" s="77"/>
    </row>
    <row r="45" spans="2:17" x14ac:dyDescent="0.3">
      <c r="B45" s="78" t="s">
        <v>149</v>
      </c>
      <c r="C45" s="184">
        <f>Comparison!F87</f>
        <v>8000000</v>
      </c>
      <c r="D45" s="77"/>
      <c r="E45" s="77"/>
      <c r="F45" s="77"/>
      <c r="G45" s="77"/>
      <c r="H45" s="77"/>
      <c r="I45" s="77"/>
      <c r="J45" s="77"/>
    </row>
    <row r="46" spans="2:17" x14ac:dyDescent="0.3">
      <c r="B46" s="76"/>
      <c r="C46" s="190"/>
      <c r="D46" s="77"/>
      <c r="E46" s="77"/>
      <c r="F46" s="77"/>
      <c r="G46" s="77"/>
      <c r="H46" s="77"/>
      <c r="I46" s="77"/>
      <c r="J46" s="77"/>
    </row>
    <row r="47" spans="2:17" x14ac:dyDescent="0.3">
      <c r="B47" s="78" t="s">
        <v>201</v>
      </c>
      <c r="C47" s="183">
        <f>Comparison!C87</f>
        <v>0.11</v>
      </c>
    </row>
    <row r="48" spans="2:17" x14ac:dyDescent="0.3">
      <c r="B48" s="78"/>
      <c r="C48" s="189"/>
    </row>
    <row r="49" spans="2:17" x14ac:dyDescent="0.3">
      <c r="B49" s="78" t="s">
        <v>222</v>
      </c>
      <c r="C49" s="184">
        <f>Comparison!J81</f>
        <v>688190.50383798359</v>
      </c>
    </row>
    <row r="50" spans="2:17" x14ac:dyDescent="0.3">
      <c r="C50" s="79"/>
    </row>
    <row r="51" spans="2:17" x14ac:dyDescent="0.3">
      <c r="B51" s="78" t="s">
        <v>218</v>
      </c>
      <c r="C51" s="171">
        <f>Comparison!C89</f>
        <v>-2011111.9525307678</v>
      </c>
      <c r="D51" s="97" t="s">
        <v>223</v>
      </c>
      <c r="E51" s="175" t="str">
        <f>IF(C51&lt;0,"Reject","Accept")</f>
        <v>Reject</v>
      </c>
      <c r="G51" s="94"/>
    </row>
    <row r="52" spans="2:17" x14ac:dyDescent="0.3">
      <c r="B52" s="78"/>
      <c r="C52" s="80"/>
      <c r="E52" s="78"/>
      <c r="F52" s="135"/>
      <c r="G52" s="94"/>
    </row>
    <row r="53" spans="2:17" x14ac:dyDescent="0.3">
      <c r="B53" s="78" t="s">
        <v>147</v>
      </c>
      <c r="C53" s="86">
        <f>Comparison!C92</f>
        <v>2.1161737142411541E-2</v>
      </c>
      <c r="D53" s="97" t="s">
        <v>223</v>
      </c>
      <c r="E53" s="175" t="str">
        <f>IF(C53&lt;C47,"Reject","Accept")</f>
        <v>Reject</v>
      </c>
      <c r="G53" s="135"/>
    </row>
    <row r="54" spans="2:17" x14ac:dyDescent="0.3">
      <c r="B54" s="78"/>
      <c r="C54" s="80"/>
    </row>
    <row r="55" spans="2:17" x14ac:dyDescent="0.3">
      <c r="B55" s="78" t="s">
        <v>148</v>
      </c>
      <c r="C55" s="169">
        <f>Comparison!C94</f>
        <v>6.662179453150034</v>
      </c>
      <c r="D55" s="97"/>
    </row>
    <row r="56" spans="2:17" x14ac:dyDescent="0.3">
      <c r="C56" s="76"/>
    </row>
    <row r="57" spans="2:17" ht="15" customHeight="1" x14ac:dyDescent="0.3">
      <c r="B57" s="78" t="s">
        <v>151</v>
      </c>
      <c r="C57" s="86">
        <f>Comparison!C96</f>
        <v>-0.13026307647001772</v>
      </c>
      <c r="D57" s="97" t="s">
        <v>223</v>
      </c>
      <c r="E57" s="175" t="str">
        <f>IF(C57&lt;0,"Reject","Accept")</f>
        <v>Reject</v>
      </c>
    </row>
    <row r="59" spans="2:17" ht="15" customHeight="1" x14ac:dyDescent="0.3">
      <c r="B59" s="78" t="s">
        <v>150</v>
      </c>
      <c r="C59" s="136">
        <f>Comparison!F89</f>
        <v>13480465.240800004</v>
      </c>
      <c r="D59" s="97"/>
    </row>
    <row r="62" spans="2:17" ht="64.25" customHeight="1" x14ac:dyDescent="0.3">
      <c r="B62" s="226" t="s">
        <v>236</v>
      </c>
      <c r="C62" s="226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</row>
  </sheetData>
  <mergeCells count="8">
    <mergeCell ref="E6:J6"/>
    <mergeCell ref="E35:J35"/>
    <mergeCell ref="B62:Q62"/>
    <mergeCell ref="B5:H5"/>
    <mergeCell ref="C6:D6"/>
    <mergeCell ref="B34:H34"/>
    <mergeCell ref="C35:D35"/>
    <mergeCell ref="B36:B37"/>
  </mergeCells>
  <conditionalFormatting sqref="E23">
    <cfRule type="cellIs" dxfId="12" priority="25" operator="equal">
      <formula>"Accept"</formula>
    </cfRule>
    <cfRule type="cellIs" dxfId="11" priority="26" operator="equal">
      <formula>"Reject"</formula>
    </cfRule>
  </conditionalFormatting>
  <conditionalFormatting sqref="E25">
    <cfRule type="cellIs" dxfId="10" priority="17" operator="equal">
      <formula>"Accept"</formula>
    </cfRule>
    <cfRule type="cellIs" dxfId="9" priority="18" operator="equal">
      <formula>"Reject"</formula>
    </cfRule>
  </conditionalFormatting>
  <conditionalFormatting sqref="E29">
    <cfRule type="cellIs" dxfId="8" priority="13" operator="equal">
      <formula>"Accept"</formula>
    </cfRule>
    <cfRule type="cellIs" dxfId="7" priority="14" operator="equal">
      <formula>"Reject"</formula>
    </cfRule>
  </conditionalFormatting>
  <conditionalFormatting sqref="E51">
    <cfRule type="cellIs" dxfId="6" priority="9" operator="equal">
      <formula>"Accept"</formula>
    </cfRule>
    <cfRule type="cellIs" dxfId="5" priority="10" operator="equal">
      <formula>"Reject"</formula>
    </cfRule>
  </conditionalFormatting>
  <conditionalFormatting sqref="E53">
    <cfRule type="cellIs" dxfId="4" priority="7" operator="equal">
      <formula>"Accept"</formula>
    </cfRule>
    <cfRule type="cellIs" dxfId="3" priority="8" operator="equal">
      <formula>"Reject"</formula>
    </cfRule>
  </conditionalFormatting>
  <conditionalFormatting sqref="E57">
    <cfRule type="cellIs" dxfId="2" priority="3" operator="equal">
      <formula>"Accept"</formula>
    </cfRule>
    <cfRule type="cellIs" dxfId="1" priority="4" operator="equal">
      <formula>"Reject"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F950-2C5F-47F8-9C22-24498D8761BA}">
  <dimension ref="A1:AC96"/>
  <sheetViews>
    <sheetView showGridLines="0" zoomScale="90" zoomScaleNormal="90" workbookViewId="0">
      <selection activeCell="C55" sqref="C55"/>
    </sheetView>
  </sheetViews>
  <sheetFormatPr defaultColWidth="12.453125" defaultRowHeight="15" customHeight="1" outlineLevelRow="1" x14ac:dyDescent="0.3"/>
  <cols>
    <col min="1" max="1" width="8.1796875" style="66" customWidth="1"/>
    <col min="2" max="2" width="31.81640625" style="66" customWidth="1"/>
    <col min="3" max="3" width="13.36328125" style="66" customWidth="1"/>
    <col min="4" max="4" width="12.36328125" style="66" customWidth="1"/>
    <col min="5" max="10" width="11.81640625" style="66" customWidth="1"/>
    <col min="11" max="11" width="5.6328125" style="66" customWidth="1"/>
    <col min="12" max="12" width="11.81640625" style="66" customWidth="1"/>
    <col min="13" max="13" width="12.90625" style="66" customWidth="1"/>
    <col min="14" max="18" width="11.81640625" style="66" customWidth="1"/>
    <col min="19" max="19" width="13.90625" style="66" customWidth="1"/>
    <col min="20" max="29" width="11.81640625" style="66" customWidth="1"/>
    <col min="30" max="16384" width="12.453125" style="66"/>
  </cols>
  <sheetData>
    <row r="1" spans="1:29" ht="13" x14ac:dyDescent="0.3">
      <c r="C1" s="66" t="s">
        <v>0</v>
      </c>
    </row>
    <row r="2" spans="1:29" ht="18.5" x14ac:dyDescent="0.45">
      <c r="B2" s="81" t="s">
        <v>173</v>
      </c>
      <c r="C2" s="67"/>
      <c r="D2" s="67"/>
      <c r="E2" s="67"/>
      <c r="F2" s="67"/>
      <c r="G2" s="67"/>
      <c r="H2" s="67"/>
      <c r="I2" s="76"/>
      <c r="J2" s="76"/>
    </row>
    <row r="3" spans="1:29" ht="8.4" customHeight="1" x14ac:dyDescent="0.3">
      <c r="B3" s="68"/>
    </row>
    <row r="4" spans="1:29" ht="13" x14ac:dyDescent="0.3">
      <c r="B4" s="68" t="s">
        <v>205</v>
      </c>
    </row>
    <row r="5" spans="1:29" ht="30" customHeight="1" x14ac:dyDescent="0.3">
      <c r="B5" s="232" t="s">
        <v>228</v>
      </c>
      <c r="C5" s="232"/>
      <c r="D5" s="232"/>
      <c r="E5" s="232"/>
      <c r="F5" s="232"/>
      <c r="G5" s="232"/>
      <c r="H5" s="232"/>
      <c r="I5" s="232"/>
      <c r="J5" s="232"/>
    </row>
    <row r="6" spans="1:29" ht="8.4" customHeight="1" x14ac:dyDescent="0.3"/>
    <row r="7" spans="1:29" ht="24" customHeight="1" x14ac:dyDescent="0.3">
      <c r="B7" s="227" t="s">
        <v>7</v>
      </c>
      <c r="C7" s="227"/>
      <c r="D7" s="227"/>
      <c r="E7" s="227"/>
      <c r="F7" s="227"/>
      <c r="G7" s="227"/>
      <c r="H7" s="227"/>
      <c r="I7" s="159"/>
      <c r="J7" s="159"/>
      <c r="L7" s="233" t="s">
        <v>169</v>
      </c>
      <c r="M7" s="233"/>
      <c r="N7" s="233"/>
      <c r="O7" s="233"/>
      <c r="P7" s="233"/>
    </row>
    <row r="8" spans="1:29" ht="14.4" customHeight="1" x14ac:dyDescent="0.3">
      <c r="A8" s="69"/>
      <c r="B8" s="166"/>
      <c r="C8" s="225" t="s">
        <v>167</v>
      </c>
      <c r="D8" s="228"/>
      <c r="E8" s="224" t="s">
        <v>168</v>
      </c>
      <c r="F8" s="225"/>
      <c r="G8" s="225"/>
      <c r="H8" s="225"/>
      <c r="I8" s="151"/>
      <c r="J8" s="151"/>
      <c r="K8" s="69"/>
      <c r="L8" s="233"/>
      <c r="M8" s="233"/>
      <c r="N8" s="233"/>
      <c r="O8" s="233"/>
      <c r="P8" s="233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</row>
    <row r="9" spans="1:29" ht="14.4" customHeight="1" x14ac:dyDescent="0.3">
      <c r="A9" s="69"/>
      <c r="B9" s="164" t="s">
        <v>137</v>
      </c>
      <c r="C9" s="100">
        <v>2018</v>
      </c>
      <c r="D9" s="137">
        <v>2019</v>
      </c>
      <c r="E9" s="100">
        <v>2020</v>
      </c>
      <c r="F9" s="100">
        <v>2021</v>
      </c>
      <c r="G9" s="100">
        <v>2022</v>
      </c>
      <c r="H9" s="100">
        <v>2023</v>
      </c>
      <c r="I9" s="100">
        <v>2024</v>
      </c>
      <c r="J9" s="100">
        <v>2025</v>
      </c>
      <c r="K9" s="69"/>
      <c r="L9" s="233"/>
      <c r="M9" s="233"/>
      <c r="N9" s="233"/>
      <c r="O9" s="233"/>
      <c r="P9" s="233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</row>
    <row r="10" spans="1:29" ht="13" x14ac:dyDescent="0.3">
      <c r="A10" s="69"/>
      <c r="B10" s="192"/>
      <c r="C10" s="70">
        <v>0</v>
      </c>
      <c r="D10" s="138">
        <v>1</v>
      </c>
      <c r="E10" s="70">
        <v>2</v>
      </c>
      <c r="F10" s="70">
        <v>3</v>
      </c>
      <c r="G10" s="70">
        <v>4</v>
      </c>
      <c r="H10" s="70">
        <v>5</v>
      </c>
      <c r="I10" s="70">
        <v>6</v>
      </c>
      <c r="J10" s="70">
        <v>7</v>
      </c>
      <c r="K10" s="69"/>
      <c r="L10" s="234"/>
      <c r="M10" s="234"/>
      <c r="N10" s="234"/>
      <c r="O10" s="234"/>
      <c r="P10" s="234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spans="1:29" ht="13" x14ac:dyDescent="0.3">
      <c r="B11" s="196" t="s">
        <v>153</v>
      </c>
      <c r="C11" s="176"/>
      <c r="D11" s="176"/>
      <c r="E11" s="176"/>
      <c r="F11" s="176"/>
      <c r="G11" s="176"/>
      <c r="H11" s="176"/>
      <c r="I11" s="176"/>
      <c r="J11" s="176"/>
      <c r="M11" s="71"/>
      <c r="T11" s="71"/>
    </row>
    <row r="12" spans="1:29" ht="13" outlineLevel="1" x14ac:dyDescent="0.3">
      <c r="B12" s="101" t="s">
        <v>144</v>
      </c>
      <c r="C12" s="176">
        <v>0</v>
      </c>
      <c r="D12" s="176">
        <f>C12</f>
        <v>0</v>
      </c>
      <c r="E12" s="176">
        <f>'Income Statement'!G7*0.5</f>
        <v>2207126.8246061169</v>
      </c>
      <c r="F12" s="176">
        <f>E12*1.1</f>
        <v>2427839.5070667285</v>
      </c>
      <c r="G12" s="176">
        <f>F12*1.1</f>
        <v>2670623.4577734014</v>
      </c>
      <c r="H12" s="176">
        <f>G12*1.1</f>
        <v>2937685.8035507416</v>
      </c>
      <c r="I12" s="176">
        <f>H12*1.1</f>
        <v>3231454.3839058159</v>
      </c>
      <c r="J12" s="176">
        <f>I12*1.1</f>
        <v>3554599.8222963978</v>
      </c>
      <c r="L12" s="66" t="s">
        <v>170</v>
      </c>
      <c r="M12" s="71"/>
      <c r="T12" s="71"/>
    </row>
    <row r="13" spans="1:29" ht="13" outlineLevel="1" x14ac:dyDescent="0.3">
      <c r="B13" s="101" t="s">
        <v>140</v>
      </c>
      <c r="C13" s="176">
        <f>'Investment Details'!D11</f>
        <v>500000</v>
      </c>
      <c r="D13" s="176">
        <f>'Investment Details'!E11</f>
        <v>700000</v>
      </c>
      <c r="E13" s="177"/>
      <c r="F13" s="176"/>
      <c r="G13" s="176"/>
      <c r="H13" s="176"/>
      <c r="I13" s="176"/>
      <c r="J13" s="176"/>
      <c r="M13" s="71"/>
      <c r="T13" s="71"/>
    </row>
    <row r="14" spans="1:29" ht="13" outlineLevel="1" x14ac:dyDescent="0.3">
      <c r="B14" s="101" t="s">
        <v>142</v>
      </c>
      <c r="C14" s="176">
        <f>'Investment Details'!D13</f>
        <v>450000</v>
      </c>
      <c r="D14" s="176">
        <f>'Investment Details'!E13</f>
        <v>1050000</v>
      </c>
      <c r="E14" s="177"/>
      <c r="F14" s="176"/>
      <c r="G14" s="176"/>
      <c r="H14" s="176"/>
      <c r="I14" s="176"/>
      <c r="J14" s="176"/>
      <c r="K14" s="103"/>
      <c r="L14" s="102"/>
      <c r="M14" s="71"/>
      <c r="T14" s="71"/>
    </row>
    <row r="15" spans="1:29" ht="13" outlineLevel="1" x14ac:dyDescent="0.3">
      <c r="B15" s="101"/>
      <c r="C15" s="178"/>
      <c r="D15" s="178"/>
      <c r="E15" s="181"/>
      <c r="F15" s="178"/>
      <c r="G15" s="178"/>
      <c r="H15" s="178"/>
      <c r="I15" s="178"/>
      <c r="J15" s="178"/>
      <c r="K15" s="103"/>
      <c r="L15" s="102"/>
      <c r="M15" s="71"/>
      <c r="T15" s="71"/>
    </row>
    <row r="16" spans="1:29" ht="13" x14ac:dyDescent="0.3">
      <c r="B16" s="105" t="s">
        <v>10</v>
      </c>
      <c r="C16" s="176">
        <f t="shared" ref="C16:J16" si="0">SUM(C11:C14)</f>
        <v>950000</v>
      </c>
      <c r="D16" s="176">
        <f t="shared" si="0"/>
        <v>1750000</v>
      </c>
      <c r="E16" s="176">
        <f t="shared" si="0"/>
        <v>2207126.8246061169</v>
      </c>
      <c r="F16" s="176">
        <f t="shared" si="0"/>
        <v>2427839.5070667285</v>
      </c>
      <c r="G16" s="176">
        <f t="shared" si="0"/>
        <v>2670623.4577734014</v>
      </c>
      <c r="H16" s="176">
        <f t="shared" si="0"/>
        <v>2937685.8035507416</v>
      </c>
      <c r="I16" s="176">
        <f t="shared" si="0"/>
        <v>3231454.3839058159</v>
      </c>
      <c r="J16" s="176">
        <f t="shared" si="0"/>
        <v>3554599.8222963978</v>
      </c>
      <c r="K16" s="104"/>
      <c r="L16" s="102"/>
      <c r="M16" s="71"/>
      <c r="T16" s="71"/>
    </row>
    <row r="17" spans="2:20" ht="13" x14ac:dyDescent="0.3">
      <c r="B17" s="107" t="s">
        <v>152</v>
      </c>
      <c r="C17" s="176">
        <f>C16/(1+$C$44)^C10</f>
        <v>950000</v>
      </c>
      <c r="D17" s="176">
        <f>D16/(1+$C$44)^D10</f>
        <v>1683847.1339741836</v>
      </c>
      <c r="E17" s="176">
        <f>E16/(1+$C$44)^E10</f>
        <v>2043414.7116819844</v>
      </c>
      <c r="F17" s="176">
        <f>F16/(1+$C$44)^F10</f>
        <v>2162787.3179228748</v>
      </c>
      <c r="G17" s="176">
        <f t="shared" ref="G17:J17" si="1">G16/(1+$C$44)^G10</f>
        <v>2289133.4567703763</v>
      </c>
      <c r="H17" s="176">
        <f t="shared" si="1"/>
        <v>2422860.5094365347</v>
      </c>
      <c r="I17" s="176">
        <f t="shared" si="1"/>
        <v>2564399.6556099043</v>
      </c>
      <c r="J17" s="176">
        <f t="shared" si="1"/>
        <v>2714207.2637196761</v>
      </c>
      <c r="K17" s="104"/>
      <c r="L17" s="102"/>
      <c r="M17" s="71"/>
      <c r="T17" s="71"/>
    </row>
    <row r="18" spans="2:20" ht="13" x14ac:dyDescent="0.3">
      <c r="B18" s="106" t="s">
        <v>219</v>
      </c>
      <c r="C18" s="179">
        <f>SUM($C$17:C17)</f>
        <v>950000</v>
      </c>
      <c r="D18" s="179">
        <f>SUM($C$17:D17)</f>
        <v>2633847.1339741834</v>
      </c>
      <c r="E18" s="179">
        <f>SUM($C$17:E17)</f>
        <v>4677261.8456561677</v>
      </c>
      <c r="F18" s="179">
        <f>SUM($C$17:F17)</f>
        <v>6840049.163579043</v>
      </c>
      <c r="G18" s="179">
        <f>SUM($C$17:G17)</f>
        <v>9129182.6203494184</v>
      </c>
      <c r="H18" s="179">
        <f>SUM($C$17:H17)</f>
        <v>11552043.129785953</v>
      </c>
      <c r="I18" s="179">
        <f>SUM($C$17:I17)</f>
        <v>14116442.785395857</v>
      </c>
      <c r="J18" s="179">
        <f>SUM($C$17:J17)</f>
        <v>16830650.049115531</v>
      </c>
      <c r="L18" s="108" t="s">
        <v>216</v>
      </c>
      <c r="M18" s="71"/>
      <c r="T18" s="71"/>
    </row>
    <row r="19" spans="2:20" ht="13" x14ac:dyDescent="0.3">
      <c r="B19" s="106"/>
      <c r="C19" s="179"/>
      <c r="D19" s="179"/>
      <c r="E19" s="179"/>
      <c r="F19" s="179"/>
      <c r="G19" s="179"/>
      <c r="H19" s="179"/>
      <c r="I19" s="179"/>
      <c r="J19" s="179"/>
      <c r="L19" s="108"/>
      <c r="M19" s="71"/>
      <c r="T19" s="71"/>
    </row>
    <row r="20" spans="2:20" ht="13" x14ac:dyDescent="0.3">
      <c r="B20" s="98"/>
      <c r="C20" s="176"/>
      <c r="D20" s="176"/>
      <c r="E20" s="176"/>
      <c r="F20" s="176"/>
      <c r="G20" s="176"/>
      <c r="H20" s="176"/>
      <c r="I20" s="176"/>
      <c r="J20" s="176"/>
      <c r="K20" s="104"/>
      <c r="L20" s="102"/>
      <c r="M20" s="71"/>
      <c r="T20" s="71"/>
    </row>
    <row r="21" spans="2:20" ht="13" x14ac:dyDescent="0.3">
      <c r="B21" s="196" t="s">
        <v>3</v>
      </c>
      <c r="C21" s="176"/>
      <c r="D21" s="176"/>
      <c r="E21" s="176"/>
      <c r="F21" s="176"/>
      <c r="G21" s="176"/>
      <c r="H21" s="176"/>
      <c r="I21" s="176"/>
      <c r="J21" s="176"/>
      <c r="M21" s="71"/>
      <c r="T21" s="71"/>
    </row>
    <row r="22" spans="2:20" ht="13" outlineLevel="1" x14ac:dyDescent="0.3">
      <c r="B22" s="101" t="s">
        <v>185</v>
      </c>
      <c r="C22" s="176">
        <f>-'Investment Details'!D5</f>
        <v>-611309.28044485638</v>
      </c>
      <c r="D22" s="176">
        <f>-'Investment Details'!E5</f>
        <v>-916963.92066728452</v>
      </c>
      <c r="E22" s="176"/>
      <c r="F22" s="176"/>
      <c r="G22" s="176"/>
      <c r="H22" s="176"/>
      <c r="I22" s="176"/>
      <c r="J22" s="176"/>
      <c r="M22" s="71"/>
      <c r="T22" s="71"/>
    </row>
    <row r="23" spans="2:20" ht="13" outlineLevel="1" x14ac:dyDescent="0.3">
      <c r="B23" s="101" t="s">
        <v>187</v>
      </c>
      <c r="C23" s="176"/>
      <c r="D23" s="176">
        <f>-'Investment Details'!E6</f>
        <v>-3000000</v>
      </c>
      <c r="E23" s="176"/>
      <c r="F23" s="176"/>
      <c r="G23" s="176"/>
      <c r="H23" s="176"/>
      <c r="I23" s="176"/>
      <c r="J23" s="176"/>
      <c r="L23" s="221"/>
      <c r="M23" s="71"/>
      <c r="T23" s="71"/>
    </row>
    <row r="24" spans="2:20" ht="13" outlineLevel="1" x14ac:dyDescent="0.3">
      <c r="B24" s="101" t="s">
        <v>188</v>
      </c>
      <c r="C24" s="176">
        <f>-'Investment Details'!D8</f>
        <v>-375000</v>
      </c>
      <c r="D24" s="176">
        <f>-'Investment Details'!E8</f>
        <v>-375000</v>
      </c>
      <c r="E24" s="176"/>
      <c r="F24" s="176"/>
      <c r="G24" s="176"/>
      <c r="H24" s="176"/>
      <c r="I24" s="176"/>
      <c r="J24" s="176"/>
      <c r="M24" s="71"/>
      <c r="T24" s="71"/>
    </row>
    <row r="25" spans="2:20" ht="13" outlineLevel="1" x14ac:dyDescent="0.3">
      <c r="B25" s="101" t="s">
        <v>174</v>
      </c>
      <c r="C25" s="176">
        <f>-'Investment Details'!D7</f>
        <v>-56000</v>
      </c>
      <c r="D25" s="176">
        <f>-'Investment Details'!E7</f>
        <v>-84000</v>
      </c>
      <c r="E25" s="176"/>
      <c r="F25" s="176"/>
      <c r="G25" s="176"/>
      <c r="H25" s="176"/>
      <c r="I25" s="176"/>
      <c r="J25" s="176"/>
      <c r="M25" s="223" t="s">
        <v>240</v>
      </c>
      <c r="T25" s="71"/>
    </row>
    <row r="26" spans="2:20" ht="13" outlineLevel="1" x14ac:dyDescent="0.3">
      <c r="B26" s="101" t="s">
        <v>154</v>
      </c>
      <c r="C26" s="176"/>
      <c r="D26" s="176"/>
      <c r="E26" s="176">
        <f>10*-'Income Statement'!K23</f>
        <v>-228084.50146740812</v>
      </c>
      <c r="F26" s="176">
        <f>10*-'Income Statement'!K23</f>
        <v>-228084.50146740812</v>
      </c>
      <c r="G26" s="176">
        <f>10*-'Income Statement'!K23</f>
        <v>-228084.50146740812</v>
      </c>
      <c r="H26" s="176">
        <f>10*-'Income Statement'!K23</f>
        <v>-228084.50146740812</v>
      </c>
      <c r="I26" s="176">
        <f>10*-'Income Statement'!K23</f>
        <v>-228084.50146740812</v>
      </c>
      <c r="J26" s="176">
        <f>10*-'Income Statement'!K23</f>
        <v>-228084.50146740812</v>
      </c>
      <c r="L26" s="66" t="s">
        <v>155</v>
      </c>
      <c r="M26" s="71" t="s">
        <v>156</v>
      </c>
      <c r="T26" s="71"/>
    </row>
    <row r="27" spans="2:20" ht="13" outlineLevel="1" x14ac:dyDescent="0.3">
      <c r="B27" s="101"/>
      <c r="C27" s="176"/>
      <c r="D27" s="176"/>
      <c r="E27" s="176"/>
      <c r="F27" s="176"/>
      <c r="G27" s="176"/>
      <c r="H27" s="176"/>
      <c r="I27" s="176"/>
      <c r="J27" s="176"/>
      <c r="M27" s="71" t="s">
        <v>186</v>
      </c>
      <c r="T27" s="71"/>
    </row>
    <row r="28" spans="2:20" ht="13" outlineLevel="1" x14ac:dyDescent="0.3">
      <c r="B28" s="101" t="s">
        <v>191</v>
      </c>
      <c r="C28" s="180"/>
      <c r="D28" s="176"/>
      <c r="E28" s="176">
        <f>-'Income Statement'!G19*0.5</f>
        <v>-261672</v>
      </c>
      <c r="F28" s="176">
        <f>E28*1.1</f>
        <v>-287839.2</v>
      </c>
      <c r="G28" s="176">
        <f t="shared" ref="F28:J29" si="2">F28*1.1</f>
        <v>-316623.12000000005</v>
      </c>
      <c r="H28" s="176">
        <f t="shared" si="2"/>
        <v>-348285.43200000009</v>
      </c>
      <c r="I28" s="176">
        <f t="shared" si="2"/>
        <v>-383113.9752000001</v>
      </c>
      <c r="J28" s="176">
        <f t="shared" si="2"/>
        <v>-421425.37272000016</v>
      </c>
      <c r="L28" s="66" t="s">
        <v>206</v>
      </c>
      <c r="M28" s="143"/>
      <c r="N28" s="146"/>
      <c r="T28" s="71"/>
    </row>
    <row r="29" spans="2:20" ht="13" outlineLevel="1" x14ac:dyDescent="0.3">
      <c r="B29" s="101" t="s">
        <v>224</v>
      </c>
      <c r="C29" s="176"/>
      <c r="D29" s="176"/>
      <c r="E29" s="176">
        <f>-'Income Statement'!G8*0.5</f>
        <v>-560971.24073215947</v>
      </c>
      <c r="F29" s="176">
        <f t="shared" si="2"/>
        <v>-617068.36480537546</v>
      </c>
      <c r="G29" s="176">
        <f t="shared" si="2"/>
        <v>-678775.201285913</v>
      </c>
      <c r="H29" s="176">
        <f t="shared" si="2"/>
        <v>-746652.72141450434</v>
      </c>
      <c r="I29" s="176">
        <f t="shared" si="2"/>
        <v>-821317.99355595489</v>
      </c>
      <c r="J29" s="176">
        <f t="shared" si="2"/>
        <v>-903449.7929115505</v>
      </c>
      <c r="L29" s="66" t="s">
        <v>225</v>
      </c>
      <c r="M29" s="143"/>
      <c r="N29" s="146"/>
      <c r="T29" s="71"/>
    </row>
    <row r="30" spans="2:20" ht="13" outlineLevel="1" x14ac:dyDescent="0.3">
      <c r="B30" s="101" t="s">
        <v>141</v>
      </c>
      <c r="C30" s="176"/>
      <c r="D30" s="176"/>
      <c r="E30" s="176"/>
      <c r="F30" s="176"/>
      <c r="G30" s="176"/>
      <c r="H30" s="176">
        <f>-'Investment Details'!C11</f>
        <v>-1200000</v>
      </c>
      <c r="I30" s="176"/>
      <c r="J30" s="176"/>
      <c r="S30" s="72"/>
      <c r="T30" s="71"/>
    </row>
    <row r="31" spans="2:20" ht="13" outlineLevel="1" x14ac:dyDescent="0.3">
      <c r="B31" s="101" t="s">
        <v>210</v>
      </c>
      <c r="C31" s="176"/>
      <c r="D31" s="177"/>
      <c r="E31" s="177"/>
      <c r="F31" s="176">
        <f>-(C14+D14)</f>
        <v>-1500000</v>
      </c>
      <c r="G31" s="176"/>
      <c r="H31" s="176"/>
      <c r="I31" s="176"/>
      <c r="J31" s="176"/>
      <c r="K31" s="102"/>
      <c r="L31" s="174" t="s">
        <v>217</v>
      </c>
      <c r="S31" s="72"/>
      <c r="T31" s="71"/>
    </row>
    <row r="32" spans="2:20" ht="13" outlineLevel="1" x14ac:dyDescent="0.3">
      <c r="B32" s="101"/>
      <c r="C32" s="178"/>
      <c r="D32" s="181"/>
      <c r="E32" s="181"/>
      <c r="F32" s="178"/>
      <c r="G32" s="178"/>
      <c r="H32" s="178"/>
      <c r="I32" s="178"/>
      <c r="J32" s="178"/>
      <c r="K32" s="102"/>
      <c r="L32" s="174"/>
      <c r="S32" s="72"/>
      <c r="T32" s="71"/>
    </row>
    <row r="33" spans="1:20" ht="13" x14ac:dyDescent="0.3">
      <c r="B33" s="105" t="s">
        <v>10</v>
      </c>
      <c r="C33" s="176">
        <f t="shared" ref="C33:J33" si="3">SUM(C22:C31)</f>
        <v>-1042309.2804448564</v>
      </c>
      <c r="D33" s="176">
        <f t="shared" si="3"/>
        <v>-4375963.9206672851</v>
      </c>
      <c r="E33" s="176">
        <f t="shared" si="3"/>
        <v>-1050727.7421995676</v>
      </c>
      <c r="F33" s="176">
        <f t="shared" si="3"/>
        <v>-2632992.0662727836</v>
      </c>
      <c r="G33" s="176">
        <f t="shared" si="3"/>
        <v>-1223482.8227533211</v>
      </c>
      <c r="H33" s="176">
        <f t="shared" si="3"/>
        <v>-2523022.6548819123</v>
      </c>
      <c r="I33" s="176">
        <f t="shared" si="3"/>
        <v>-1432516.470223363</v>
      </c>
      <c r="J33" s="176">
        <f t="shared" si="3"/>
        <v>-1552959.6670989587</v>
      </c>
      <c r="K33" s="102"/>
      <c r="L33" s="102"/>
      <c r="S33" s="72"/>
      <c r="T33" s="71"/>
    </row>
    <row r="34" spans="1:20" ht="13" x14ac:dyDescent="0.3">
      <c r="B34" s="107" t="s">
        <v>202</v>
      </c>
      <c r="C34" s="176">
        <f>C33/(1+$C$44)^C10</f>
        <v>-1042309.2804448564</v>
      </c>
      <c r="D34" s="176">
        <f t="shared" ref="D34:J34" si="4">D33/(1+$C$44)^D10</f>
        <v>-4210545.3178228801</v>
      </c>
      <c r="E34" s="176">
        <f t="shared" si="4"/>
        <v>-972790.73519762862</v>
      </c>
      <c r="F34" s="176">
        <f t="shared" si="4"/>
        <v>-2345542.9539518598</v>
      </c>
      <c r="G34" s="176">
        <f t="shared" si="4"/>
        <v>-1048712.2230565401</v>
      </c>
      <c r="H34" s="176">
        <f t="shared" si="4"/>
        <v>-2080866.4927809807</v>
      </c>
      <c r="I34" s="176">
        <f t="shared" si="4"/>
        <v>-1136808.4789289655</v>
      </c>
      <c r="J34" s="176">
        <f t="shared" si="4"/>
        <v>-1185802.7962147957</v>
      </c>
      <c r="K34" s="102"/>
      <c r="L34" s="102"/>
      <c r="S34" s="72"/>
      <c r="T34" s="71"/>
    </row>
    <row r="35" spans="1:20" ht="13" x14ac:dyDescent="0.3">
      <c r="B35" s="106" t="s">
        <v>220</v>
      </c>
      <c r="C35" s="179">
        <f>SUM($C$34:C34)</f>
        <v>-1042309.2804448564</v>
      </c>
      <c r="D35" s="182">
        <f>SUM($C$34:D34)</f>
        <v>-5252854.5982677368</v>
      </c>
      <c r="E35" s="182">
        <f>SUM($C$34:E34)</f>
        <v>-6225645.3334653657</v>
      </c>
      <c r="F35" s="179">
        <f>SUM($C$34:F34)</f>
        <v>-8571188.2874172255</v>
      </c>
      <c r="G35" s="179">
        <f>SUM($C$34:G34)</f>
        <v>-9619900.5104737654</v>
      </c>
      <c r="H35" s="179">
        <f>SUM($C$34:H34)</f>
        <v>-11700767.003254745</v>
      </c>
      <c r="I35" s="179">
        <f>SUM($C$34:I34)</f>
        <v>-12837575.48218371</v>
      </c>
      <c r="J35" s="179">
        <f>SUM($C$34:J34)</f>
        <v>-14023378.278398506</v>
      </c>
      <c r="K35" s="102"/>
      <c r="L35" s="102"/>
      <c r="S35" s="72"/>
      <c r="T35" s="71"/>
    </row>
    <row r="36" spans="1:20" ht="13" x14ac:dyDescent="0.3">
      <c r="B36" s="106"/>
      <c r="C36" s="176"/>
      <c r="D36" s="182"/>
      <c r="E36" s="182"/>
      <c r="F36" s="179"/>
      <c r="G36" s="179"/>
      <c r="H36" s="179"/>
      <c r="I36" s="179"/>
      <c r="J36" s="179"/>
      <c r="K36" s="102"/>
      <c r="L36" s="102"/>
      <c r="S36" s="72"/>
      <c r="T36" s="71"/>
    </row>
    <row r="37" spans="1:20" s="197" customFormat="1" ht="16.75" customHeight="1" x14ac:dyDescent="0.35">
      <c r="A37" s="205"/>
      <c r="B37" s="206" t="s">
        <v>234</v>
      </c>
      <c r="C37" s="198">
        <f>C16+C33</f>
        <v>-92309.280444856384</v>
      </c>
      <c r="D37" s="198">
        <f t="shared" ref="C37:J37" si="5">D16+D33</f>
        <v>-2625963.9206672851</v>
      </c>
      <c r="E37" s="198">
        <f t="shared" si="5"/>
        <v>1156399.0824065492</v>
      </c>
      <c r="F37" s="198">
        <f t="shared" si="5"/>
        <v>-205152.55920605501</v>
      </c>
      <c r="G37" s="198">
        <f t="shared" si="5"/>
        <v>1447140.6350200803</v>
      </c>
      <c r="H37" s="198">
        <f t="shared" si="5"/>
        <v>414663.14866882935</v>
      </c>
      <c r="I37" s="198">
        <f t="shared" si="5"/>
        <v>1798937.9136824529</v>
      </c>
      <c r="J37" s="208">
        <f t="shared" si="5"/>
        <v>2001640.155197439</v>
      </c>
      <c r="L37" s="199"/>
      <c r="S37" s="200"/>
      <c r="T37" s="201"/>
    </row>
    <row r="38" spans="1:20" s="197" customFormat="1" ht="16.75" customHeight="1" x14ac:dyDescent="0.35">
      <c r="A38" s="205"/>
      <c r="B38" s="207" t="s">
        <v>233</v>
      </c>
      <c r="C38" s="209">
        <f>SUM($C$37:C37)</f>
        <v>-92309.280444856384</v>
      </c>
      <c r="D38" s="209">
        <f>SUM($C$37:D37)</f>
        <v>-2718273.2011121414</v>
      </c>
      <c r="E38" s="209">
        <f>SUM($C$37:E37)</f>
        <v>-1561874.1187055921</v>
      </c>
      <c r="F38" s="209">
        <f>SUM($C$37:F37)</f>
        <v>-1767026.6779116471</v>
      </c>
      <c r="G38" s="209">
        <f>SUM($C$37:G37)</f>
        <v>-319886.04289156687</v>
      </c>
      <c r="H38" s="209">
        <f>SUM($C$37:H37)</f>
        <v>94777.105777262477</v>
      </c>
      <c r="I38" s="209">
        <f>SUM($C$37:I37)</f>
        <v>1893715.0194597153</v>
      </c>
      <c r="J38" s="210">
        <f>SUM($C$37:J37)</f>
        <v>3895355.1746571544</v>
      </c>
      <c r="S38" s="202"/>
      <c r="T38" s="201"/>
    </row>
    <row r="39" spans="1:20" s="197" customFormat="1" ht="14.4" customHeight="1" x14ac:dyDescent="0.35">
      <c r="B39" s="203"/>
      <c r="C39" s="204"/>
      <c r="D39" s="204"/>
      <c r="E39" s="204"/>
      <c r="F39" s="204"/>
      <c r="G39" s="204"/>
      <c r="H39" s="204"/>
      <c r="I39" s="204"/>
      <c r="J39" s="204"/>
      <c r="S39" s="202"/>
      <c r="T39" s="201"/>
    </row>
    <row r="40" spans="1:20" s="197" customFormat="1" ht="16.75" customHeight="1" x14ac:dyDescent="0.35">
      <c r="A40" s="205"/>
      <c r="B40" s="206" t="s">
        <v>235</v>
      </c>
      <c r="C40" s="198">
        <f>C17+C34</f>
        <v>-92309.280444856384</v>
      </c>
      <c r="D40" s="198">
        <f t="shared" ref="D40:J40" si="6">D17+D34</f>
        <v>-2526698.1838486968</v>
      </c>
      <c r="E40" s="198">
        <f t="shared" si="6"/>
        <v>1070623.9764843557</v>
      </c>
      <c r="F40" s="198">
        <f t="shared" si="6"/>
        <v>-182755.63602898503</v>
      </c>
      <c r="G40" s="198">
        <f t="shared" si="6"/>
        <v>1240421.2337138362</v>
      </c>
      <c r="H40" s="198">
        <f t="shared" si="6"/>
        <v>341994.01665555406</v>
      </c>
      <c r="I40" s="198">
        <f t="shared" si="6"/>
        <v>1427591.1766809388</v>
      </c>
      <c r="J40" s="208">
        <f t="shared" si="6"/>
        <v>1528404.4675048804</v>
      </c>
      <c r="S40" s="202"/>
      <c r="T40" s="201"/>
    </row>
    <row r="41" spans="1:20" s="197" customFormat="1" ht="16.75" customHeight="1" x14ac:dyDescent="0.35">
      <c r="A41" s="205"/>
      <c r="B41" s="207" t="s">
        <v>232</v>
      </c>
      <c r="C41" s="209">
        <f>SUM($C$40:C40)</f>
        <v>-92309.280444856384</v>
      </c>
      <c r="D41" s="209">
        <f>SUM($C$40:D40)</f>
        <v>-2619007.464293553</v>
      </c>
      <c r="E41" s="209">
        <f>SUM($C$40:E40)</f>
        <v>-1548383.4878091973</v>
      </c>
      <c r="F41" s="209">
        <f>SUM($C$40:F40)</f>
        <v>-1731139.1238381823</v>
      </c>
      <c r="G41" s="209">
        <f>SUM($C$40:G40)</f>
        <v>-490717.89012434613</v>
      </c>
      <c r="H41" s="209">
        <f>SUM($C$40:H40)</f>
        <v>-148723.87346879207</v>
      </c>
      <c r="I41" s="209">
        <f>SUM($C$40:I40)</f>
        <v>1278867.3032121467</v>
      </c>
      <c r="J41" s="210">
        <f>SUM($C$40:J40)</f>
        <v>2807271.7707170271</v>
      </c>
      <c r="S41" s="202"/>
      <c r="T41" s="201"/>
    </row>
    <row r="42" spans="1:20" ht="13" x14ac:dyDescent="0.3">
      <c r="B42" s="193"/>
      <c r="C42" s="77"/>
      <c r="D42" s="77"/>
      <c r="E42" s="77"/>
      <c r="F42" s="77"/>
      <c r="G42" s="77"/>
      <c r="H42" s="77"/>
      <c r="I42" s="77"/>
      <c r="J42" s="77"/>
      <c r="S42" s="75"/>
      <c r="T42" s="71"/>
    </row>
    <row r="43" spans="1:20" ht="13" x14ac:dyDescent="0.3">
      <c r="B43" s="76"/>
      <c r="C43" s="77"/>
      <c r="D43" s="77"/>
      <c r="E43" s="77"/>
      <c r="F43" s="77"/>
      <c r="G43" s="77"/>
      <c r="H43" s="77"/>
      <c r="I43" s="77"/>
      <c r="J43" s="77"/>
      <c r="S43" s="75"/>
      <c r="T43" s="71"/>
    </row>
    <row r="44" spans="1:20" ht="13" x14ac:dyDescent="0.3">
      <c r="B44" s="78" t="s">
        <v>203</v>
      </c>
      <c r="C44" s="183">
        <f>'Investment Details'!H28</f>
        <v>3.9286740875155102E-2</v>
      </c>
      <c r="D44" s="94" t="s">
        <v>221</v>
      </c>
      <c r="E44" s="77"/>
      <c r="F44" s="77"/>
      <c r="G44" s="77"/>
      <c r="H44" s="77"/>
      <c r="I44" s="77"/>
      <c r="J44" s="77"/>
      <c r="S44" s="72"/>
      <c r="T44" s="71"/>
    </row>
    <row r="45" spans="1:20" ht="13" x14ac:dyDescent="0.3">
      <c r="B45" s="152" t="s">
        <v>145</v>
      </c>
      <c r="C45" s="183">
        <v>0.05</v>
      </c>
      <c r="G45" s="77"/>
      <c r="H45" s="77"/>
      <c r="I45" s="77"/>
      <c r="J45" s="77"/>
      <c r="S45" s="72"/>
      <c r="T45" s="71"/>
    </row>
    <row r="46" spans="1:20" ht="13" x14ac:dyDescent="0.3">
      <c r="B46" s="152" t="s">
        <v>146</v>
      </c>
      <c r="C46" s="183">
        <v>0.03</v>
      </c>
      <c r="D46" s="77"/>
      <c r="E46" s="78" t="s">
        <v>149</v>
      </c>
      <c r="F46" s="184">
        <f>'Investment Details'!C14</f>
        <v>5418273.2011121409</v>
      </c>
      <c r="G46" s="77"/>
      <c r="H46" s="77"/>
      <c r="I46" s="77"/>
      <c r="J46" s="77"/>
      <c r="S46" s="72"/>
      <c r="T46" s="71"/>
    </row>
    <row r="47" spans="1:20" ht="13" x14ac:dyDescent="0.3">
      <c r="C47" s="79"/>
      <c r="T47" s="71"/>
    </row>
    <row r="48" spans="1:20" ht="13" x14ac:dyDescent="0.3">
      <c r="B48" s="78" t="s">
        <v>207</v>
      </c>
      <c r="C48" s="171">
        <f>J18+J35</f>
        <v>2807271.7707170248</v>
      </c>
      <c r="E48" s="78" t="s">
        <v>150</v>
      </c>
      <c r="F48" s="136">
        <f>F46*(1+0.11)^H10</f>
        <v>9130105.4440937992</v>
      </c>
      <c r="G48" s="94" t="s">
        <v>189</v>
      </c>
    </row>
    <row r="49" spans="2:16" ht="13" x14ac:dyDescent="0.3">
      <c r="B49" s="78" t="s">
        <v>208</v>
      </c>
      <c r="C49" s="171">
        <f>NPV(C44,D37:J37)+C37</f>
        <v>2807271.770717029</v>
      </c>
      <c r="E49" s="78"/>
      <c r="F49" s="94" t="s">
        <v>166</v>
      </c>
      <c r="G49" s="135"/>
    </row>
    <row r="50" spans="2:16" ht="13" x14ac:dyDescent="0.3">
      <c r="B50" s="78"/>
      <c r="C50" s="80"/>
      <c r="E50" s="78"/>
      <c r="F50" s="135" t="s">
        <v>165</v>
      </c>
      <c r="G50" s="135"/>
    </row>
    <row r="51" spans="2:16" ht="13" x14ac:dyDescent="0.3">
      <c r="B51" s="78" t="s">
        <v>147</v>
      </c>
      <c r="C51" s="86">
        <f>IRR(C37:J37)</f>
        <v>0.2601212894902909</v>
      </c>
      <c r="D51" s="172"/>
    </row>
    <row r="52" spans="2:16" ht="13" x14ac:dyDescent="0.3">
      <c r="B52" s="78"/>
      <c r="C52" s="80"/>
    </row>
    <row r="53" spans="2:16" ht="13" x14ac:dyDescent="0.3">
      <c r="B53" s="78" t="s">
        <v>148</v>
      </c>
      <c r="C53" s="169">
        <f>3+ABS(F38/G37)</f>
        <v>4.2210469633361711</v>
      </c>
      <c r="D53" s="222"/>
    </row>
    <row r="54" spans="2:16" ht="13" x14ac:dyDescent="0.3"/>
    <row r="55" spans="2:16" ht="13" x14ac:dyDescent="0.3">
      <c r="B55" s="78" t="s">
        <v>151</v>
      </c>
      <c r="C55" s="86">
        <f>C48/(-J35)</f>
        <v>0.20018512764797355</v>
      </c>
      <c r="D55" s="94" t="s">
        <v>215</v>
      </c>
    </row>
    <row r="56" spans="2:16" ht="13" x14ac:dyDescent="0.3"/>
    <row r="57" spans="2:16" ht="13" x14ac:dyDescent="0.3">
      <c r="F57" s="66" t="s">
        <v>0</v>
      </c>
    </row>
    <row r="58" spans="2:16" ht="24" customHeight="1" x14ac:dyDescent="0.3">
      <c r="B58" s="227" t="s">
        <v>229</v>
      </c>
      <c r="C58" s="227"/>
      <c r="D58" s="227"/>
      <c r="E58" s="227"/>
      <c r="F58" s="227"/>
      <c r="G58" s="227"/>
      <c r="H58" s="227"/>
      <c r="I58" s="227"/>
      <c r="J58" s="227"/>
      <c r="L58" s="233" t="s">
        <v>169</v>
      </c>
      <c r="M58" s="233"/>
      <c r="N58" s="233"/>
      <c r="O58" s="233"/>
      <c r="P58" s="233"/>
    </row>
    <row r="59" spans="2:16" ht="14.4" customHeight="1" x14ac:dyDescent="0.3">
      <c r="B59" s="166"/>
      <c r="C59" s="224" t="s">
        <v>178</v>
      </c>
      <c r="D59" s="228"/>
      <c r="E59" s="224" t="s">
        <v>179</v>
      </c>
      <c r="F59" s="225"/>
      <c r="G59" s="225"/>
      <c r="H59" s="225"/>
      <c r="I59" s="151"/>
      <c r="J59" s="151"/>
      <c r="L59" s="233"/>
      <c r="M59" s="233"/>
      <c r="N59" s="233"/>
      <c r="O59" s="233"/>
      <c r="P59" s="233"/>
    </row>
    <row r="60" spans="2:16" ht="13" x14ac:dyDescent="0.3">
      <c r="B60" s="137" t="s">
        <v>137</v>
      </c>
      <c r="C60" s="167">
        <v>2018</v>
      </c>
      <c r="D60" s="137">
        <v>2019</v>
      </c>
      <c r="E60" s="100">
        <v>2020</v>
      </c>
      <c r="F60" s="100">
        <v>2021</v>
      </c>
      <c r="G60" s="100">
        <v>2022</v>
      </c>
      <c r="H60" s="100">
        <v>2023</v>
      </c>
      <c r="I60" s="100">
        <v>2024</v>
      </c>
      <c r="J60" s="100">
        <v>2025</v>
      </c>
      <c r="L60" s="233"/>
      <c r="M60" s="233"/>
      <c r="N60" s="233"/>
      <c r="O60" s="233"/>
      <c r="P60" s="233"/>
    </row>
    <row r="61" spans="2:16" ht="13" x14ac:dyDescent="0.3">
      <c r="B61" s="138"/>
      <c r="C61" s="168">
        <v>0</v>
      </c>
      <c r="D61" s="138">
        <v>1</v>
      </c>
      <c r="E61" s="70">
        <v>2</v>
      </c>
      <c r="F61" s="70">
        <v>3</v>
      </c>
      <c r="G61" s="70">
        <v>4</v>
      </c>
      <c r="H61" s="70">
        <v>5</v>
      </c>
      <c r="I61" s="70">
        <v>6</v>
      </c>
      <c r="J61" s="70">
        <v>7</v>
      </c>
      <c r="L61" s="234"/>
      <c r="M61" s="234"/>
      <c r="N61" s="234"/>
      <c r="O61" s="234"/>
      <c r="P61" s="234"/>
    </row>
    <row r="62" spans="2:16" ht="13" x14ac:dyDescent="0.3">
      <c r="B62" s="196" t="s">
        <v>2</v>
      </c>
      <c r="C62" s="176"/>
      <c r="D62" s="176"/>
      <c r="E62" s="176"/>
      <c r="F62" s="176"/>
      <c r="G62" s="176"/>
      <c r="H62" s="176"/>
      <c r="I62" s="176"/>
      <c r="J62" s="176"/>
    </row>
    <row r="63" spans="2:16" ht="13" outlineLevel="1" x14ac:dyDescent="0.3">
      <c r="B63" s="101" t="s">
        <v>180</v>
      </c>
      <c r="C63" s="176">
        <f>'Income Statement'!G7*0.3</f>
        <v>1324276.0947636701</v>
      </c>
      <c r="D63" s="176">
        <f>C63*1.3</f>
        <v>1721558.9231927712</v>
      </c>
      <c r="E63" s="176">
        <f t="shared" ref="E63:J63" si="7">D63*1.15</f>
        <v>1979792.7616716868</v>
      </c>
      <c r="F63" s="176">
        <f t="shared" si="7"/>
        <v>2276761.6759224394</v>
      </c>
      <c r="G63" s="176">
        <f t="shared" si="7"/>
        <v>2618275.9273108053</v>
      </c>
      <c r="H63" s="176">
        <f t="shared" si="7"/>
        <v>3011017.3164074258</v>
      </c>
      <c r="I63" s="176">
        <f t="shared" si="7"/>
        <v>3462669.9138685395</v>
      </c>
      <c r="J63" s="176">
        <f t="shared" si="7"/>
        <v>3982070.4009488202</v>
      </c>
      <c r="L63" s="66" t="s">
        <v>181</v>
      </c>
    </row>
    <row r="64" spans="2:16" ht="13" outlineLevel="1" x14ac:dyDescent="0.3">
      <c r="B64" s="101"/>
      <c r="C64" s="178"/>
      <c r="D64" s="178"/>
      <c r="E64" s="178"/>
      <c r="F64" s="178"/>
      <c r="G64" s="178"/>
      <c r="H64" s="178"/>
      <c r="I64" s="178"/>
      <c r="J64" s="178"/>
    </row>
    <row r="65" spans="2:12" ht="13" x14ac:dyDescent="0.3">
      <c r="B65" s="105" t="s">
        <v>10</v>
      </c>
      <c r="C65" s="176">
        <f t="shared" ref="C65:J65" si="8">SUM(C63:C64)</f>
        <v>1324276.0947636701</v>
      </c>
      <c r="D65" s="176">
        <f t="shared" si="8"/>
        <v>1721558.9231927712</v>
      </c>
      <c r="E65" s="176">
        <f t="shared" si="8"/>
        <v>1979792.7616716868</v>
      </c>
      <c r="F65" s="176">
        <f t="shared" si="8"/>
        <v>2276761.6759224394</v>
      </c>
      <c r="G65" s="176">
        <f t="shared" si="8"/>
        <v>2618275.9273108053</v>
      </c>
      <c r="H65" s="176">
        <f t="shared" si="8"/>
        <v>3011017.3164074258</v>
      </c>
      <c r="I65" s="176">
        <f t="shared" si="8"/>
        <v>3462669.9138685395</v>
      </c>
      <c r="J65" s="176">
        <f t="shared" si="8"/>
        <v>3982070.4009488202</v>
      </c>
    </row>
    <row r="66" spans="2:12" ht="13" x14ac:dyDescent="0.3">
      <c r="B66" s="107" t="s">
        <v>152</v>
      </c>
      <c r="C66" s="176">
        <f t="shared" ref="C66:J66" si="9">C65/(1+$C$87)^C61</f>
        <v>1324276.0947636701</v>
      </c>
      <c r="D66" s="176">
        <f t="shared" si="9"/>
        <v>1550953.9848583522</v>
      </c>
      <c r="E66" s="176">
        <f t="shared" si="9"/>
        <v>1606844.2185469414</v>
      </c>
      <c r="F66" s="176">
        <f t="shared" si="9"/>
        <v>1664748.5147107949</v>
      </c>
      <c r="G66" s="176">
        <f t="shared" si="9"/>
        <v>1724739.4521778503</v>
      </c>
      <c r="H66" s="176">
        <f t="shared" si="9"/>
        <v>1786892.2252293041</v>
      </c>
      <c r="I66" s="176">
        <f t="shared" si="9"/>
        <v>1851284.7378501797</v>
      </c>
      <c r="J66" s="176">
        <f t="shared" si="9"/>
        <v>1917997.7013763122</v>
      </c>
    </row>
    <row r="67" spans="2:12" ht="13" x14ac:dyDescent="0.3">
      <c r="B67" s="106" t="s">
        <v>219</v>
      </c>
      <c r="C67" s="179">
        <f>SUM($C$66:C66)</f>
        <v>1324276.0947636701</v>
      </c>
      <c r="D67" s="179">
        <f>SUM($C$66:D66)</f>
        <v>2875230.0796220223</v>
      </c>
      <c r="E67" s="179">
        <f>SUM($C$66:E66)</f>
        <v>4482074.2981689638</v>
      </c>
      <c r="F67" s="179">
        <f>SUM($C$66:F66)</f>
        <v>6146822.8128797589</v>
      </c>
      <c r="G67" s="179">
        <f>SUM($C$66:G66)</f>
        <v>7871562.2650576094</v>
      </c>
      <c r="H67" s="179">
        <f>SUM($C$66:H66)</f>
        <v>9658454.4902869128</v>
      </c>
      <c r="I67" s="179">
        <f>SUM($C$66:I66)</f>
        <v>11509739.228137093</v>
      </c>
      <c r="J67" s="179">
        <f>SUM($C$66:J66)</f>
        <v>13427736.929513404</v>
      </c>
    </row>
    <row r="68" spans="2:12" ht="13" x14ac:dyDescent="0.3">
      <c r="B68" s="106"/>
      <c r="C68" s="176"/>
      <c r="D68" s="176"/>
      <c r="E68" s="176"/>
      <c r="F68" s="176"/>
      <c r="G68" s="176"/>
      <c r="H68" s="176"/>
      <c r="I68" s="176"/>
      <c r="J68" s="176"/>
    </row>
    <row r="69" spans="2:12" ht="13" x14ac:dyDescent="0.3">
      <c r="B69" s="106"/>
      <c r="C69" s="176"/>
      <c r="D69" s="176"/>
      <c r="E69" s="176"/>
      <c r="F69" s="176"/>
      <c r="G69" s="176"/>
      <c r="H69" s="176"/>
      <c r="I69" s="176"/>
      <c r="J69" s="176"/>
    </row>
    <row r="70" spans="2:12" ht="13" x14ac:dyDescent="0.3">
      <c r="B70" s="196" t="s">
        <v>3</v>
      </c>
      <c r="C70" s="176"/>
      <c r="D70" s="176"/>
      <c r="E70" s="176"/>
      <c r="F70" s="176"/>
      <c r="G70" s="176"/>
      <c r="H70" s="176"/>
      <c r="I70" s="176"/>
      <c r="J70" s="176"/>
    </row>
    <row r="71" spans="2:12" ht="13" outlineLevel="1" x14ac:dyDescent="0.3">
      <c r="B71" s="101" t="s">
        <v>188</v>
      </c>
      <c r="C71" s="176">
        <f>-'Investment Details'!H8</f>
        <v>-4000000</v>
      </c>
      <c r="D71" s="176">
        <f>-'Investment Details'!I8</f>
        <v>-4000000</v>
      </c>
      <c r="E71" s="177"/>
      <c r="F71" s="176"/>
      <c r="G71" s="176"/>
      <c r="H71" s="176"/>
      <c r="I71" s="176"/>
      <c r="J71" s="176"/>
    </row>
    <row r="72" spans="2:12" ht="13" outlineLevel="1" x14ac:dyDescent="0.3">
      <c r="B72" s="101" t="s">
        <v>199</v>
      </c>
      <c r="C72" s="176">
        <f>10*-(2*'Income Statement'!K23)</f>
        <v>-456169.00293481624</v>
      </c>
      <c r="D72" s="176">
        <f>10*-(2*'Income Statement'!K23)</f>
        <v>-456169.00293481624</v>
      </c>
      <c r="E72" s="176">
        <f>10*-(2*'Income Statement'!K23)</f>
        <v>-456169.00293481624</v>
      </c>
      <c r="F72" s="176">
        <f>10*-(2*'Income Statement'!K23)</f>
        <v>-456169.00293481624</v>
      </c>
      <c r="G72" s="176">
        <f>10*-(2*'Income Statement'!K23)</f>
        <v>-456169.00293481624</v>
      </c>
      <c r="H72" s="176">
        <f>10*-(2*'Income Statement'!K23)</f>
        <v>-456169.00293481624</v>
      </c>
      <c r="I72" s="176">
        <f>10*-(2*'Income Statement'!K23)</f>
        <v>-456169.00293481624</v>
      </c>
      <c r="J72" s="176">
        <f>10*-(2*'Income Statement'!K23)</f>
        <v>-456169.00293481624</v>
      </c>
      <c r="L72" s="66" t="s">
        <v>227</v>
      </c>
    </row>
    <row r="73" spans="2:12" ht="13" outlineLevel="1" x14ac:dyDescent="0.3">
      <c r="B73" s="101" t="s">
        <v>200</v>
      </c>
      <c r="C73" s="176"/>
      <c r="D73" s="176"/>
      <c r="E73" s="180">
        <f>-1000000+'Income Statement'!G19</f>
        <v>-476656</v>
      </c>
      <c r="F73" s="180">
        <f>-1000000+'Income Statement'!G19</f>
        <v>-476656</v>
      </c>
      <c r="G73" s="180">
        <f>-1000000+'Income Statement'!G19</f>
        <v>-476656</v>
      </c>
      <c r="H73" s="180">
        <f>-1000000+'Income Statement'!G19</f>
        <v>-476656</v>
      </c>
      <c r="I73" s="180">
        <f>-1000000+'Income Statement'!G19</f>
        <v>-476656</v>
      </c>
      <c r="J73" s="180">
        <f>-1000000+'Income Statement'!G19</f>
        <v>-476656</v>
      </c>
      <c r="L73" s="66" t="s">
        <v>209</v>
      </c>
    </row>
    <row r="74" spans="2:12" ht="13" outlineLevel="1" x14ac:dyDescent="0.3">
      <c r="B74" s="101" t="s">
        <v>224</v>
      </c>
      <c r="C74" s="176">
        <f>-'Income Statement'!G8*0.3</f>
        <v>-336582.74443929567</v>
      </c>
      <c r="D74" s="176">
        <f>C74*1.3</f>
        <v>-437557.56777108437</v>
      </c>
      <c r="E74" s="176">
        <f t="shared" ref="E74:J74" si="10">D74*1.15</f>
        <v>-503191.20293674699</v>
      </c>
      <c r="F74" s="176">
        <f t="shared" si="10"/>
        <v>-578669.88337725902</v>
      </c>
      <c r="G74" s="176">
        <f t="shared" si="10"/>
        <v>-665470.36588384781</v>
      </c>
      <c r="H74" s="176">
        <f t="shared" si="10"/>
        <v>-765290.92076642497</v>
      </c>
      <c r="I74" s="176">
        <f t="shared" si="10"/>
        <v>-880084.55888138863</v>
      </c>
      <c r="J74" s="176">
        <f t="shared" si="10"/>
        <v>-1012097.2427135968</v>
      </c>
      <c r="L74" s="66" t="s">
        <v>226</v>
      </c>
    </row>
    <row r="75" spans="2:12" ht="13" outlineLevel="1" x14ac:dyDescent="0.3">
      <c r="B75" s="101"/>
      <c r="C75" s="178"/>
      <c r="D75" s="178"/>
      <c r="E75" s="185"/>
      <c r="F75" s="185"/>
      <c r="G75" s="185"/>
      <c r="H75" s="185"/>
      <c r="I75" s="185"/>
      <c r="J75" s="185"/>
    </row>
    <row r="76" spans="2:12" ht="13" x14ac:dyDescent="0.3">
      <c r="B76" s="105" t="s">
        <v>10</v>
      </c>
      <c r="C76" s="176">
        <f>SUM(C71:C75)</f>
        <v>-4792751.7473741118</v>
      </c>
      <c r="D76" s="176">
        <f t="shared" ref="D76:G76" si="11">SUM(D71:D75)</f>
        <v>-4893726.5707059009</v>
      </c>
      <c r="E76" s="176">
        <f t="shared" si="11"/>
        <v>-1436016.2058715634</v>
      </c>
      <c r="F76" s="176">
        <f t="shared" si="11"/>
        <v>-1511494.8863120754</v>
      </c>
      <c r="G76" s="176">
        <f t="shared" si="11"/>
        <v>-1598295.368818664</v>
      </c>
      <c r="H76" s="176">
        <f>SUM(H71:H75)</f>
        <v>-1698115.9237012411</v>
      </c>
      <c r="I76" s="176">
        <f t="shared" ref="I76" si="12">SUM(I71:I75)</f>
        <v>-1812909.5618162048</v>
      </c>
      <c r="J76" s="176">
        <f>SUM(J71:J75)</f>
        <v>-1944922.245648413</v>
      </c>
    </row>
    <row r="77" spans="2:12" ht="13" x14ac:dyDescent="0.3">
      <c r="B77" s="107" t="s">
        <v>202</v>
      </c>
      <c r="C77" s="176">
        <f t="shared" ref="C77:J77" si="13">C76/(1+$C$87)^C61</f>
        <v>-4792751.7473741118</v>
      </c>
      <c r="D77" s="176">
        <f t="shared" si="13"/>
        <v>-4408762.6763116224</v>
      </c>
      <c r="E77" s="176">
        <f t="shared" si="13"/>
        <v>-1165502.9671873737</v>
      </c>
      <c r="F77" s="176">
        <f t="shared" si="13"/>
        <v>-1105192.0337518491</v>
      </c>
      <c r="G77" s="176">
        <f t="shared" si="13"/>
        <v>-1052846.6652733607</v>
      </c>
      <c r="H77" s="176">
        <f t="shared" si="13"/>
        <v>-1007749.1501178875</v>
      </c>
      <c r="I77" s="176">
        <f t="shared" si="13"/>
        <v>-969255.48388278042</v>
      </c>
      <c r="J77" s="176">
        <f t="shared" si="13"/>
        <v>-936788.15814518696</v>
      </c>
    </row>
    <row r="78" spans="2:12" ht="13" x14ac:dyDescent="0.3">
      <c r="B78" s="106" t="s">
        <v>220</v>
      </c>
      <c r="C78" s="179">
        <f>SUM($C$77:C77)</f>
        <v>-4792751.7473741118</v>
      </c>
      <c r="D78" s="182">
        <f>SUM($C$77:D77)</f>
        <v>-9201514.4236857332</v>
      </c>
      <c r="E78" s="182">
        <f>SUM($C$77:E77)</f>
        <v>-10367017.390873106</v>
      </c>
      <c r="F78" s="179">
        <f>SUM($C$77:F77)</f>
        <v>-11472209.424624955</v>
      </c>
      <c r="G78" s="179">
        <f>SUM($C$77:G77)</f>
        <v>-12525056.089898316</v>
      </c>
      <c r="H78" s="179">
        <f>SUM($C$77:H77)</f>
        <v>-13532805.240016203</v>
      </c>
      <c r="I78" s="179">
        <f>SUM($C$77:I77)</f>
        <v>-14502060.723898984</v>
      </c>
      <c r="J78" s="179">
        <f>SUM($C$77:J77)</f>
        <v>-15438848.882044172</v>
      </c>
    </row>
    <row r="79" spans="2:12" ht="13" x14ac:dyDescent="0.3">
      <c r="B79" s="66" t="s">
        <v>0</v>
      </c>
      <c r="C79" s="177"/>
      <c r="D79" s="177"/>
      <c r="E79" s="177"/>
      <c r="F79" s="177"/>
      <c r="G79" s="176"/>
      <c r="H79" s="176"/>
      <c r="I79" s="176"/>
      <c r="J79" s="176"/>
    </row>
    <row r="80" spans="2:12" s="197" customFormat="1" ht="16.25" customHeight="1" x14ac:dyDescent="0.35">
      <c r="B80" s="206" t="s">
        <v>234</v>
      </c>
      <c r="C80" s="198">
        <f t="shared" ref="C80:J80" si="14">C65+C76</f>
        <v>-3468475.6526104417</v>
      </c>
      <c r="D80" s="198">
        <f t="shared" si="14"/>
        <v>-3172167.6475131297</v>
      </c>
      <c r="E80" s="198">
        <f t="shared" si="14"/>
        <v>543776.55580012337</v>
      </c>
      <c r="F80" s="198">
        <f t="shared" si="14"/>
        <v>765266.78961036401</v>
      </c>
      <c r="G80" s="198">
        <f t="shared" si="14"/>
        <v>1019980.5584921413</v>
      </c>
      <c r="H80" s="198">
        <f t="shared" si="14"/>
        <v>1312901.3927061846</v>
      </c>
      <c r="I80" s="198">
        <f t="shared" si="14"/>
        <v>1649760.3520523347</v>
      </c>
      <c r="J80" s="208">
        <f t="shared" si="14"/>
        <v>2037148.1553004072</v>
      </c>
    </row>
    <row r="81" spans="2:12" s="197" customFormat="1" ht="16.25" customHeight="1" x14ac:dyDescent="0.35">
      <c r="B81" s="211" t="s">
        <v>233</v>
      </c>
      <c r="C81" s="209">
        <f>SUM($C$80:C80)</f>
        <v>-3468475.6526104417</v>
      </c>
      <c r="D81" s="209">
        <f>SUM($C$80:D80)</f>
        <v>-6640643.3001235714</v>
      </c>
      <c r="E81" s="209">
        <f>SUM($C$80:E80)</f>
        <v>-6096866.7443234483</v>
      </c>
      <c r="F81" s="209">
        <f>SUM($C$80:F80)</f>
        <v>-5331599.9547130838</v>
      </c>
      <c r="G81" s="209">
        <f>SUM($C$80:G80)</f>
        <v>-4311619.396220943</v>
      </c>
      <c r="H81" s="209">
        <f>SUM($C$80:H80)</f>
        <v>-2998718.0035147583</v>
      </c>
      <c r="I81" s="209">
        <f>SUM($C$80:I80)</f>
        <v>-1348957.6514624236</v>
      </c>
      <c r="J81" s="210">
        <f>SUM($C$80:J80)</f>
        <v>688190.50383798359</v>
      </c>
      <c r="L81" s="199"/>
    </row>
    <row r="82" spans="2:12" ht="13" x14ac:dyDescent="0.3">
      <c r="B82" s="203"/>
      <c r="C82" s="204"/>
      <c r="D82" s="204"/>
      <c r="E82" s="204"/>
      <c r="F82" s="204"/>
      <c r="G82" s="204"/>
      <c r="H82" s="204"/>
      <c r="I82" s="204"/>
      <c r="J82" s="204"/>
      <c r="L82" s="102"/>
    </row>
    <row r="83" spans="2:12" s="197" customFormat="1" ht="16.25" customHeight="1" x14ac:dyDescent="0.35">
      <c r="B83" s="206" t="s">
        <v>235</v>
      </c>
      <c r="C83" s="198">
        <f>C66+C77</f>
        <v>-3468475.6526104417</v>
      </c>
      <c r="D83" s="198">
        <f t="shared" ref="D83:I83" si="15">D66+D77</f>
        <v>-2857808.6914532701</v>
      </c>
      <c r="E83" s="198">
        <f t="shared" si="15"/>
        <v>441341.25135956774</v>
      </c>
      <c r="F83" s="198">
        <f t="shared" si="15"/>
        <v>559556.48095894582</v>
      </c>
      <c r="G83" s="198">
        <f t="shared" si="15"/>
        <v>671892.78690448962</v>
      </c>
      <c r="H83" s="198">
        <f t="shared" si="15"/>
        <v>779143.07511141652</v>
      </c>
      <c r="I83" s="198">
        <f t="shared" si="15"/>
        <v>882029.25396739924</v>
      </c>
      <c r="J83" s="208">
        <f>J66+J77</f>
        <v>981209.54323112522</v>
      </c>
      <c r="L83" s="199"/>
    </row>
    <row r="84" spans="2:12" s="197" customFormat="1" ht="16.25" customHeight="1" x14ac:dyDescent="0.35">
      <c r="B84" s="211" t="s">
        <v>232</v>
      </c>
      <c r="C84" s="209">
        <f>SUM($C$83:C83)</f>
        <v>-3468475.6526104417</v>
      </c>
      <c r="D84" s="209">
        <f>SUM($C$83:D83)</f>
        <v>-6326284.3440637123</v>
      </c>
      <c r="E84" s="209">
        <f>SUM($C$83:E83)</f>
        <v>-5884943.0927041443</v>
      </c>
      <c r="F84" s="209">
        <f>SUM($C$83:F83)</f>
        <v>-5325386.6117451983</v>
      </c>
      <c r="G84" s="209">
        <f>SUM($C$83:G83)</f>
        <v>-4653493.8248407086</v>
      </c>
      <c r="H84" s="209">
        <f>SUM($C$83:H83)</f>
        <v>-3874350.749729292</v>
      </c>
      <c r="I84" s="209">
        <f>SUM($C$83:I83)</f>
        <v>-2992321.4957618928</v>
      </c>
      <c r="J84" s="210">
        <f>SUM($C$83:J83)</f>
        <v>-2011111.9525307675</v>
      </c>
      <c r="L84" s="199"/>
    </row>
    <row r="85" spans="2:12" ht="13" x14ac:dyDescent="0.3">
      <c r="B85" s="76"/>
      <c r="C85" s="77"/>
      <c r="D85" s="77"/>
      <c r="E85" s="77"/>
      <c r="F85" s="77"/>
      <c r="G85" s="77"/>
      <c r="H85" s="77"/>
      <c r="I85" s="77"/>
      <c r="J85" s="77"/>
    </row>
    <row r="86" spans="2:12" ht="13" x14ac:dyDescent="0.3">
      <c r="B86" s="76"/>
      <c r="C86" s="77"/>
      <c r="D86" s="77"/>
      <c r="E86" s="77"/>
      <c r="F86" s="77"/>
      <c r="G86" s="77"/>
      <c r="H86" s="77"/>
      <c r="I86" s="77"/>
      <c r="J86" s="77"/>
    </row>
    <row r="87" spans="2:12" ht="13" x14ac:dyDescent="0.3">
      <c r="B87" s="78" t="s">
        <v>201</v>
      </c>
      <c r="C87" s="183">
        <v>0.11</v>
      </c>
      <c r="E87" s="78" t="s">
        <v>149</v>
      </c>
      <c r="F87" s="186">
        <f>'Investment Details'!G14</f>
        <v>8000000</v>
      </c>
      <c r="G87" s="95"/>
      <c r="H87" s="221"/>
    </row>
    <row r="88" spans="2:12" ht="13" x14ac:dyDescent="0.3">
      <c r="C88" s="79"/>
    </row>
    <row r="89" spans="2:12" ht="13" x14ac:dyDescent="0.3">
      <c r="B89" s="78" t="s">
        <v>207</v>
      </c>
      <c r="C89" s="171">
        <f>J67+J78</f>
        <v>-2011111.9525307678</v>
      </c>
      <c r="E89" s="78" t="s">
        <v>150</v>
      </c>
      <c r="F89" s="136">
        <f>F87*(1+0.11)^H61</f>
        <v>13480465.240800004</v>
      </c>
      <c r="G89" s="94" t="s">
        <v>190</v>
      </c>
    </row>
    <row r="90" spans="2:12" ht="13" x14ac:dyDescent="0.3">
      <c r="B90" s="78" t="s">
        <v>208</v>
      </c>
      <c r="C90" s="171">
        <f>NPV(C87,D80:J80)+C80</f>
        <v>-2011111.9525307675</v>
      </c>
      <c r="E90" s="78"/>
      <c r="F90" s="94" t="s">
        <v>166</v>
      </c>
      <c r="G90" s="94"/>
    </row>
    <row r="91" spans="2:12" ht="13" x14ac:dyDescent="0.3">
      <c r="B91" s="78"/>
      <c r="C91" s="80"/>
      <c r="E91" s="78"/>
      <c r="F91" s="135" t="s">
        <v>165</v>
      </c>
      <c r="G91" s="94"/>
    </row>
    <row r="92" spans="2:12" ht="13" x14ac:dyDescent="0.3">
      <c r="B92" s="78" t="s">
        <v>147</v>
      </c>
      <c r="C92" s="86">
        <f>IRR(C80:J80)</f>
        <v>2.1161737142411541E-2</v>
      </c>
      <c r="D92" s="172"/>
      <c r="G92" s="135"/>
    </row>
    <row r="93" spans="2:12" ht="13" x14ac:dyDescent="0.3">
      <c r="B93" s="78"/>
      <c r="C93" s="80"/>
    </row>
    <row r="94" spans="2:12" ht="13" x14ac:dyDescent="0.3">
      <c r="B94" s="78" t="s">
        <v>148</v>
      </c>
      <c r="C94" s="169">
        <f>6+ABS(I81/J80)</f>
        <v>6.662179453150034</v>
      </c>
    </row>
    <row r="95" spans="2:12" ht="13" x14ac:dyDescent="0.3">
      <c r="C95" s="76"/>
    </row>
    <row r="96" spans="2:12" ht="15" customHeight="1" x14ac:dyDescent="0.3">
      <c r="B96" s="78" t="s">
        <v>151</v>
      </c>
      <c r="C96" s="86">
        <f>C89/(-J78)</f>
        <v>-0.13026307647001772</v>
      </c>
      <c r="D96" s="94" t="s">
        <v>215</v>
      </c>
    </row>
  </sheetData>
  <mergeCells count="9">
    <mergeCell ref="B5:J5"/>
    <mergeCell ref="B7:H7"/>
    <mergeCell ref="L7:P10"/>
    <mergeCell ref="L58:P61"/>
    <mergeCell ref="C8:D8"/>
    <mergeCell ref="E8:H8"/>
    <mergeCell ref="C59:D59"/>
    <mergeCell ref="E59:H59"/>
    <mergeCell ref="B58:J58"/>
  </mergeCells>
  <hyperlinks>
    <hyperlink ref="F50" r:id="rId1" display="https://curvo.eu/backtest/en/market-index/sp-500?currency=eur " xr:uid="{A4F94AD4-1F7C-4BB9-BEB9-DBB368F6E1F7}"/>
    <hyperlink ref="F91" r:id="rId2" display="https://curvo.eu/backtest/en/market-index/sp-500?currency=eur " xr:uid="{908FA0DE-21FC-4B94-86CA-E0498D77ADA9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999E-FD66-46C1-BCDE-8C37BB128CED}">
  <dimension ref="A1:I1001"/>
  <sheetViews>
    <sheetView showGridLines="0" topLeftCell="A22" zoomScale="99" zoomScaleNormal="99" workbookViewId="0">
      <selection activeCell="H28" sqref="H28"/>
    </sheetView>
  </sheetViews>
  <sheetFormatPr defaultColWidth="12.6328125" defaultRowHeight="15" customHeight="1" x14ac:dyDescent="0.3"/>
  <cols>
    <col min="1" max="1" width="8.6328125" style="1" customWidth="1"/>
    <col min="2" max="2" width="39.08984375" style="1" customWidth="1"/>
    <col min="3" max="5" width="13.36328125" style="1" customWidth="1"/>
    <col min="6" max="6" width="2.36328125" style="1" customWidth="1"/>
    <col min="7" max="9" width="13.36328125" style="1" customWidth="1"/>
    <col min="10" max="16384" width="12.6328125" style="1"/>
  </cols>
  <sheetData>
    <row r="1" spans="1:9" ht="12.75" customHeight="1" x14ac:dyDescent="0.3"/>
    <row r="2" spans="1:9" ht="12.75" customHeight="1" x14ac:dyDescent="0.3">
      <c r="B2" s="56"/>
      <c r="C2" s="56"/>
      <c r="D2" s="96" t="s">
        <v>1</v>
      </c>
      <c r="E2" s="155"/>
      <c r="F2" s="2"/>
      <c r="G2" s="56"/>
      <c r="H2" s="96" t="s">
        <v>6</v>
      </c>
      <c r="I2" s="56"/>
    </row>
    <row r="3" spans="1:9" ht="17.399999999999999" customHeight="1" x14ac:dyDescent="0.3">
      <c r="A3" s="57"/>
      <c r="B3" s="58" t="s">
        <v>8</v>
      </c>
      <c r="C3" s="235" t="s">
        <v>9</v>
      </c>
      <c r="D3" s="236"/>
      <c r="E3" s="237"/>
      <c r="F3" s="65"/>
      <c r="G3" s="235" t="s">
        <v>9</v>
      </c>
      <c r="H3" s="236"/>
      <c r="I3" s="237"/>
    </row>
    <row r="4" spans="1:9" ht="19.25" customHeight="1" x14ac:dyDescent="0.3">
      <c r="A4" s="57"/>
      <c r="B4" s="63"/>
      <c r="C4" s="64" t="s">
        <v>10</v>
      </c>
      <c r="D4" s="64">
        <v>2018</v>
      </c>
      <c r="E4" s="64">
        <v>2019</v>
      </c>
      <c r="F4" s="4"/>
      <c r="G4" s="64" t="s">
        <v>10</v>
      </c>
      <c r="H4" s="64">
        <v>2018</v>
      </c>
      <c r="I4" s="64">
        <v>2019</v>
      </c>
    </row>
    <row r="5" spans="1:9" s="215" customFormat="1" ht="15" customHeight="1" x14ac:dyDescent="0.35">
      <c r="B5" s="62" t="s">
        <v>11</v>
      </c>
      <c r="C5" s="216">
        <v>1528273.2011121409</v>
      </c>
      <c r="D5" s="216">
        <f>C5*0.4</f>
        <v>611309.28044485638</v>
      </c>
      <c r="E5" s="216">
        <f>C5*0.6</f>
        <v>916963.92066728452</v>
      </c>
      <c r="F5" s="217"/>
      <c r="G5" s="216">
        <v>0</v>
      </c>
      <c r="H5" s="216">
        <f>G5*0.4</f>
        <v>0</v>
      </c>
      <c r="I5" s="216">
        <f>G5*0.6</f>
        <v>0</v>
      </c>
    </row>
    <row r="6" spans="1:9" s="215" customFormat="1" ht="15" customHeight="1" x14ac:dyDescent="0.35">
      <c r="B6" s="60" t="s">
        <v>12</v>
      </c>
      <c r="C6" s="218">
        <v>3000000</v>
      </c>
      <c r="D6" s="218"/>
      <c r="E6" s="218">
        <f>C6</f>
        <v>3000000</v>
      </c>
      <c r="F6" s="217"/>
      <c r="G6" s="218"/>
      <c r="H6" s="218"/>
      <c r="I6" s="218"/>
    </row>
    <row r="7" spans="1:9" s="215" customFormat="1" ht="15" customHeight="1" x14ac:dyDescent="0.35">
      <c r="B7" s="60" t="s">
        <v>13</v>
      </c>
      <c r="C7" s="218">
        <v>140000</v>
      </c>
      <c r="D7" s="218">
        <f>C7*0.4</f>
        <v>56000</v>
      </c>
      <c r="E7" s="218">
        <f>C7*0.6</f>
        <v>84000</v>
      </c>
      <c r="F7" s="217"/>
      <c r="G7" s="218">
        <v>0</v>
      </c>
      <c r="H7" s="218">
        <f>G7*0.4</f>
        <v>0</v>
      </c>
      <c r="I7" s="218">
        <f>G7*0.6</f>
        <v>0</v>
      </c>
    </row>
    <row r="8" spans="1:9" s="215" customFormat="1" ht="15" customHeight="1" x14ac:dyDescent="0.35">
      <c r="B8" s="60" t="s">
        <v>14</v>
      </c>
      <c r="C8" s="218">
        <v>750000</v>
      </c>
      <c r="D8" s="218">
        <f>C8*0.5</f>
        <v>375000</v>
      </c>
      <c r="E8" s="218">
        <f>D8</f>
        <v>375000</v>
      </c>
      <c r="F8" s="217"/>
      <c r="G8" s="218">
        <v>8000000</v>
      </c>
      <c r="H8" s="218">
        <f>G8*0.5</f>
        <v>4000000</v>
      </c>
      <c r="I8" s="218">
        <f>H8</f>
        <v>4000000</v>
      </c>
    </row>
    <row r="9" spans="1:9" s="215" customFormat="1" ht="15" customHeight="1" x14ac:dyDescent="0.35">
      <c r="B9" s="61" t="s">
        <v>15</v>
      </c>
      <c r="C9" s="219">
        <f t="shared" ref="C9:I9" si="0">SUM(C5:C8)</f>
        <v>5418273.2011121409</v>
      </c>
      <c r="D9" s="219">
        <f t="shared" si="0"/>
        <v>1042309.2804448564</v>
      </c>
      <c r="E9" s="219">
        <f t="shared" si="0"/>
        <v>4375963.9206672851</v>
      </c>
      <c r="F9" s="220"/>
      <c r="G9" s="219">
        <f t="shared" si="0"/>
        <v>8000000</v>
      </c>
      <c r="H9" s="219">
        <f t="shared" si="0"/>
        <v>4000000</v>
      </c>
      <c r="I9" s="219">
        <f t="shared" si="0"/>
        <v>4000000</v>
      </c>
    </row>
    <row r="10" spans="1:9" s="215" customFormat="1" ht="15" customHeight="1" x14ac:dyDescent="0.35">
      <c r="B10" s="59"/>
      <c r="C10" s="220"/>
      <c r="D10" s="220"/>
      <c r="E10" s="220"/>
      <c r="F10" s="220"/>
      <c r="G10" s="220"/>
      <c r="H10" s="220"/>
      <c r="I10" s="220"/>
    </row>
    <row r="11" spans="1:9" s="215" customFormat="1" ht="15" customHeight="1" x14ac:dyDescent="0.35">
      <c r="B11" s="60" t="s">
        <v>16</v>
      </c>
      <c r="C11" s="218">
        <v>1200000</v>
      </c>
      <c r="D11" s="218">
        <f>C11-E11</f>
        <v>500000</v>
      </c>
      <c r="E11" s="218">
        <v>700000</v>
      </c>
      <c r="F11" s="217"/>
      <c r="G11" s="218">
        <v>0</v>
      </c>
      <c r="H11" s="218">
        <v>0</v>
      </c>
      <c r="I11" s="218">
        <v>0</v>
      </c>
    </row>
    <row r="12" spans="1:9" s="215" customFormat="1" ht="15" customHeight="1" x14ac:dyDescent="0.35">
      <c r="B12" s="60" t="s">
        <v>17</v>
      </c>
      <c r="C12" s="218">
        <f t="shared" ref="C12:I12" si="1">C9-C11-C13</f>
        <v>2718273.2011121409</v>
      </c>
      <c r="D12" s="218">
        <f t="shared" si="1"/>
        <v>92309.280444856384</v>
      </c>
      <c r="E12" s="218">
        <f t="shared" si="1"/>
        <v>2625963.9206672851</v>
      </c>
      <c r="F12" s="217"/>
      <c r="G12" s="218">
        <f t="shared" si="1"/>
        <v>8000000</v>
      </c>
      <c r="H12" s="218">
        <f t="shared" si="1"/>
        <v>4000000</v>
      </c>
      <c r="I12" s="218">
        <f t="shared" si="1"/>
        <v>4000000</v>
      </c>
    </row>
    <row r="13" spans="1:9" s="215" customFormat="1" ht="15" customHeight="1" x14ac:dyDescent="0.35">
      <c r="B13" s="153" t="s">
        <v>139</v>
      </c>
      <c r="C13" s="218">
        <v>1500000</v>
      </c>
      <c r="D13" s="218">
        <f>C13*0.3</f>
        <v>450000</v>
      </c>
      <c r="E13" s="218">
        <f>C13-D13</f>
        <v>1050000</v>
      </c>
      <c r="F13" s="217"/>
      <c r="G13" s="218">
        <v>0</v>
      </c>
      <c r="H13" s="218">
        <f>G13*0.4</f>
        <v>0</v>
      </c>
      <c r="I13" s="218">
        <f>G13*0.6</f>
        <v>0</v>
      </c>
    </row>
    <row r="14" spans="1:9" s="215" customFormat="1" ht="15" customHeight="1" x14ac:dyDescent="0.35">
      <c r="B14" s="61" t="s">
        <v>18</v>
      </c>
      <c r="C14" s="219">
        <f t="shared" ref="C14:I14" si="2">SUM(C11:C13)</f>
        <v>5418273.2011121409</v>
      </c>
      <c r="D14" s="219">
        <f t="shared" si="2"/>
        <v>1042309.2804448564</v>
      </c>
      <c r="E14" s="219">
        <f t="shared" si="2"/>
        <v>4375963.9206672851</v>
      </c>
      <c r="F14" s="220"/>
      <c r="G14" s="219">
        <f t="shared" si="2"/>
        <v>8000000</v>
      </c>
      <c r="H14" s="219">
        <f t="shared" si="2"/>
        <v>4000000</v>
      </c>
      <c r="I14" s="219">
        <f t="shared" si="2"/>
        <v>4000000</v>
      </c>
    </row>
    <row r="15" spans="1:9" s="215" customFormat="1" ht="15" customHeight="1" x14ac:dyDescent="0.35">
      <c r="C15" s="217">
        <f t="shared" ref="C15:I15" si="3">C14-C9</f>
        <v>0</v>
      </c>
      <c r="D15" s="217">
        <f t="shared" si="3"/>
        <v>0</v>
      </c>
      <c r="E15" s="217">
        <f t="shared" si="3"/>
        <v>0</v>
      </c>
      <c r="F15" s="217"/>
      <c r="G15" s="217">
        <f t="shared" si="3"/>
        <v>0</v>
      </c>
      <c r="H15" s="217">
        <f t="shared" si="3"/>
        <v>0</v>
      </c>
      <c r="I15" s="217">
        <f t="shared" si="3"/>
        <v>0</v>
      </c>
    </row>
    <row r="16" spans="1:9" ht="12.75" customHeight="1" x14ac:dyDescent="0.3"/>
    <row r="17" spans="2:8" ht="12.75" customHeight="1" x14ac:dyDescent="0.3">
      <c r="B17" s="158" t="s">
        <v>19</v>
      </c>
    </row>
    <row r="18" spans="2:8" ht="12.75" customHeight="1" x14ac:dyDescent="0.3">
      <c r="B18" s="3" t="s">
        <v>20</v>
      </c>
      <c r="C18" s="5"/>
    </row>
    <row r="19" spans="2:8" ht="12.75" customHeight="1" x14ac:dyDescent="0.3">
      <c r="B19" s="152" t="s">
        <v>182</v>
      </c>
      <c r="C19" s="183">
        <v>0.05</v>
      </c>
      <c r="F19" s="156"/>
    </row>
    <row r="20" spans="2:8" ht="12.75" customHeight="1" x14ac:dyDescent="0.3">
      <c r="B20" s="152" t="s">
        <v>192</v>
      </c>
      <c r="C20" s="187" t="s">
        <v>193</v>
      </c>
    </row>
    <row r="21" spans="2:8" ht="12.75" customHeight="1" x14ac:dyDescent="0.3">
      <c r="B21" s="152" t="s">
        <v>195</v>
      </c>
      <c r="C21" s="187" t="s">
        <v>196</v>
      </c>
    </row>
    <row r="22" spans="2:8" ht="12.75" customHeight="1" x14ac:dyDescent="0.3">
      <c r="B22" s="3" t="s">
        <v>21</v>
      </c>
    </row>
    <row r="23" spans="2:8" ht="12.75" customHeight="1" x14ac:dyDescent="0.3">
      <c r="B23" s="152" t="s">
        <v>182</v>
      </c>
      <c r="C23" s="183">
        <v>0.03</v>
      </c>
    </row>
    <row r="24" spans="2:8" ht="12.75" customHeight="1" x14ac:dyDescent="0.3">
      <c r="B24" s="152" t="s">
        <v>192</v>
      </c>
      <c r="C24" s="187" t="s">
        <v>194</v>
      </c>
      <c r="D24" s="156"/>
    </row>
    <row r="25" spans="2:8" ht="12.75" customHeight="1" x14ac:dyDescent="0.3">
      <c r="B25" s="152" t="s">
        <v>195</v>
      </c>
      <c r="C25" s="187" t="s">
        <v>197</v>
      </c>
      <c r="D25" s="5" t="s">
        <v>198</v>
      </c>
    </row>
    <row r="26" spans="2:8" ht="12.75" customHeight="1" x14ac:dyDescent="0.3">
      <c r="B26" s="152"/>
      <c r="C26" s="157"/>
      <c r="D26" s="5"/>
    </row>
    <row r="27" spans="2:8" ht="12.75" customHeight="1" x14ac:dyDescent="0.3"/>
    <row r="28" spans="2:8" ht="12.75" customHeight="1" x14ac:dyDescent="0.4">
      <c r="B28" s="154" t="s">
        <v>204</v>
      </c>
      <c r="C28" s="109"/>
      <c r="G28" s="162" t="s">
        <v>184</v>
      </c>
      <c r="H28" s="163">
        <f>(H30*H33) + (H31*H36)</f>
        <v>3.9286740875155102E-2</v>
      </c>
    </row>
    <row r="29" spans="2:8" ht="12.75" customHeight="1" x14ac:dyDescent="0.3">
      <c r="B29" s="5" t="s">
        <v>157</v>
      </c>
    </row>
    <row r="30" spans="2:8" ht="12.75" customHeight="1" x14ac:dyDescent="0.3">
      <c r="B30" s="110" t="s">
        <v>214</v>
      </c>
      <c r="E30" s="111"/>
      <c r="F30" s="111"/>
      <c r="G30" s="111" t="s">
        <v>158</v>
      </c>
      <c r="H30" s="127">
        <f>'Balance sheet'!L11</f>
        <v>0.46433704375775503</v>
      </c>
    </row>
    <row r="31" spans="2:8" ht="12.75" customHeight="1" x14ac:dyDescent="0.3">
      <c r="B31" s="173" t="s">
        <v>211</v>
      </c>
      <c r="E31" s="111"/>
      <c r="F31" s="111"/>
      <c r="G31" s="111" t="s">
        <v>159</v>
      </c>
      <c r="H31" s="127">
        <f>'Balance sheet'!L23</f>
        <v>0.53566295624224503</v>
      </c>
    </row>
    <row r="32" spans="2:8" ht="12.75" customHeight="1" x14ac:dyDescent="0.3"/>
    <row r="33" spans="2:8" ht="12.75" customHeight="1" x14ac:dyDescent="0.3">
      <c r="B33" s="110" t="s">
        <v>212</v>
      </c>
      <c r="G33" s="111" t="s">
        <v>176</v>
      </c>
      <c r="H33" s="127">
        <v>0.05</v>
      </c>
    </row>
    <row r="34" spans="2:8" ht="12.75" customHeight="1" x14ac:dyDescent="0.3">
      <c r="B34" s="134" t="s">
        <v>183</v>
      </c>
      <c r="G34" s="111"/>
      <c r="H34" s="127"/>
    </row>
    <row r="35" spans="2:8" ht="12.75" customHeight="1" x14ac:dyDescent="0.3"/>
    <row r="36" spans="2:8" ht="12.75" customHeight="1" x14ac:dyDescent="0.3">
      <c r="B36" s="110" t="s">
        <v>213</v>
      </c>
      <c r="G36" s="5" t="s">
        <v>177</v>
      </c>
      <c r="H36" s="127">
        <v>0.03</v>
      </c>
    </row>
    <row r="37" spans="2:8" ht="12.75" customHeight="1" x14ac:dyDescent="0.3"/>
    <row r="38" spans="2:8" ht="12.75" customHeight="1" x14ac:dyDescent="0.3"/>
    <row r="39" spans="2:8" ht="12.75" customHeight="1" x14ac:dyDescent="0.3"/>
    <row r="40" spans="2:8" ht="12.75" customHeight="1" x14ac:dyDescent="0.3"/>
    <row r="41" spans="2:8" ht="12.75" customHeight="1" x14ac:dyDescent="0.3"/>
    <row r="42" spans="2:8" ht="12.75" customHeight="1" x14ac:dyDescent="0.3"/>
    <row r="43" spans="2:8" ht="12.75" customHeight="1" x14ac:dyDescent="0.3"/>
    <row r="44" spans="2:8" ht="12.75" customHeight="1" x14ac:dyDescent="0.3"/>
    <row r="45" spans="2:8" ht="12.75" customHeight="1" x14ac:dyDescent="0.3"/>
    <row r="46" spans="2:8" ht="12.75" customHeight="1" x14ac:dyDescent="0.3"/>
    <row r="47" spans="2:8" ht="12.75" customHeight="1" x14ac:dyDescent="0.3"/>
    <row r="48" spans="2: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">
    <mergeCell ref="C3:E3"/>
    <mergeCell ref="G3:I3"/>
  </mergeCells>
  <pageMargins left="0.7" right="0.7" top="0.75" bottom="0.75" header="0" footer="0"/>
  <pageSetup paperSize="9" orientation="landscape" horizontalDpi="4294967293" r:id="rId1"/>
  <ignoredErrors>
    <ignoredError sqref="E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9212-F3EE-42FC-AB4B-4F55B3857B70}">
  <dimension ref="A1:AB1000"/>
  <sheetViews>
    <sheetView showGridLines="0" workbookViewId="0">
      <pane ySplit="4" topLeftCell="A5" activePane="bottomLeft" state="frozen"/>
      <selection pane="bottomLeft" activeCell="G19" sqref="G19:H19"/>
    </sheetView>
  </sheetViews>
  <sheetFormatPr defaultColWidth="12.6328125" defaultRowHeight="15" customHeight="1" x14ac:dyDescent="0.3"/>
  <cols>
    <col min="1" max="1" width="2.81640625" style="8" customWidth="1"/>
    <col min="2" max="2" width="5.90625" style="52" customWidth="1"/>
    <col min="3" max="3" width="5.90625" style="8" customWidth="1"/>
    <col min="4" max="4" width="35.81640625" style="8" customWidth="1"/>
    <col min="5" max="7" width="11.08984375" style="8" customWidth="1"/>
    <col min="8" max="8" width="4.6328125" style="8" customWidth="1"/>
    <col min="9" max="9" width="11" style="150" customWidth="1"/>
    <col min="10" max="10" width="16.90625" style="8" bestFit="1" customWidth="1"/>
    <col min="11" max="11" width="8" style="8" customWidth="1"/>
    <col min="12" max="23" width="11" style="8" customWidth="1"/>
    <col min="24" max="16384" width="12.6328125" style="8"/>
  </cols>
  <sheetData>
    <row r="1" spans="1:23" ht="9" customHeight="1" thickBot="1" x14ac:dyDescent="0.35">
      <c r="A1" s="6"/>
      <c r="C1" s="6"/>
      <c r="D1" s="6"/>
      <c r="E1" s="7"/>
      <c r="F1" s="93"/>
      <c r="G1" s="6"/>
      <c r="H1" s="6"/>
      <c r="I1" s="5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9.25" customHeight="1" x14ac:dyDescent="0.3">
      <c r="A2" s="6"/>
      <c r="C2" s="6"/>
      <c r="D2" s="241" t="s">
        <v>138</v>
      </c>
      <c r="E2" s="241"/>
      <c r="F2" s="241"/>
      <c r="G2" s="241"/>
      <c r="H2" s="6"/>
      <c r="I2" s="5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 x14ac:dyDescent="0.3">
      <c r="A3" s="6"/>
      <c r="B3" s="242"/>
      <c r="C3" s="49"/>
      <c r="D3" s="244" t="s">
        <v>22</v>
      </c>
      <c r="E3" s="239">
        <v>2015</v>
      </c>
      <c r="F3" s="239">
        <v>2016</v>
      </c>
      <c r="G3" s="239">
        <v>2017</v>
      </c>
      <c r="H3" s="6"/>
      <c r="I3" s="5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3.75" customHeight="1" x14ac:dyDescent="0.3">
      <c r="A4" s="6"/>
      <c r="B4" s="243"/>
      <c r="D4" s="245"/>
      <c r="E4" s="240"/>
      <c r="F4" s="246"/>
      <c r="G4" s="246"/>
      <c r="H4" s="6"/>
      <c r="I4" s="55" t="s">
        <v>143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3.75" customHeight="1" x14ac:dyDescent="0.3">
      <c r="A5" s="6"/>
      <c r="D5" s="8" t="s">
        <v>171</v>
      </c>
      <c r="E5" s="140">
        <v>9</v>
      </c>
      <c r="F5" s="141" t="s">
        <v>172</v>
      </c>
      <c r="G5" s="139">
        <v>60</v>
      </c>
      <c r="H5" s="6"/>
      <c r="I5" s="149">
        <f>G5/E5</f>
        <v>6.666666666666667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3.75" customHeight="1" x14ac:dyDescent="0.3">
      <c r="A6" s="6"/>
      <c r="E6" s="140"/>
      <c r="F6" s="139"/>
      <c r="G6" s="139"/>
      <c r="H6" s="6"/>
      <c r="I6" s="5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7.25" customHeight="1" x14ac:dyDescent="0.3">
      <c r="A7" s="9"/>
      <c r="B7" s="53" t="s">
        <v>23</v>
      </c>
      <c r="C7" s="238" t="s">
        <v>24</v>
      </c>
      <c r="D7" s="238"/>
      <c r="E7" s="11"/>
      <c r="F7" s="11">
        <v>2714177.4791473583</v>
      </c>
      <c r="G7" s="11">
        <v>4414253.6492122337</v>
      </c>
      <c r="H7" s="9"/>
      <c r="I7" s="149">
        <f>G7/F7</f>
        <v>1.6263688292774958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7.25" customHeight="1" x14ac:dyDescent="0.3">
      <c r="A8" s="9"/>
      <c r="B8" s="53" t="s">
        <v>25</v>
      </c>
      <c r="C8" s="10"/>
      <c r="D8" s="10" t="s">
        <v>26</v>
      </c>
      <c r="E8" s="11"/>
      <c r="F8" s="11">
        <v>998289.53753475449</v>
      </c>
      <c r="G8" s="11">
        <v>1121942.4814643189</v>
      </c>
      <c r="H8" s="9"/>
      <c r="I8" s="149">
        <f>G8/F8</f>
        <v>1.123864810037899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ht="12.75" customHeight="1" x14ac:dyDescent="0.3">
      <c r="A9" s="6"/>
      <c r="C9" s="6"/>
      <c r="D9" s="12" t="s">
        <v>27</v>
      </c>
      <c r="E9" s="13"/>
      <c r="F9" s="13">
        <v>0</v>
      </c>
      <c r="G9" s="13">
        <v>0</v>
      </c>
      <c r="H9" s="6"/>
      <c r="I9" s="5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2.75" customHeight="1" x14ac:dyDescent="0.3">
      <c r="A10" s="6"/>
      <c r="C10" s="6"/>
      <c r="D10" s="12" t="s">
        <v>28</v>
      </c>
      <c r="E10" s="13"/>
      <c r="F10" s="13">
        <v>992551.55236329942</v>
      </c>
      <c r="G10" s="13">
        <v>1076892.6668211308</v>
      </c>
      <c r="H10" s="6"/>
      <c r="I10" s="55"/>
      <c r="J10" s="142"/>
      <c r="K10" s="14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2.75" customHeight="1" x14ac:dyDescent="0.3">
      <c r="A11" s="6"/>
      <c r="C11" s="6"/>
      <c r="D11" s="12" t="s">
        <v>29</v>
      </c>
      <c r="E11" s="13"/>
      <c r="F11" s="13"/>
      <c r="G11" s="13"/>
      <c r="H11" s="6"/>
      <c r="I11" s="55"/>
      <c r="J11" s="14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2.75" customHeight="1" x14ac:dyDescent="0.3">
      <c r="A12" s="6"/>
      <c r="C12" s="6"/>
      <c r="D12" s="12" t="s">
        <v>30</v>
      </c>
      <c r="E12" s="13"/>
      <c r="F12" s="13"/>
      <c r="G12" s="13"/>
      <c r="H12" s="6"/>
      <c r="I12" s="5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 x14ac:dyDescent="0.3">
      <c r="A13" s="6"/>
      <c r="C13" s="6"/>
      <c r="D13" s="12" t="s">
        <v>31</v>
      </c>
      <c r="E13" s="13"/>
      <c r="F13" s="13">
        <v>5737.985171455075</v>
      </c>
      <c r="G13" s="13">
        <v>45049.814643188147</v>
      </c>
      <c r="H13" s="6"/>
      <c r="I13" s="5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7.25" customHeight="1" x14ac:dyDescent="0.3">
      <c r="A14" s="9"/>
      <c r="B14" s="53" t="s">
        <v>32</v>
      </c>
      <c r="C14" s="238" t="s">
        <v>33</v>
      </c>
      <c r="D14" s="238"/>
      <c r="E14" s="14"/>
      <c r="F14" s="14">
        <f t="shared" ref="F14:G14" si="0">SUM(F7-F8)</f>
        <v>1715887.9416126038</v>
      </c>
      <c r="G14" s="14">
        <f t="shared" si="0"/>
        <v>3292311.1677479148</v>
      </c>
      <c r="H14" s="9"/>
      <c r="I14" s="5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ht="17.25" customHeight="1" x14ac:dyDescent="0.3">
      <c r="A15" s="9"/>
      <c r="B15" s="53" t="s">
        <v>34</v>
      </c>
      <c r="C15" s="10"/>
      <c r="D15" s="10" t="s">
        <v>35</v>
      </c>
      <c r="E15" s="11"/>
      <c r="F15" s="11">
        <f t="shared" ref="F15:G15" si="1">SUM(F16,F21)</f>
        <v>1367820.0690454128</v>
      </c>
      <c r="G15" s="11">
        <f t="shared" si="1"/>
        <v>2932586.3067655186</v>
      </c>
      <c r="H15" s="9"/>
      <c r="I15" s="5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ht="17.25" customHeight="1" x14ac:dyDescent="0.3">
      <c r="A16" s="6"/>
      <c r="B16" s="54" t="s">
        <v>36</v>
      </c>
      <c r="C16" s="15"/>
      <c r="D16" s="15" t="s">
        <v>37</v>
      </c>
      <c r="E16" s="16"/>
      <c r="F16" s="16">
        <v>726794.19601482863</v>
      </c>
      <c r="G16" s="16">
        <f>SUM(G19:G20)</f>
        <v>534191.71779425396</v>
      </c>
      <c r="H16" s="6"/>
      <c r="I16" s="5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8" ht="12.75" customHeight="1" x14ac:dyDescent="0.3">
      <c r="A17" s="6"/>
      <c r="C17" s="55" t="s">
        <v>136</v>
      </c>
      <c r="D17" s="12" t="s">
        <v>27</v>
      </c>
      <c r="E17" s="13"/>
      <c r="F17" s="13"/>
      <c r="G17" s="13"/>
      <c r="H17" s="6"/>
      <c r="I17" s="5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8" ht="12.75" customHeight="1" x14ac:dyDescent="0.3">
      <c r="A18" s="6"/>
      <c r="C18" s="6"/>
      <c r="D18" s="12" t="s">
        <v>29</v>
      </c>
      <c r="E18" s="13"/>
      <c r="F18" s="13"/>
      <c r="G18" s="13"/>
      <c r="H18" s="6"/>
      <c r="I18" s="5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 customHeight="1" x14ac:dyDescent="0.3">
      <c r="A19" s="6"/>
      <c r="C19" s="6"/>
      <c r="D19" s="213" t="s">
        <v>38</v>
      </c>
      <c r="E19" s="214"/>
      <c r="F19" s="214">
        <v>352544</v>
      </c>
      <c r="G19" s="214">
        <v>523344</v>
      </c>
      <c r="H19" s="6"/>
      <c r="I19" s="149">
        <f>G19/F19</f>
        <v>1.4844785331760006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8" ht="12.75" customHeight="1" x14ac:dyDescent="0.3">
      <c r="A20" s="6"/>
      <c r="C20" s="6"/>
      <c r="D20" s="12" t="s">
        <v>31</v>
      </c>
      <c r="E20" s="13"/>
      <c r="F20" s="13">
        <v>374250.19601482863</v>
      </c>
      <c r="G20" s="13">
        <v>10847.717794253938</v>
      </c>
      <c r="H20" s="6"/>
      <c r="I20" s="5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8" ht="17.25" customHeight="1" x14ac:dyDescent="0.3">
      <c r="A21" s="6"/>
      <c r="B21" s="54" t="s">
        <v>39</v>
      </c>
      <c r="C21" s="15"/>
      <c r="D21" s="15" t="s">
        <v>40</v>
      </c>
      <c r="E21" s="16"/>
      <c r="F21" s="16">
        <f t="shared" ref="F21:G21" si="2">SUM(F22:F25)</f>
        <v>641025.87303058407</v>
      </c>
      <c r="G21" s="16">
        <f t="shared" si="2"/>
        <v>2398394.5889712647</v>
      </c>
      <c r="H21" s="6"/>
      <c r="I21" s="5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8" ht="12.75" customHeight="1" x14ac:dyDescent="0.3">
      <c r="A22" s="6"/>
      <c r="C22" s="55" t="s">
        <v>136</v>
      </c>
      <c r="D22" s="12" t="s">
        <v>27</v>
      </c>
      <c r="E22" s="13"/>
      <c r="F22" s="13">
        <v>140511.17933271549</v>
      </c>
      <c r="G22" s="13">
        <v>203121.81417979611</v>
      </c>
      <c r="H22" s="6"/>
      <c r="I22" s="55"/>
      <c r="J22" s="144"/>
      <c r="K22" s="14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8" ht="12.75" customHeight="1" x14ac:dyDescent="0.3">
      <c r="A23" s="6"/>
      <c r="C23" s="6"/>
      <c r="D23" s="213" t="s">
        <v>29</v>
      </c>
      <c r="E23" s="214"/>
      <c r="F23" s="214">
        <v>499966.69369786844</v>
      </c>
      <c r="G23" s="214">
        <v>1368507.0088044486</v>
      </c>
      <c r="H23" s="6"/>
      <c r="I23" s="149">
        <f>G23/F23</f>
        <v>2.7371963493861093</v>
      </c>
      <c r="J23" s="147" t="s">
        <v>175</v>
      </c>
      <c r="K23" s="148">
        <f>G23/G5</f>
        <v>22808.450146740812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8" ht="12.75" customHeight="1" x14ac:dyDescent="0.3">
      <c r="A24" s="6"/>
      <c r="C24" s="6"/>
      <c r="D24" s="12" t="s">
        <v>41</v>
      </c>
      <c r="E24" s="13"/>
      <c r="F24" s="13"/>
      <c r="G24" s="13"/>
      <c r="H24" s="6"/>
      <c r="I24" s="5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8" ht="12.75" customHeight="1" x14ac:dyDescent="0.3">
      <c r="A25" s="6"/>
      <c r="C25" s="6"/>
      <c r="D25" s="12" t="s">
        <v>31</v>
      </c>
      <c r="E25" s="13"/>
      <c r="F25" s="13">
        <v>548.00000000011642</v>
      </c>
      <c r="G25" s="13">
        <v>826765.76598701999</v>
      </c>
      <c r="H25" s="6"/>
      <c r="I25" s="5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8" ht="17.25" customHeight="1" x14ac:dyDescent="0.3">
      <c r="A26" s="9"/>
      <c r="B26" s="53" t="s">
        <v>42</v>
      </c>
      <c r="C26" s="10" t="s">
        <v>133</v>
      </c>
      <c r="D26" s="10" t="s">
        <v>43</v>
      </c>
      <c r="E26" s="14"/>
      <c r="F26" s="14">
        <f>SUM(F14-F15)</f>
        <v>348067.87256719102</v>
      </c>
      <c r="G26" s="14">
        <f t="shared" ref="G26" si="3">SUM(G14-G15)</f>
        <v>359724.86098239617</v>
      </c>
      <c r="H26" s="9"/>
      <c r="I26" s="5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8" ht="17.25" customHeight="1" x14ac:dyDescent="0.3">
      <c r="A27" s="9"/>
      <c r="B27" s="53" t="s">
        <v>44</v>
      </c>
      <c r="C27" s="50" t="s">
        <v>135</v>
      </c>
      <c r="D27" s="10" t="s">
        <v>45</v>
      </c>
      <c r="E27" s="11"/>
      <c r="F27" s="11">
        <f>SUM(F28-F29)</f>
        <v>4344.3002780352181</v>
      </c>
      <c r="G27" s="11">
        <f t="shared" ref="G27" si="4">SUM(G28-G29)</f>
        <v>89548.192771084345</v>
      </c>
      <c r="H27" s="9"/>
      <c r="I27" s="5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8" ht="17.25" customHeight="1" x14ac:dyDescent="0.3">
      <c r="A28" s="6"/>
      <c r="B28" s="54" t="s">
        <v>46</v>
      </c>
      <c r="C28" s="15"/>
      <c r="D28" s="15" t="s">
        <v>47</v>
      </c>
      <c r="E28" s="16"/>
      <c r="F28" s="16">
        <f>15000/3.4528</f>
        <v>4344.3002780352181</v>
      </c>
      <c r="G28" s="16">
        <f>309192/3.4528</f>
        <v>89548.192771084345</v>
      </c>
      <c r="H28" s="6"/>
      <c r="I28" s="5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8" ht="17.25" customHeight="1" x14ac:dyDescent="0.3">
      <c r="A29" s="6"/>
      <c r="B29" s="54" t="s">
        <v>48</v>
      </c>
      <c r="C29" s="15"/>
      <c r="D29" s="15" t="s">
        <v>49</v>
      </c>
      <c r="E29" s="16"/>
      <c r="F29" s="16">
        <v>0</v>
      </c>
      <c r="G29" s="16">
        <v>0</v>
      </c>
      <c r="H29" s="6"/>
      <c r="I29" s="5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8" ht="17.25" customHeight="1" x14ac:dyDescent="0.3">
      <c r="A30" s="9"/>
      <c r="B30" s="53" t="s">
        <v>50</v>
      </c>
      <c r="C30" s="10"/>
      <c r="D30" s="10" t="s">
        <v>51</v>
      </c>
      <c r="E30" s="11"/>
      <c r="F30" s="11">
        <f>SUM(F31-F32)</f>
        <v>-9701.112140871177</v>
      </c>
      <c r="G30" s="11">
        <f t="shared" ref="G30" si="5">SUM(G31-G32)</f>
        <v>-21799.119555143654</v>
      </c>
      <c r="H30" s="9"/>
      <c r="I30" s="5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8" ht="17.25" customHeight="1" x14ac:dyDescent="0.3">
      <c r="A31" s="6"/>
      <c r="B31" s="54" t="s">
        <v>52</v>
      </c>
      <c r="C31" s="15"/>
      <c r="D31" s="15" t="s">
        <v>47</v>
      </c>
      <c r="E31" s="16"/>
      <c r="F31" s="16">
        <f>11633/3.4528</f>
        <v>3369.1496756255792</v>
      </c>
      <c r="G31" s="16">
        <f>9444/3.4528</f>
        <v>2735.1714550509732</v>
      </c>
      <c r="H31" s="6"/>
      <c r="I31" s="5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8" ht="17.25" customHeight="1" x14ac:dyDescent="0.3">
      <c r="A32" s="6"/>
      <c r="B32" s="54" t="s">
        <v>53</v>
      </c>
      <c r="C32" s="15"/>
      <c r="D32" s="15" t="s">
        <v>49</v>
      </c>
      <c r="E32" s="16"/>
      <c r="F32" s="16">
        <f>45129/3.4528</f>
        <v>13070.261816496757</v>
      </c>
      <c r="G32" s="16">
        <f>84712/3.4528</f>
        <v>24534.291010194625</v>
      </c>
      <c r="H32" s="6"/>
      <c r="I32" s="5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7.25" customHeight="1" x14ac:dyDescent="0.3">
      <c r="A33" s="9"/>
      <c r="B33" s="53" t="s">
        <v>54</v>
      </c>
      <c r="C33" s="10"/>
      <c r="D33" s="10" t="s">
        <v>55</v>
      </c>
      <c r="E33" s="14"/>
      <c r="F33" s="14"/>
      <c r="G33" s="14"/>
      <c r="H33" s="9"/>
      <c r="I33" s="5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ht="17.25" customHeight="1" x14ac:dyDescent="0.3">
      <c r="A34" s="9"/>
      <c r="B34" s="53" t="s">
        <v>56</v>
      </c>
      <c r="C34" s="10" t="s">
        <v>131</v>
      </c>
      <c r="D34" s="10" t="s">
        <v>132</v>
      </c>
      <c r="E34" s="14"/>
      <c r="F34" s="14">
        <f>F26+F27+F30</f>
        <v>342711.06070435507</v>
      </c>
      <c r="G34" s="14">
        <f>G26+G27+G30</f>
        <v>427473.93419833691</v>
      </c>
      <c r="H34" s="14"/>
      <c r="I34" s="5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ht="17.25" customHeight="1" x14ac:dyDescent="0.3">
      <c r="A35" s="9"/>
      <c r="B35" s="54" t="s">
        <v>57</v>
      </c>
      <c r="C35" s="15"/>
      <c r="D35" s="15" t="s">
        <v>58</v>
      </c>
      <c r="E35" s="51"/>
      <c r="F35" s="51">
        <v>54291.010194624701</v>
      </c>
      <c r="G35" s="51">
        <v>62089.608433734946</v>
      </c>
      <c r="H35" s="9"/>
      <c r="I35" s="5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ht="17.25" customHeight="1" x14ac:dyDescent="0.3">
      <c r="A36" s="9"/>
      <c r="B36" s="53" t="s">
        <v>59</v>
      </c>
      <c r="C36" s="238" t="s">
        <v>134</v>
      </c>
      <c r="D36" s="238"/>
      <c r="E36" s="11"/>
      <c r="F36" s="11">
        <f>F34-F35</f>
        <v>288420.05050973035</v>
      </c>
      <c r="G36" s="11">
        <f>G34-G35</f>
        <v>365384.32576460193</v>
      </c>
      <c r="H36" s="14"/>
      <c r="I36" s="50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ht="12.75" customHeight="1" x14ac:dyDescent="0.3">
      <c r="A37" s="6"/>
      <c r="C37" s="6"/>
      <c r="D37" s="6"/>
      <c r="E37" s="17"/>
      <c r="F37" s="17"/>
      <c r="G37" s="17"/>
      <c r="H37" s="6"/>
      <c r="I37" s="5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2.75" customHeight="1" x14ac:dyDescent="0.3">
      <c r="A38" s="6"/>
      <c r="C38" s="6"/>
      <c r="D38" s="6"/>
      <c r="E38" s="7"/>
      <c r="F38" s="7">
        <v>0</v>
      </c>
      <c r="G38" s="7">
        <v>0</v>
      </c>
      <c r="H38" s="6"/>
      <c r="I38" s="5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2.75" customHeight="1" x14ac:dyDescent="0.3">
      <c r="A39" s="6"/>
      <c r="C39" s="6"/>
      <c r="D39" s="6"/>
      <c r="E39" s="6"/>
      <c r="F39" s="6"/>
      <c r="G39" s="6"/>
      <c r="H39" s="6"/>
      <c r="I39" s="5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2.75" customHeight="1" x14ac:dyDescent="0.3">
      <c r="A40" s="6"/>
      <c r="C40" s="6"/>
      <c r="D40" s="6"/>
      <c r="E40" s="6"/>
      <c r="F40" s="6"/>
      <c r="G40" s="6"/>
      <c r="H40" s="6"/>
      <c r="I40" s="5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2.75" customHeight="1" x14ac:dyDescent="0.3">
      <c r="A41" s="6"/>
      <c r="C41" s="6"/>
      <c r="D41" s="6"/>
      <c r="E41" s="6"/>
      <c r="F41" s="6"/>
      <c r="G41" s="6"/>
      <c r="H41" s="6"/>
      <c r="I41" s="5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2.75" customHeight="1" x14ac:dyDescent="0.3">
      <c r="A42" s="6"/>
      <c r="C42" s="6"/>
      <c r="D42" s="6"/>
      <c r="E42" s="6"/>
      <c r="F42" s="6"/>
      <c r="G42" s="6"/>
      <c r="H42" s="6"/>
      <c r="I42" s="5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2.75" customHeight="1" x14ac:dyDescent="0.3">
      <c r="A43" s="6"/>
      <c r="C43" s="6"/>
      <c r="D43" s="6"/>
      <c r="E43" s="6"/>
      <c r="F43" s="6"/>
      <c r="G43" s="6"/>
      <c r="H43" s="6"/>
      <c r="I43" s="5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2.75" customHeight="1" x14ac:dyDescent="0.3">
      <c r="A44" s="6"/>
      <c r="C44" s="6"/>
      <c r="D44" s="6"/>
      <c r="E44" s="6"/>
      <c r="F44" s="6"/>
      <c r="G44" s="6"/>
      <c r="H44" s="6"/>
      <c r="I44" s="5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2.75" customHeight="1" x14ac:dyDescent="0.3">
      <c r="A45" s="6"/>
      <c r="C45" s="6"/>
      <c r="D45" s="6"/>
      <c r="E45" s="6"/>
      <c r="F45" s="6"/>
      <c r="G45" s="6"/>
      <c r="H45" s="6"/>
      <c r="I45" s="5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2.75" customHeight="1" x14ac:dyDescent="0.3">
      <c r="A46" s="6"/>
      <c r="C46" s="6"/>
      <c r="D46" s="6"/>
      <c r="E46" s="6"/>
      <c r="F46" s="6"/>
      <c r="G46" s="6"/>
      <c r="H46" s="6"/>
      <c r="I46" s="5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2.75" customHeight="1" x14ac:dyDescent="0.3">
      <c r="A47" s="6"/>
      <c r="C47" s="6"/>
      <c r="D47" s="6"/>
      <c r="E47" s="6"/>
      <c r="F47" s="6"/>
      <c r="G47" s="6"/>
      <c r="H47" s="6"/>
      <c r="I47" s="5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2.75" customHeight="1" x14ac:dyDescent="0.3">
      <c r="A48" s="6"/>
      <c r="C48" s="6"/>
      <c r="D48" s="6"/>
      <c r="E48" s="6"/>
      <c r="F48" s="6"/>
      <c r="G48" s="6"/>
      <c r="H48" s="6"/>
      <c r="I48" s="5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2.75" customHeight="1" x14ac:dyDescent="0.3">
      <c r="A49" s="6"/>
      <c r="C49" s="6"/>
      <c r="D49" s="6"/>
      <c r="E49" s="6"/>
      <c r="F49" s="6"/>
      <c r="G49" s="6"/>
      <c r="H49" s="6"/>
      <c r="I49" s="5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2.75" customHeight="1" x14ac:dyDescent="0.3">
      <c r="A50" s="6"/>
      <c r="C50" s="6"/>
      <c r="D50" s="6"/>
      <c r="E50" s="6"/>
      <c r="F50" s="6"/>
      <c r="G50" s="6"/>
      <c r="H50" s="6"/>
      <c r="I50" s="5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2.75" customHeight="1" x14ac:dyDescent="0.3">
      <c r="A51" s="6"/>
      <c r="C51" s="6"/>
      <c r="D51" s="6"/>
      <c r="E51" s="6"/>
      <c r="F51" s="6"/>
      <c r="G51" s="6"/>
      <c r="H51" s="6"/>
      <c r="I51" s="5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2.75" customHeight="1" x14ac:dyDescent="0.3">
      <c r="A52" s="6"/>
      <c r="C52" s="6"/>
      <c r="D52" s="6"/>
      <c r="E52" s="6"/>
      <c r="F52" s="6"/>
      <c r="G52" s="6"/>
      <c r="H52" s="6"/>
      <c r="I52" s="5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2.75" customHeight="1" x14ac:dyDescent="0.3">
      <c r="A53" s="6"/>
      <c r="C53" s="6"/>
      <c r="D53" s="6"/>
      <c r="E53" s="6"/>
      <c r="F53" s="6"/>
      <c r="G53" s="6"/>
      <c r="H53" s="6"/>
      <c r="I53" s="5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2.75" customHeight="1" x14ac:dyDescent="0.3">
      <c r="A54" s="6"/>
      <c r="C54" s="6"/>
      <c r="D54" s="6"/>
      <c r="E54" s="6"/>
      <c r="F54" s="6"/>
      <c r="G54" s="6"/>
      <c r="H54" s="6"/>
      <c r="I54" s="5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 x14ac:dyDescent="0.3">
      <c r="A55" s="6"/>
      <c r="C55" s="6"/>
      <c r="D55" s="6"/>
      <c r="E55" s="6"/>
      <c r="F55" s="6"/>
      <c r="G55" s="6"/>
      <c r="H55" s="6"/>
      <c r="I55" s="5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 x14ac:dyDescent="0.3">
      <c r="A56" s="6"/>
      <c r="C56" s="6"/>
      <c r="D56" s="6"/>
      <c r="E56" s="6"/>
      <c r="F56" s="6"/>
      <c r="G56" s="6"/>
      <c r="H56" s="6"/>
      <c r="I56" s="5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 x14ac:dyDescent="0.3">
      <c r="A57" s="6"/>
      <c r="C57" s="6"/>
      <c r="D57" s="6"/>
      <c r="E57" s="6"/>
      <c r="F57" s="6"/>
      <c r="G57" s="6"/>
      <c r="H57" s="6"/>
      <c r="I57" s="5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 x14ac:dyDescent="0.3">
      <c r="A58" s="6"/>
      <c r="C58" s="6"/>
      <c r="D58" s="6"/>
      <c r="E58" s="6"/>
      <c r="F58" s="6"/>
      <c r="G58" s="6"/>
      <c r="H58" s="6"/>
      <c r="I58" s="5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 x14ac:dyDescent="0.3">
      <c r="A59" s="6"/>
      <c r="C59" s="6"/>
      <c r="D59" s="6"/>
      <c r="E59" s="6"/>
      <c r="F59" s="6"/>
      <c r="G59" s="6"/>
      <c r="H59" s="6"/>
      <c r="I59" s="5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 x14ac:dyDescent="0.3">
      <c r="A60" s="6"/>
      <c r="C60" s="6"/>
      <c r="D60" s="6"/>
      <c r="E60" s="6"/>
      <c r="F60" s="6"/>
      <c r="G60" s="6"/>
      <c r="H60" s="6"/>
      <c r="I60" s="5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 x14ac:dyDescent="0.3">
      <c r="A61" s="7"/>
      <c r="C61" s="6"/>
      <c r="D61" s="6"/>
      <c r="E61" s="6"/>
      <c r="F61" s="6"/>
      <c r="G61" s="6"/>
      <c r="H61" s="6"/>
      <c r="I61" s="5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 x14ac:dyDescent="0.3">
      <c r="A62" s="6"/>
      <c r="C62" s="6"/>
      <c r="D62" s="6"/>
      <c r="E62" s="6"/>
      <c r="F62" s="6"/>
      <c r="G62" s="6"/>
      <c r="H62" s="6"/>
      <c r="I62" s="5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 x14ac:dyDescent="0.3">
      <c r="A63" s="6"/>
      <c r="C63" s="6"/>
      <c r="D63" s="6"/>
      <c r="E63" s="6"/>
      <c r="F63" s="6"/>
      <c r="G63" s="6"/>
      <c r="H63" s="6"/>
      <c r="I63" s="5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 x14ac:dyDescent="0.3">
      <c r="A64" s="6"/>
      <c r="C64" s="6"/>
      <c r="D64" s="6"/>
      <c r="E64" s="6"/>
      <c r="F64" s="6"/>
      <c r="G64" s="6"/>
      <c r="H64" s="6"/>
      <c r="I64" s="5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 x14ac:dyDescent="0.3">
      <c r="A65" s="6"/>
      <c r="C65" s="6"/>
      <c r="D65" s="6"/>
      <c r="E65" s="6"/>
      <c r="F65" s="6"/>
      <c r="G65" s="6"/>
      <c r="H65" s="6"/>
      <c r="I65" s="5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 x14ac:dyDescent="0.3">
      <c r="A66" s="6"/>
      <c r="C66" s="6"/>
      <c r="D66" s="6"/>
      <c r="E66" s="6"/>
      <c r="F66" s="6"/>
      <c r="G66" s="6"/>
      <c r="H66" s="6"/>
      <c r="I66" s="5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 x14ac:dyDescent="0.3">
      <c r="A67" s="6"/>
      <c r="C67" s="6"/>
      <c r="D67" s="6"/>
      <c r="E67" s="6"/>
      <c r="F67" s="6"/>
      <c r="G67" s="6"/>
      <c r="H67" s="6"/>
      <c r="I67" s="5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 x14ac:dyDescent="0.3">
      <c r="A68" s="6"/>
      <c r="C68" s="6"/>
      <c r="D68" s="6"/>
      <c r="E68" s="6"/>
      <c r="F68" s="6"/>
      <c r="G68" s="6"/>
      <c r="H68" s="6"/>
      <c r="I68" s="5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 x14ac:dyDescent="0.3">
      <c r="A69" s="6"/>
      <c r="C69" s="6"/>
      <c r="D69" s="6"/>
      <c r="E69" s="6"/>
      <c r="F69" s="6"/>
      <c r="G69" s="6"/>
      <c r="H69" s="6"/>
      <c r="I69" s="5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 x14ac:dyDescent="0.3">
      <c r="A70" s="6"/>
      <c r="C70" s="6"/>
      <c r="D70" s="6"/>
      <c r="E70" s="6"/>
      <c r="F70" s="6"/>
      <c r="G70" s="6"/>
      <c r="H70" s="6"/>
      <c r="I70" s="5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 x14ac:dyDescent="0.3">
      <c r="A71" s="6"/>
      <c r="C71" s="6"/>
      <c r="D71" s="6"/>
      <c r="E71" s="6"/>
      <c r="F71" s="6"/>
      <c r="G71" s="6"/>
      <c r="H71" s="6"/>
      <c r="I71" s="5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 x14ac:dyDescent="0.3">
      <c r="A72" s="6"/>
      <c r="C72" s="6"/>
      <c r="D72" s="6"/>
      <c r="E72" s="6"/>
      <c r="F72" s="6"/>
      <c r="G72" s="6"/>
      <c r="H72" s="6"/>
      <c r="I72" s="5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 x14ac:dyDescent="0.3">
      <c r="A73" s="6"/>
      <c r="C73" s="6"/>
      <c r="D73" s="6"/>
      <c r="E73" s="6"/>
      <c r="F73" s="6"/>
      <c r="G73" s="6"/>
      <c r="H73" s="6"/>
      <c r="I73" s="5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 x14ac:dyDescent="0.3">
      <c r="A74" s="6"/>
      <c r="C74" s="6"/>
      <c r="D74" s="6"/>
      <c r="E74" s="6"/>
      <c r="F74" s="6"/>
      <c r="G74" s="6"/>
      <c r="H74" s="6"/>
      <c r="I74" s="5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 x14ac:dyDescent="0.3">
      <c r="A75" s="6"/>
      <c r="C75" s="6"/>
      <c r="D75" s="6"/>
      <c r="E75" s="6"/>
      <c r="F75" s="6"/>
      <c r="G75" s="6"/>
      <c r="H75" s="6"/>
      <c r="I75" s="5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 x14ac:dyDescent="0.3">
      <c r="A76" s="6"/>
      <c r="C76" s="6"/>
      <c r="D76" s="6"/>
      <c r="E76" s="6"/>
      <c r="F76" s="6"/>
      <c r="G76" s="6"/>
      <c r="H76" s="6"/>
      <c r="I76" s="5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 x14ac:dyDescent="0.3">
      <c r="A77" s="6"/>
      <c r="C77" s="6"/>
      <c r="D77" s="6"/>
      <c r="E77" s="6"/>
      <c r="F77" s="6"/>
      <c r="G77" s="6"/>
      <c r="H77" s="6"/>
      <c r="I77" s="5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 x14ac:dyDescent="0.3">
      <c r="A78" s="6"/>
      <c r="C78" s="6"/>
      <c r="D78" s="6"/>
      <c r="E78" s="6"/>
      <c r="F78" s="6"/>
      <c r="G78" s="6"/>
      <c r="H78" s="6"/>
      <c r="I78" s="5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 x14ac:dyDescent="0.3">
      <c r="A79" s="6"/>
      <c r="C79" s="6"/>
      <c r="D79" s="6"/>
      <c r="E79" s="6"/>
      <c r="F79" s="6"/>
      <c r="G79" s="6"/>
      <c r="H79" s="6"/>
      <c r="I79" s="5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 x14ac:dyDescent="0.3">
      <c r="A80" s="6"/>
      <c r="C80" s="6"/>
      <c r="D80" s="6"/>
      <c r="E80" s="6"/>
      <c r="F80" s="6"/>
      <c r="G80" s="6"/>
      <c r="H80" s="6"/>
      <c r="I80" s="5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 x14ac:dyDescent="0.3">
      <c r="A81" s="6"/>
      <c r="C81" s="6"/>
      <c r="D81" s="6"/>
      <c r="E81" s="6"/>
      <c r="F81" s="6"/>
      <c r="G81" s="6"/>
      <c r="H81" s="6"/>
      <c r="I81" s="5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 x14ac:dyDescent="0.3">
      <c r="A82" s="6"/>
      <c r="C82" s="6"/>
      <c r="D82" s="6"/>
      <c r="E82" s="6"/>
      <c r="F82" s="6"/>
      <c r="G82" s="6"/>
      <c r="H82" s="6"/>
      <c r="I82" s="5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 x14ac:dyDescent="0.3">
      <c r="A83" s="6"/>
      <c r="C83" s="6"/>
      <c r="D83" s="6"/>
      <c r="E83" s="6"/>
      <c r="F83" s="6"/>
      <c r="G83" s="6"/>
      <c r="H83" s="6"/>
      <c r="I83" s="5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 x14ac:dyDescent="0.3">
      <c r="A84" s="6"/>
      <c r="C84" s="6"/>
      <c r="D84" s="6"/>
      <c r="E84" s="6"/>
      <c r="F84" s="6"/>
      <c r="G84" s="6"/>
      <c r="H84" s="6"/>
      <c r="I84" s="5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 x14ac:dyDescent="0.3">
      <c r="A85" s="6"/>
      <c r="C85" s="6"/>
      <c r="D85" s="6"/>
      <c r="E85" s="6"/>
      <c r="F85" s="6"/>
      <c r="G85" s="6"/>
      <c r="H85" s="6"/>
      <c r="I85" s="5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 x14ac:dyDescent="0.3">
      <c r="A86" s="6"/>
      <c r="C86" s="6"/>
      <c r="D86" s="6"/>
      <c r="E86" s="6"/>
      <c r="F86" s="6"/>
      <c r="G86" s="6"/>
      <c r="H86" s="6"/>
      <c r="I86" s="5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 x14ac:dyDescent="0.3">
      <c r="A87" s="6"/>
      <c r="C87" s="6"/>
      <c r="D87" s="6"/>
      <c r="E87" s="6"/>
      <c r="F87" s="6"/>
      <c r="G87" s="6"/>
      <c r="H87" s="6"/>
      <c r="I87" s="5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 x14ac:dyDescent="0.3">
      <c r="A88" s="6"/>
      <c r="C88" s="6"/>
      <c r="D88" s="6"/>
      <c r="E88" s="6"/>
      <c r="F88" s="6"/>
      <c r="G88" s="6"/>
      <c r="H88" s="6"/>
      <c r="I88" s="5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 x14ac:dyDescent="0.3">
      <c r="A89" s="6"/>
      <c r="C89" s="6"/>
      <c r="D89" s="6"/>
      <c r="E89" s="6"/>
      <c r="F89" s="6"/>
      <c r="G89" s="6"/>
      <c r="H89" s="6"/>
      <c r="I89" s="5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 x14ac:dyDescent="0.3">
      <c r="A90" s="6"/>
      <c r="C90" s="6"/>
      <c r="D90" s="6"/>
      <c r="E90" s="6"/>
      <c r="F90" s="6"/>
      <c r="G90" s="6"/>
      <c r="H90" s="6"/>
      <c r="I90" s="5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 x14ac:dyDescent="0.3">
      <c r="A91" s="6"/>
      <c r="C91" s="6"/>
      <c r="D91" s="6"/>
      <c r="E91" s="6"/>
      <c r="F91" s="6"/>
      <c r="G91" s="6"/>
      <c r="H91" s="6"/>
      <c r="I91" s="5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 x14ac:dyDescent="0.3">
      <c r="A92" s="6"/>
      <c r="C92" s="6"/>
      <c r="D92" s="6"/>
      <c r="E92" s="6"/>
      <c r="F92" s="6"/>
      <c r="G92" s="6"/>
      <c r="H92" s="6"/>
      <c r="I92" s="5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 x14ac:dyDescent="0.3">
      <c r="A93" s="6"/>
      <c r="C93" s="6"/>
      <c r="D93" s="6"/>
      <c r="E93" s="6"/>
      <c r="F93" s="6"/>
      <c r="G93" s="6"/>
      <c r="H93" s="6"/>
      <c r="I93" s="5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 x14ac:dyDescent="0.3">
      <c r="A94" s="6"/>
      <c r="C94" s="6"/>
      <c r="D94" s="6"/>
      <c r="E94" s="6"/>
      <c r="F94" s="6"/>
      <c r="G94" s="6"/>
      <c r="H94" s="6"/>
      <c r="I94" s="5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 x14ac:dyDescent="0.3">
      <c r="A95" s="6"/>
      <c r="C95" s="6"/>
      <c r="D95" s="6"/>
      <c r="E95" s="6"/>
      <c r="F95" s="6"/>
      <c r="G95" s="6"/>
      <c r="H95" s="6"/>
      <c r="I95" s="5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 x14ac:dyDescent="0.3">
      <c r="A96" s="6"/>
      <c r="C96" s="6"/>
      <c r="D96" s="6"/>
      <c r="E96" s="6"/>
      <c r="F96" s="6"/>
      <c r="G96" s="6"/>
      <c r="H96" s="6"/>
      <c r="I96" s="5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 x14ac:dyDescent="0.3">
      <c r="A97" s="6"/>
      <c r="C97" s="6"/>
      <c r="D97" s="6"/>
      <c r="E97" s="6"/>
      <c r="F97" s="6"/>
      <c r="G97" s="6"/>
      <c r="H97" s="6"/>
      <c r="I97" s="5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2.75" customHeight="1" x14ac:dyDescent="0.3">
      <c r="A98" s="6"/>
      <c r="C98" s="6"/>
      <c r="D98" s="6"/>
      <c r="E98" s="6"/>
      <c r="F98" s="6"/>
      <c r="G98" s="6"/>
      <c r="H98" s="6"/>
      <c r="I98" s="5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2.75" customHeight="1" x14ac:dyDescent="0.3">
      <c r="A99" s="6"/>
      <c r="C99" s="6"/>
      <c r="D99" s="6"/>
      <c r="E99" s="6"/>
      <c r="F99" s="6"/>
      <c r="G99" s="6"/>
      <c r="H99" s="6"/>
      <c r="I99" s="5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2.75" customHeight="1" x14ac:dyDescent="0.3">
      <c r="A100" s="6"/>
      <c r="C100" s="6"/>
      <c r="D100" s="6"/>
      <c r="E100" s="6"/>
      <c r="F100" s="6"/>
      <c r="G100" s="6"/>
      <c r="H100" s="6"/>
      <c r="I100" s="5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2.75" customHeight="1" x14ac:dyDescent="0.3">
      <c r="A101" s="6"/>
      <c r="C101" s="6"/>
      <c r="D101" s="6"/>
      <c r="E101" s="6"/>
      <c r="F101" s="6"/>
      <c r="G101" s="6"/>
      <c r="H101" s="6"/>
      <c r="I101" s="5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2.75" customHeight="1" x14ac:dyDescent="0.3">
      <c r="A102" s="6"/>
      <c r="C102" s="6"/>
      <c r="D102" s="6"/>
      <c r="E102" s="6"/>
      <c r="F102" s="6"/>
      <c r="G102" s="6"/>
      <c r="H102" s="6"/>
      <c r="I102" s="5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2.75" customHeight="1" x14ac:dyDescent="0.3">
      <c r="A103" s="6"/>
      <c r="C103" s="6"/>
      <c r="D103" s="6"/>
      <c r="E103" s="6"/>
      <c r="F103" s="6"/>
      <c r="G103" s="6"/>
      <c r="H103" s="6"/>
      <c r="I103" s="5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2.75" customHeight="1" x14ac:dyDescent="0.3">
      <c r="A104" s="6"/>
      <c r="C104" s="6"/>
      <c r="D104" s="6"/>
      <c r="E104" s="6"/>
      <c r="F104" s="6"/>
      <c r="G104" s="6"/>
      <c r="H104" s="6"/>
      <c r="I104" s="5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2.75" customHeight="1" x14ac:dyDescent="0.3">
      <c r="A105" s="6"/>
      <c r="C105" s="6"/>
      <c r="D105" s="6"/>
      <c r="E105" s="6"/>
      <c r="F105" s="6"/>
      <c r="G105" s="6"/>
      <c r="H105" s="6"/>
      <c r="I105" s="5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2.75" customHeight="1" x14ac:dyDescent="0.3">
      <c r="A106" s="6"/>
      <c r="C106" s="6"/>
      <c r="D106" s="6"/>
      <c r="E106" s="6"/>
      <c r="F106" s="6"/>
      <c r="G106" s="6"/>
      <c r="H106" s="6"/>
      <c r="I106" s="5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2.75" customHeight="1" x14ac:dyDescent="0.3">
      <c r="A107" s="6"/>
      <c r="C107" s="6"/>
      <c r="D107" s="6"/>
      <c r="E107" s="6"/>
      <c r="F107" s="6"/>
      <c r="G107" s="6"/>
      <c r="H107" s="6"/>
      <c r="I107" s="5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2.75" customHeight="1" x14ac:dyDescent="0.3">
      <c r="A108" s="6"/>
      <c r="C108" s="6"/>
      <c r="D108" s="6"/>
      <c r="E108" s="6"/>
      <c r="F108" s="6"/>
      <c r="G108" s="6"/>
      <c r="H108" s="6"/>
      <c r="I108" s="5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2.75" customHeight="1" x14ac:dyDescent="0.3">
      <c r="A109" s="6"/>
      <c r="C109" s="6"/>
      <c r="D109" s="6"/>
      <c r="E109" s="6"/>
      <c r="F109" s="6"/>
      <c r="G109" s="6"/>
      <c r="H109" s="6"/>
      <c r="I109" s="5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2.75" customHeight="1" x14ac:dyDescent="0.3">
      <c r="A110" s="6"/>
      <c r="C110" s="6"/>
      <c r="D110" s="6"/>
      <c r="E110" s="6"/>
      <c r="F110" s="6"/>
      <c r="G110" s="6"/>
      <c r="H110" s="6"/>
      <c r="I110" s="5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2.75" customHeight="1" x14ac:dyDescent="0.3">
      <c r="A111" s="6"/>
      <c r="C111" s="6"/>
      <c r="D111" s="6"/>
      <c r="E111" s="6"/>
      <c r="F111" s="6"/>
      <c r="G111" s="6"/>
      <c r="H111" s="6"/>
      <c r="I111" s="5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2.75" customHeight="1" x14ac:dyDescent="0.3">
      <c r="A112" s="6"/>
      <c r="C112" s="6"/>
      <c r="D112" s="6"/>
      <c r="E112" s="6"/>
      <c r="F112" s="6"/>
      <c r="G112" s="6"/>
      <c r="H112" s="6"/>
      <c r="I112" s="5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2.75" customHeight="1" x14ac:dyDescent="0.3">
      <c r="A113" s="6"/>
      <c r="C113" s="6"/>
      <c r="D113" s="6"/>
      <c r="E113" s="6"/>
      <c r="F113" s="6"/>
      <c r="G113" s="6"/>
      <c r="H113" s="6"/>
      <c r="I113" s="5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2.75" customHeight="1" x14ac:dyDescent="0.3">
      <c r="A114" s="6"/>
      <c r="C114" s="6"/>
      <c r="D114" s="6"/>
      <c r="E114" s="6"/>
      <c r="F114" s="6"/>
      <c r="G114" s="6"/>
      <c r="H114" s="6"/>
      <c r="I114" s="5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2.75" customHeight="1" x14ac:dyDescent="0.3">
      <c r="A115" s="6"/>
      <c r="C115" s="6"/>
      <c r="D115" s="6"/>
      <c r="E115" s="6"/>
      <c r="F115" s="6"/>
      <c r="G115" s="6"/>
      <c r="H115" s="6"/>
      <c r="I115" s="5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2.75" customHeight="1" x14ac:dyDescent="0.3">
      <c r="A116" s="6"/>
      <c r="C116" s="6"/>
      <c r="D116" s="6"/>
      <c r="E116" s="6"/>
      <c r="F116" s="6"/>
      <c r="G116" s="6"/>
      <c r="H116" s="6"/>
      <c r="I116" s="5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2.75" customHeight="1" x14ac:dyDescent="0.3">
      <c r="A117" s="6"/>
      <c r="C117" s="6"/>
      <c r="D117" s="6"/>
      <c r="E117" s="6"/>
      <c r="F117" s="6"/>
      <c r="G117" s="6"/>
      <c r="H117" s="6"/>
      <c r="I117" s="5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2.75" customHeight="1" x14ac:dyDescent="0.3">
      <c r="A118" s="6"/>
      <c r="C118" s="6"/>
      <c r="D118" s="6"/>
      <c r="E118" s="6"/>
      <c r="F118" s="6"/>
      <c r="G118" s="6"/>
      <c r="H118" s="6"/>
      <c r="I118" s="5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2.75" customHeight="1" x14ac:dyDescent="0.3">
      <c r="A119" s="6"/>
      <c r="C119" s="6"/>
      <c r="D119" s="6"/>
      <c r="E119" s="6"/>
      <c r="F119" s="6"/>
      <c r="G119" s="6"/>
      <c r="H119" s="6"/>
      <c r="I119" s="5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2.75" customHeight="1" x14ac:dyDescent="0.3">
      <c r="A120" s="6"/>
      <c r="C120" s="6"/>
      <c r="D120" s="6"/>
      <c r="E120" s="6"/>
      <c r="F120" s="6"/>
      <c r="G120" s="6"/>
      <c r="H120" s="6"/>
      <c r="I120" s="5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2.75" customHeight="1" x14ac:dyDescent="0.3">
      <c r="A121" s="6"/>
      <c r="C121" s="6"/>
      <c r="D121" s="6"/>
      <c r="E121" s="6"/>
      <c r="F121" s="6"/>
      <c r="G121" s="6"/>
      <c r="H121" s="6"/>
      <c r="I121" s="5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2.75" customHeight="1" x14ac:dyDescent="0.3">
      <c r="A122" s="6"/>
      <c r="C122" s="6"/>
      <c r="D122" s="6"/>
      <c r="E122" s="6"/>
      <c r="F122" s="6"/>
      <c r="G122" s="6"/>
      <c r="H122" s="6"/>
      <c r="I122" s="5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2.75" customHeight="1" x14ac:dyDescent="0.3">
      <c r="A123" s="6"/>
      <c r="C123" s="6"/>
      <c r="D123" s="6"/>
      <c r="E123" s="6"/>
      <c r="F123" s="6"/>
      <c r="G123" s="6"/>
      <c r="H123" s="6"/>
      <c r="I123" s="5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2.75" customHeight="1" x14ac:dyDescent="0.3">
      <c r="A124" s="6"/>
      <c r="C124" s="6"/>
      <c r="D124" s="6"/>
      <c r="E124" s="6"/>
      <c r="F124" s="6"/>
      <c r="G124" s="6"/>
      <c r="H124" s="6"/>
      <c r="I124" s="5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2.75" customHeight="1" x14ac:dyDescent="0.3">
      <c r="A125" s="6"/>
      <c r="C125" s="6"/>
      <c r="D125" s="6"/>
      <c r="E125" s="6"/>
      <c r="F125" s="6"/>
      <c r="G125" s="6"/>
      <c r="H125" s="6"/>
      <c r="I125" s="5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2.75" customHeight="1" x14ac:dyDescent="0.3">
      <c r="A126" s="6"/>
      <c r="C126" s="6"/>
      <c r="D126" s="6"/>
      <c r="E126" s="6"/>
      <c r="F126" s="6"/>
      <c r="G126" s="6"/>
      <c r="H126" s="6"/>
      <c r="I126" s="5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2.75" customHeight="1" x14ac:dyDescent="0.3">
      <c r="A127" s="6"/>
      <c r="C127" s="6"/>
      <c r="D127" s="6"/>
      <c r="E127" s="6"/>
      <c r="F127" s="6"/>
      <c r="G127" s="6"/>
      <c r="H127" s="6"/>
      <c r="I127" s="5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2.75" customHeight="1" x14ac:dyDescent="0.3">
      <c r="A128" s="6"/>
      <c r="C128" s="6"/>
      <c r="D128" s="6"/>
      <c r="E128" s="6"/>
      <c r="F128" s="6"/>
      <c r="G128" s="6"/>
      <c r="H128" s="6"/>
      <c r="I128" s="5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2.75" customHeight="1" x14ac:dyDescent="0.3">
      <c r="A129" s="6"/>
      <c r="C129" s="6"/>
      <c r="D129" s="6"/>
      <c r="E129" s="6"/>
      <c r="F129" s="6"/>
      <c r="G129" s="6"/>
      <c r="H129" s="6"/>
      <c r="I129" s="5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2.75" customHeight="1" x14ac:dyDescent="0.3">
      <c r="A130" s="6"/>
      <c r="C130" s="6"/>
      <c r="D130" s="6"/>
      <c r="E130" s="6"/>
      <c r="F130" s="6"/>
      <c r="G130" s="6"/>
      <c r="H130" s="6"/>
      <c r="I130" s="5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2.75" customHeight="1" x14ac:dyDescent="0.3">
      <c r="A131" s="6"/>
      <c r="C131" s="6"/>
      <c r="D131" s="6"/>
      <c r="E131" s="6"/>
      <c r="F131" s="6"/>
      <c r="G131" s="6"/>
      <c r="H131" s="6"/>
      <c r="I131" s="5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2.75" customHeight="1" x14ac:dyDescent="0.3">
      <c r="A132" s="6"/>
      <c r="C132" s="6"/>
      <c r="D132" s="6"/>
      <c r="E132" s="6"/>
      <c r="F132" s="6"/>
      <c r="G132" s="6"/>
      <c r="H132" s="6"/>
      <c r="I132" s="5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2.75" customHeight="1" x14ac:dyDescent="0.3">
      <c r="A133" s="6"/>
      <c r="C133" s="6"/>
      <c r="D133" s="6"/>
      <c r="E133" s="6"/>
      <c r="F133" s="6"/>
      <c r="G133" s="6"/>
      <c r="H133" s="6"/>
      <c r="I133" s="5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2.75" customHeight="1" x14ac:dyDescent="0.3">
      <c r="A134" s="6"/>
      <c r="C134" s="6"/>
      <c r="D134" s="6"/>
      <c r="E134" s="6"/>
      <c r="F134" s="6"/>
      <c r="G134" s="6"/>
      <c r="H134" s="6"/>
      <c r="I134" s="5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2.75" customHeight="1" x14ac:dyDescent="0.3">
      <c r="A135" s="6"/>
      <c r="C135" s="6"/>
      <c r="D135" s="6"/>
      <c r="E135" s="6"/>
      <c r="F135" s="6"/>
      <c r="G135" s="6"/>
      <c r="H135" s="6"/>
      <c r="I135" s="5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2.75" customHeight="1" x14ac:dyDescent="0.3">
      <c r="A136" s="6"/>
      <c r="C136" s="6"/>
      <c r="D136" s="6"/>
      <c r="E136" s="6"/>
      <c r="F136" s="6"/>
      <c r="G136" s="6"/>
      <c r="H136" s="6"/>
      <c r="I136" s="5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2.75" customHeight="1" x14ac:dyDescent="0.3">
      <c r="A137" s="6"/>
      <c r="C137" s="6"/>
      <c r="D137" s="6"/>
      <c r="E137" s="6"/>
      <c r="F137" s="6"/>
      <c r="G137" s="6"/>
      <c r="H137" s="6"/>
      <c r="I137" s="5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2.75" customHeight="1" x14ac:dyDescent="0.3">
      <c r="A138" s="6"/>
      <c r="C138" s="6"/>
      <c r="D138" s="6"/>
      <c r="E138" s="6"/>
      <c r="F138" s="6"/>
      <c r="G138" s="6"/>
      <c r="H138" s="6"/>
      <c r="I138" s="5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2.75" customHeight="1" x14ac:dyDescent="0.3">
      <c r="A139" s="6"/>
      <c r="C139" s="6"/>
      <c r="D139" s="6"/>
      <c r="E139" s="6"/>
      <c r="F139" s="6"/>
      <c r="G139" s="6"/>
      <c r="H139" s="6"/>
      <c r="I139" s="5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2.75" customHeight="1" x14ac:dyDescent="0.3">
      <c r="A140" s="6"/>
      <c r="C140" s="6"/>
      <c r="D140" s="6"/>
      <c r="E140" s="6"/>
      <c r="F140" s="6"/>
      <c r="G140" s="6"/>
      <c r="H140" s="6"/>
      <c r="I140" s="5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2.75" customHeight="1" x14ac:dyDescent="0.3">
      <c r="A141" s="6"/>
      <c r="C141" s="6"/>
      <c r="D141" s="6"/>
      <c r="E141" s="6"/>
      <c r="F141" s="6"/>
      <c r="G141" s="6"/>
      <c r="H141" s="6"/>
      <c r="I141" s="5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2.75" customHeight="1" x14ac:dyDescent="0.3">
      <c r="A142" s="6"/>
      <c r="C142" s="6"/>
      <c r="D142" s="6"/>
      <c r="E142" s="6"/>
      <c r="F142" s="6"/>
      <c r="G142" s="6"/>
      <c r="H142" s="6"/>
      <c r="I142" s="5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2.75" customHeight="1" x14ac:dyDescent="0.3">
      <c r="A143" s="6"/>
      <c r="C143" s="6"/>
      <c r="D143" s="6"/>
      <c r="E143" s="6"/>
      <c r="F143" s="6"/>
      <c r="G143" s="6"/>
      <c r="H143" s="6"/>
      <c r="I143" s="5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2.75" customHeight="1" x14ac:dyDescent="0.3">
      <c r="A144" s="6"/>
      <c r="C144" s="6"/>
      <c r="D144" s="6"/>
      <c r="E144" s="6"/>
      <c r="F144" s="6"/>
      <c r="G144" s="6"/>
      <c r="H144" s="6"/>
      <c r="I144" s="5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2.75" customHeight="1" x14ac:dyDescent="0.3">
      <c r="A145" s="6"/>
      <c r="C145" s="6"/>
      <c r="D145" s="6"/>
      <c r="E145" s="6"/>
      <c r="F145" s="6"/>
      <c r="G145" s="6"/>
      <c r="H145" s="6"/>
      <c r="I145" s="5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2.75" customHeight="1" x14ac:dyDescent="0.3">
      <c r="A146" s="6"/>
      <c r="C146" s="6"/>
      <c r="D146" s="6"/>
      <c r="E146" s="6"/>
      <c r="F146" s="6"/>
      <c r="G146" s="6"/>
      <c r="H146" s="6"/>
      <c r="I146" s="5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2.75" customHeight="1" x14ac:dyDescent="0.3">
      <c r="A147" s="6"/>
      <c r="C147" s="6"/>
      <c r="D147" s="6"/>
      <c r="E147" s="6"/>
      <c r="F147" s="6"/>
      <c r="G147" s="6"/>
      <c r="H147" s="6"/>
      <c r="I147" s="5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2.75" customHeight="1" x14ac:dyDescent="0.3">
      <c r="A148" s="6"/>
      <c r="C148" s="6"/>
      <c r="D148" s="6"/>
      <c r="E148" s="6"/>
      <c r="F148" s="6"/>
      <c r="G148" s="6"/>
      <c r="H148" s="6"/>
      <c r="I148" s="5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2.75" customHeight="1" x14ac:dyDescent="0.3">
      <c r="A149" s="6"/>
      <c r="C149" s="6"/>
      <c r="D149" s="6"/>
      <c r="E149" s="6"/>
      <c r="F149" s="6"/>
      <c r="G149" s="6"/>
      <c r="H149" s="6"/>
      <c r="I149" s="5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2.75" customHeight="1" x14ac:dyDescent="0.3">
      <c r="A150" s="6"/>
      <c r="C150" s="6"/>
      <c r="D150" s="6"/>
      <c r="E150" s="6"/>
      <c r="F150" s="6"/>
      <c r="G150" s="6"/>
      <c r="H150" s="6"/>
      <c r="I150" s="5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2.75" customHeight="1" x14ac:dyDescent="0.3">
      <c r="A151" s="6"/>
      <c r="C151" s="6"/>
      <c r="D151" s="6"/>
      <c r="E151" s="6"/>
      <c r="F151" s="6"/>
      <c r="G151" s="6"/>
      <c r="H151" s="6"/>
      <c r="I151" s="5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2.75" customHeight="1" x14ac:dyDescent="0.3">
      <c r="A152" s="6"/>
      <c r="C152" s="6"/>
      <c r="D152" s="6"/>
      <c r="E152" s="6"/>
      <c r="F152" s="6"/>
      <c r="G152" s="6"/>
      <c r="H152" s="6"/>
      <c r="I152" s="5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2.75" customHeight="1" x14ac:dyDescent="0.3">
      <c r="A153" s="6"/>
      <c r="C153" s="6"/>
      <c r="D153" s="6"/>
      <c r="E153" s="6"/>
      <c r="F153" s="6"/>
      <c r="G153" s="6"/>
      <c r="H153" s="6"/>
      <c r="I153" s="5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2.75" customHeight="1" x14ac:dyDescent="0.3">
      <c r="A154" s="6"/>
      <c r="C154" s="6"/>
      <c r="D154" s="6"/>
      <c r="E154" s="6"/>
      <c r="F154" s="6"/>
      <c r="G154" s="6"/>
      <c r="H154" s="6"/>
      <c r="I154" s="5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2.75" customHeight="1" x14ac:dyDescent="0.3">
      <c r="A155" s="6"/>
      <c r="C155" s="6"/>
      <c r="D155" s="6"/>
      <c r="E155" s="6"/>
      <c r="F155" s="6"/>
      <c r="G155" s="6"/>
      <c r="H155" s="6"/>
      <c r="I155" s="5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2.75" customHeight="1" x14ac:dyDescent="0.3">
      <c r="A156" s="6"/>
      <c r="C156" s="6"/>
      <c r="D156" s="6"/>
      <c r="E156" s="6"/>
      <c r="F156" s="6"/>
      <c r="G156" s="6"/>
      <c r="H156" s="6"/>
      <c r="I156" s="5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2.75" customHeight="1" x14ac:dyDescent="0.3">
      <c r="A157" s="6"/>
      <c r="C157" s="6"/>
      <c r="D157" s="6"/>
      <c r="E157" s="6"/>
      <c r="F157" s="6"/>
      <c r="G157" s="6"/>
      <c r="H157" s="6"/>
      <c r="I157" s="5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2.75" customHeight="1" x14ac:dyDescent="0.3">
      <c r="A158" s="6"/>
      <c r="C158" s="6"/>
      <c r="D158" s="6"/>
      <c r="E158" s="6"/>
      <c r="F158" s="6"/>
      <c r="G158" s="6"/>
      <c r="H158" s="6"/>
      <c r="I158" s="5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2.75" customHeight="1" x14ac:dyDescent="0.3">
      <c r="A159" s="6"/>
      <c r="C159" s="6"/>
      <c r="D159" s="6"/>
      <c r="E159" s="6"/>
      <c r="F159" s="6"/>
      <c r="G159" s="6"/>
      <c r="H159" s="6"/>
      <c r="I159" s="5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2.75" customHeight="1" x14ac:dyDescent="0.3">
      <c r="A160" s="6"/>
      <c r="C160" s="6"/>
      <c r="D160" s="6"/>
      <c r="E160" s="6"/>
      <c r="F160" s="6"/>
      <c r="G160" s="6"/>
      <c r="H160" s="6"/>
      <c r="I160" s="5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2.75" customHeight="1" x14ac:dyDescent="0.3">
      <c r="A161" s="6"/>
      <c r="C161" s="6"/>
      <c r="D161" s="6"/>
      <c r="E161" s="6"/>
      <c r="F161" s="6"/>
      <c r="G161" s="6"/>
      <c r="H161" s="6"/>
      <c r="I161" s="5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2.75" customHeight="1" x14ac:dyDescent="0.3">
      <c r="A162" s="6"/>
      <c r="C162" s="6"/>
      <c r="D162" s="6"/>
      <c r="E162" s="6"/>
      <c r="F162" s="6"/>
      <c r="G162" s="6"/>
      <c r="H162" s="6"/>
      <c r="I162" s="5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2.75" customHeight="1" x14ac:dyDescent="0.3">
      <c r="A163" s="6"/>
      <c r="C163" s="6"/>
      <c r="D163" s="6"/>
      <c r="E163" s="6"/>
      <c r="F163" s="6"/>
      <c r="G163" s="6"/>
      <c r="H163" s="6"/>
      <c r="I163" s="5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2.75" customHeight="1" x14ac:dyDescent="0.3">
      <c r="A164" s="6"/>
      <c r="C164" s="6"/>
      <c r="D164" s="6"/>
      <c r="E164" s="6"/>
      <c r="F164" s="6"/>
      <c r="G164" s="6"/>
      <c r="H164" s="6"/>
      <c r="I164" s="5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2.75" customHeight="1" x14ac:dyDescent="0.3">
      <c r="A165" s="6"/>
      <c r="C165" s="6"/>
      <c r="D165" s="6"/>
      <c r="E165" s="6"/>
      <c r="F165" s="6"/>
      <c r="G165" s="6"/>
      <c r="H165" s="6"/>
      <c r="I165" s="5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2.75" customHeight="1" x14ac:dyDescent="0.3">
      <c r="A166" s="6"/>
      <c r="C166" s="6"/>
      <c r="D166" s="6"/>
      <c r="E166" s="6"/>
      <c r="F166" s="6"/>
      <c r="G166" s="6"/>
      <c r="H166" s="6"/>
      <c r="I166" s="5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2.75" customHeight="1" x14ac:dyDescent="0.3">
      <c r="A167" s="6"/>
      <c r="C167" s="6"/>
      <c r="D167" s="6"/>
      <c r="E167" s="6"/>
      <c r="F167" s="6"/>
      <c r="G167" s="6"/>
      <c r="H167" s="6"/>
      <c r="I167" s="5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2.75" customHeight="1" x14ac:dyDescent="0.3">
      <c r="A168" s="6"/>
      <c r="C168" s="6"/>
      <c r="D168" s="6"/>
      <c r="E168" s="6"/>
      <c r="F168" s="6"/>
      <c r="G168" s="6"/>
      <c r="H168" s="6"/>
      <c r="I168" s="5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2.75" customHeight="1" x14ac:dyDescent="0.3">
      <c r="A169" s="6"/>
      <c r="C169" s="6"/>
      <c r="D169" s="6"/>
      <c r="E169" s="6"/>
      <c r="F169" s="6"/>
      <c r="G169" s="6"/>
      <c r="H169" s="6"/>
      <c r="I169" s="5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2.75" customHeight="1" x14ac:dyDescent="0.3">
      <c r="A170" s="6"/>
      <c r="C170" s="6"/>
      <c r="D170" s="6"/>
      <c r="E170" s="6"/>
      <c r="F170" s="6"/>
      <c r="G170" s="6"/>
      <c r="H170" s="6"/>
      <c r="I170" s="5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2.75" customHeight="1" x14ac:dyDescent="0.3">
      <c r="A171" s="6"/>
      <c r="C171" s="6"/>
      <c r="D171" s="6"/>
      <c r="E171" s="6"/>
      <c r="F171" s="6"/>
      <c r="G171" s="6"/>
      <c r="H171" s="6"/>
      <c r="I171" s="5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2.75" customHeight="1" x14ac:dyDescent="0.3">
      <c r="A172" s="6"/>
      <c r="C172" s="6"/>
      <c r="D172" s="6"/>
      <c r="E172" s="6"/>
      <c r="F172" s="6"/>
      <c r="G172" s="6"/>
      <c r="H172" s="6"/>
      <c r="I172" s="5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2.75" customHeight="1" x14ac:dyDescent="0.3">
      <c r="A173" s="6"/>
      <c r="C173" s="6"/>
      <c r="D173" s="6"/>
      <c r="E173" s="6"/>
      <c r="F173" s="6"/>
      <c r="G173" s="6"/>
      <c r="H173" s="6"/>
      <c r="I173" s="5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2.75" customHeight="1" x14ac:dyDescent="0.3">
      <c r="A174" s="6"/>
      <c r="C174" s="6"/>
      <c r="D174" s="6"/>
      <c r="E174" s="6"/>
      <c r="F174" s="6"/>
      <c r="G174" s="6"/>
      <c r="H174" s="6"/>
      <c r="I174" s="5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2.75" customHeight="1" x14ac:dyDescent="0.3">
      <c r="A175" s="6"/>
      <c r="C175" s="6"/>
      <c r="D175" s="6"/>
      <c r="E175" s="6"/>
      <c r="F175" s="6"/>
      <c r="G175" s="6"/>
      <c r="H175" s="6"/>
      <c r="I175" s="5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2.75" customHeight="1" x14ac:dyDescent="0.3">
      <c r="A176" s="6"/>
      <c r="C176" s="6"/>
      <c r="D176" s="6"/>
      <c r="E176" s="6"/>
      <c r="F176" s="6"/>
      <c r="G176" s="6"/>
      <c r="H176" s="6"/>
      <c r="I176" s="5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2.75" customHeight="1" x14ac:dyDescent="0.3">
      <c r="A177" s="6"/>
      <c r="C177" s="6"/>
      <c r="D177" s="6"/>
      <c r="E177" s="6"/>
      <c r="F177" s="6"/>
      <c r="G177" s="6"/>
      <c r="H177" s="6"/>
      <c r="I177" s="5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2.75" customHeight="1" x14ac:dyDescent="0.3">
      <c r="A178" s="6"/>
      <c r="C178" s="6"/>
      <c r="D178" s="6"/>
      <c r="E178" s="6"/>
      <c r="F178" s="6"/>
      <c r="G178" s="6"/>
      <c r="H178" s="6"/>
      <c r="I178" s="5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2.75" customHeight="1" x14ac:dyDescent="0.3">
      <c r="A179" s="6"/>
      <c r="C179" s="6"/>
      <c r="D179" s="6"/>
      <c r="E179" s="6"/>
      <c r="F179" s="6"/>
      <c r="G179" s="6"/>
      <c r="H179" s="6"/>
      <c r="I179" s="5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2.75" customHeight="1" x14ac:dyDescent="0.3">
      <c r="A180" s="6"/>
      <c r="C180" s="6"/>
      <c r="D180" s="6"/>
      <c r="E180" s="6"/>
      <c r="F180" s="6"/>
      <c r="G180" s="6"/>
      <c r="H180" s="6"/>
      <c r="I180" s="5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2.75" customHeight="1" x14ac:dyDescent="0.3">
      <c r="A181" s="6"/>
      <c r="C181" s="6"/>
      <c r="D181" s="6"/>
      <c r="E181" s="6"/>
      <c r="F181" s="6"/>
      <c r="G181" s="6"/>
      <c r="H181" s="6"/>
      <c r="I181" s="5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2.75" customHeight="1" x14ac:dyDescent="0.3">
      <c r="A182" s="6"/>
      <c r="C182" s="6"/>
      <c r="D182" s="6"/>
      <c r="E182" s="6"/>
      <c r="F182" s="6"/>
      <c r="G182" s="6"/>
      <c r="H182" s="6"/>
      <c r="I182" s="5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2.75" customHeight="1" x14ac:dyDescent="0.3">
      <c r="A183" s="6"/>
      <c r="C183" s="6"/>
      <c r="D183" s="6"/>
      <c r="E183" s="6"/>
      <c r="F183" s="6"/>
      <c r="G183" s="6"/>
      <c r="H183" s="6"/>
      <c r="I183" s="5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2.75" customHeight="1" x14ac:dyDescent="0.3">
      <c r="A184" s="6"/>
      <c r="C184" s="6"/>
      <c r="D184" s="6"/>
      <c r="E184" s="6"/>
      <c r="F184" s="6"/>
      <c r="G184" s="6"/>
      <c r="H184" s="6"/>
      <c r="I184" s="5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2.75" customHeight="1" x14ac:dyDescent="0.3">
      <c r="A185" s="6"/>
      <c r="C185" s="6"/>
      <c r="D185" s="6"/>
      <c r="E185" s="6"/>
      <c r="F185" s="6"/>
      <c r="G185" s="6"/>
      <c r="H185" s="6"/>
      <c r="I185" s="5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2.75" customHeight="1" x14ac:dyDescent="0.3">
      <c r="A186" s="6"/>
      <c r="C186" s="6"/>
      <c r="D186" s="6"/>
      <c r="E186" s="6"/>
      <c r="F186" s="6"/>
      <c r="G186" s="6"/>
      <c r="H186" s="6"/>
      <c r="I186" s="5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2.75" customHeight="1" x14ac:dyDescent="0.3">
      <c r="A187" s="6"/>
      <c r="C187" s="6"/>
      <c r="D187" s="6"/>
      <c r="E187" s="6"/>
      <c r="F187" s="6"/>
      <c r="G187" s="6"/>
      <c r="H187" s="6"/>
      <c r="I187" s="5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2.75" customHeight="1" x14ac:dyDescent="0.3">
      <c r="A188" s="6"/>
      <c r="C188" s="6"/>
      <c r="D188" s="6"/>
      <c r="E188" s="6"/>
      <c r="F188" s="6"/>
      <c r="G188" s="6"/>
      <c r="H188" s="6"/>
      <c r="I188" s="5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2.75" customHeight="1" x14ac:dyDescent="0.3">
      <c r="A189" s="6"/>
      <c r="C189" s="6"/>
      <c r="D189" s="6"/>
      <c r="E189" s="6"/>
      <c r="F189" s="6"/>
      <c r="G189" s="6"/>
      <c r="H189" s="6"/>
      <c r="I189" s="5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2.75" customHeight="1" x14ac:dyDescent="0.3">
      <c r="A190" s="6"/>
      <c r="C190" s="6"/>
      <c r="D190" s="6"/>
      <c r="E190" s="6"/>
      <c r="F190" s="6"/>
      <c r="G190" s="6"/>
      <c r="H190" s="6"/>
      <c r="I190" s="5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2.75" customHeight="1" x14ac:dyDescent="0.3">
      <c r="A191" s="6"/>
      <c r="C191" s="6"/>
      <c r="D191" s="6"/>
      <c r="E191" s="6"/>
      <c r="F191" s="6"/>
      <c r="G191" s="6"/>
      <c r="H191" s="6"/>
      <c r="I191" s="5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2.75" customHeight="1" x14ac:dyDescent="0.3">
      <c r="A192" s="6"/>
      <c r="C192" s="6"/>
      <c r="D192" s="6"/>
      <c r="E192" s="6"/>
      <c r="F192" s="6"/>
      <c r="G192" s="6"/>
      <c r="H192" s="6"/>
      <c r="I192" s="5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2.75" customHeight="1" x14ac:dyDescent="0.3">
      <c r="A193" s="6"/>
      <c r="C193" s="6"/>
      <c r="D193" s="6"/>
      <c r="E193" s="6"/>
      <c r="F193" s="6"/>
      <c r="G193" s="6"/>
      <c r="H193" s="6"/>
      <c r="I193" s="5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2.75" customHeight="1" x14ac:dyDescent="0.3">
      <c r="A194" s="6"/>
      <c r="C194" s="6"/>
      <c r="D194" s="6"/>
      <c r="E194" s="6"/>
      <c r="F194" s="6"/>
      <c r="G194" s="6"/>
      <c r="H194" s="6"/>
      <c r="I194" s="5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2.75" customHeight="1" x14ac:dyDescent="0.3">
      <c r="A195" s="6"/>
      <c r="C195" s="6"/>
      <c r="D195" s="6"/>
      <c r="E195" s="6"/>
      <c r="F195" s="6"/>
      <c r="G195" s="6"/>
      <c r="H195" s="6"/>
      <c r="I195" s="5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2.75" customHeight="1" x14ac:dyDescent="0.3">
      <c r="A196" s="6"/>
      <c r="C196" s="6"/>
      <c r="D196" s="6"/>
      <c r="E196" s="6"/>
      <c r="F196" s="6"/>
      <c r="G196" s="6"/>
      <c r="H196" s="6"/>
      <c r="I196" s="5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2.75" customHeight="1" x14ac:dyDescent="0.3">
      <c r="A197" s="6"/>
      <c r="C197" s="6"/>
      <c r="D197" s="6"/>
      <c r="E197" s="6"/>
      <c r="F197" s="6"/>
      <c r="G197" s="6"/>
      <c r="H197" s="6"/>
      <c r="I197" s="5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2.75" customHeight="1" x14ac:dyDescent="0.3">
      <c r="A198" s="6"/>
      <c r="C198" s="6"/>
      <c r="D198" s="6"/>
      <c r="E198" s="6"/>
      <c r="F198" s="6"/>
      <c r="G198" s="6"/>
      <c r="H198" s="6"/>
      <c r="I198" s="5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2.75" customHeight="1" x14ac:dyDescent="0.3">
      <c r="A199" s="6"/>
      <c r="C199" s="6"/>
      <c r="D199" s="6"/>
      <c r="E199" s="6"/>
      <c r="F199" s="6"/>
      <c r="G199" s="6"/>
      <c r="H199" s="6"/>
      <c r="I199" s="5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2.75" customHeight="1" x14ac:dyDescent="0.3">
      <c r="A200" s="6"/>
      <c r="C200" s="6"/>
      <c r="D200" s="6"/>
      <c r="E200" s="6"/>
      <c r="F200" s="6"/>
      <c r="G200" s="6"/>
      <c r="H200" s="6"/>
      <c r="I200" s="5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2.75" customHeight="1" x14ac:dyDescent="0.3">
      <c r="A201" s="6"/>
      <c r="C201" s="6"/>
      <c r="D201" s="6"/>
      <c r="E201" s="6"/>
      <c r="F201" s="6"/>
      <c r="G201" s="6"/>
      <c r="H201" s="6"/>
      <c r="I201" s="5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2.75" customHeight="1" x14ac:dyDescent="0.3">
      <c r="A202" s="6"/>
      <c r="C202" s="6"/>
      <c r="D202" s="6"/>
      <c r="E202" s="6"/>
      <c r="F202" s="6"/>
      <c r="G202" s="6"/>
      <c r="H202" s="6"/>
      <c r="I202" s="5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2.75" customHeight="1" x14ac:dyDescent="0.3">
      <c r="A203" s="6"/>
      <c r="C203" s="6"/>
      <c r="D203" s="6"/>
      <c r="E203" s="6"/>
      <c r="F203" s="6"/>
      <c r="G203" s="6"/>
      <c r="H203" s="6"/>
      <c r="I203" s="5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2.75" customHeight="1" x14ac:dyDescent="0.3">
      <c r="A204" s="6"/>
      <c r="C204" s="6"/>
      <c r="D204" s="6"/>
      <c r="E204" s="6"/>
      <c r="F204" s="6"/>
      <c r="G204" s="6"/>
      <c r="H204" s="6"/>
      <c r="I204" s="5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2.75" customHeight="1" x14ac:dyDescent="0.3">
      <c r="A205" s="6"/>
      <c r="C205" s="6"/>
      <c r="D205" s="6"/>
      <c r="E205" s="6"/>
      <c r="F205" s="6"/>
      <c r="G205" s="6"/>
      <c r="H205" s="6"/>
      <c r="I205" s="5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2.75" customHeight="1" x14ac:dyDescent="0.3">
      <c r="A206" s="6"/>
      <c r="C206" s="6"/>
      <c r="D206" s="6"/>
      <c r="E206" s="6"/>
      <c r="F206" s="6"/>
      <c r="G206" s="6"/>
      <c r="H206" s="6"/>
      <c r="I206" s="5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2.75" customHeight="1" x14ac:dyDescent="0.3">
      <c r="A207" s="6"/>
      <c r="C207" s="6"/>
      <c r="D207" s="6"/>
      <c r="E207" s="6"/>
      <c r="F207" s="6"/>
      <c r="G207" s="6"/>
      <c r="H207" s="6"/>
      <c r="I207" s="5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2.75" customHeight="1" x14ac:dyDescent="0.3">
      <c r="A208" s="6"/>
      <c r="C208" s="6"/>
      <c r="D208" s="6"/>
      <c r="E208" s="6"/>
      <c r="F208" s="6"/>
      <c r="G208" s="6"/>
      <c r="H208" s="6"/>
      <c r="I208" s="5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2.75" customHeight="1" x14ac:dyDescent="0.3">
      <c r="A209" s="6"/>
      <c r="C209" s="6"/>
      <c r="D209" s="6"/>
      <c r="E209" s="6"/>
      <c r="F209" s="6"/>
      <c r="G209" s="6"/>
      <c r="H209" s="6"/>
      <c r="I209" s="5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2.75" customHeight="1" x14ac:dyDescent="0.3">
      <c r="A210" s="6"/>
      <c r="C210" s="6"/>
      <c r="D210" s="6"/>
      <c r="E210" s="6"/>
      <c r="F210" s="6"/>
      <c r="G210" s="6"/>
      <c r="H210" s="6"/>
      <c r="I210" s="5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2.75" customHeight="1" x14ac:dyDescent="0.3">
      <c r="A211" s="6"/>
      <c r="C211" s="6"/>
      <c r="D211" s="6"/>
      <c r="E211" s="6"/>
      <c r="F211" s="6"/>
      <c r="G211" s="6"/>
      <c r="H211" s="6"/>
      <c r="I211" s="5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2.75" customHeight="1" x14ac:dyDescent="0.3">
      <c r="A212" s="6"/>
      <c r="C212" s="6"/>
      <c r="D212" s="6"/>
      <c r="E212" s="6"/>
      <c r="F212" s="6"/>
      <c r="G212" s="6"/>
      <c r="H212" s="6"/>
      <c r="I212" s="5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2.75" customHeight="1" x14ac:dyDescent="0.3">
      <c r="A213" s="6"/>
      <c r="C213" s="6"/>
      <c r="D213" s="6"/>
      <c r="E213" s="6"/>
      <c r="F213" s="6"/>
      <c r="G213" s="6"/>
      <c r="H213" s="6"/>
      <c r="I213" s="5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2.75" customHeight="1" x14ac:dyDescent="0.3">
      <c r="A214" s="6"/>
      <c r="C214" s="6"/>
      <c r="D214" s="6"/>
      <c r="E214" s="6"/>
      <c r="F214" s="6"/>
      <c r="G214" s="6"/>
      <c r="H214" s="6"/>
      <c r="I214" s="5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2.75" customHeight="1" x14ac:dyDescent="0.3">
      <c r="A215" s="6"/>
      <c r="C215" s="6"/>
      <c r="D215" s="6"/>
      <c r="E215" s="6"/>
      <c r="F215" s="6"/>
      <c r="G215" s="6"/>
      <c r="H215" s="6"/>
      <c r="I215" s="5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2.75" customHeight="1" x14ac:dyDescent="0.3">
      <c r="A216" s="6"/>
      <c r="C216" s="6"/>
      <c r="D216" s="6"/>
      <c r="E216" s="6"/>
      <c r="F216" s="6"/>
      <c r="G216" s="6"/>
      <c r="H216" s="6"/>
      <c r="I216" s="5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2.75" customHeight="1" x14ac:dyDescent="0.3">
      <c r="A217" s="6"/>
      <c r="C217" s="6"/>
      <c r="D217" s="6"/>
      <c r="E217" s="6"/>
      <c r="F217" s="6"/>
      <c r="G217" s="6"/>
      <c r="H217" s="6"/>
      <c r="I217" s="5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2.75" customHeight="1" x14ac:dyDescent="0.3">
      <c r="A218" s="6"/>
      <c r="C218" s="6"/>
      <c r="D218" s="6"/>
      <c r="E218" s="6"/>
      <c r="F218" s="6"/>
      <c r="G218" s="6"/>
      <c r="H218" s="6"/>
      <c r="I218" s="5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2.75" customHeight="1" x14ac:dyDescent="0.3">
      <c r="A219" s="6"/>
      <c r="C219" s="6"/>
      <c r="D219" s="6"/>
      <c r="E219" s="6"/>
      <c r="F219" s="6"/>
      <c r="G219" s="6"/>
      <c r="H219" s="6"/>
      <c r="I219" s="5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2.75" customHeight="1" x14ac:dyDescent="0.3">
      <c r="A220" s="6"/>
      <c r="C220" s="6"/>
      <c r="D220" s="6"/>
      <c r="E220" s="6"/>
      <c r="F220" s="6"/>
      <c r="G220" s="6"/>
      <c r="H220" s="6"/>
      <c r="I220" s="5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2.75" customHeight="1" x14ac:dyDescent="0.3">
      <c r="A221" s="6"/>
      <c r="C221" s="6"/>
      <c r="D221" s="6"/>
      <c r="E221" s="6"/>
      <c r="F221" s="6"/>
      <c r="G221" s="6"/>
      <c r="H221" s="6"/>
      <c r="I221" s="5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2.75" customHeight="1" x14ac:dyDescent="0.3">
      <c r="A222" s="6"/>
      <c r="C222" s="6"/>
      <c r="D222" s="6"/>
      <c r="E222" s="6"/>
      <c r="F222" s="6"/>
      <c r="G222" s="6"/>
      <c r="H222" s="6"/>
      <c r="I222" s="5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2.75" customHeight="1" x14ac:dyDescent="0.3">
      <c r="A223" s="6"/>
      <c r="C223" s="6"/>
      <c r="D223" s="6"/>
      <c r="E223" s="6"/>
      <c r="F223" s="6"/>
      <c r="G223" s="6"/>
      <c r="H223" s="6"/>
      <c r="I223" s="5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2.75" customHeight="1" x14ac:dyDescent="0.3">
      <c r="A224" s="6"/>
      <c r="C224" s="6"/>
      <c r="D224" s="6"/>
      <c r="E224" s="6"/>
      <c r="F224" s="6"/>
      <c r="G224" s="6"/>
      <c r="H224" s="6"/>
      <c r="I224" s="5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2.75" customHeight="1" x14ac:dyDescent="0.3">
      <c r="A225" s="6"/>
      <c r="C225" s="6"/>
      <c r="D225" s="6"/>
      <c r="E225" s="6"/>
      <c r="F225" s="6"/>
      <c r="G225" s="6"/>
      <c r="H225" s="6"/>
      <c r="I225" s="5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2.75" customHeight="1" x14ac:dyDescent="0.3">
      <c r="A226" s="6"/>
      <c r="C226" s="6"/>
      <c r="D226" s="6"/>
      <c r="E226" s="6"/>
      <c r="F226" s="6"/>
      <c r="G226" s="6"/>
      <c r="H226" s="6"/>
      <c r="I226" s="5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2.75" customHeight="1" x14ac:dyDescent="0.3">
      <c r="A227" s="6"/>
      <c r="C227" s="6"/>
      <c r="D227" s="6"/>
      <c r="E227" s="6"/>
      <c r="F227" s="6"/>
      <c r="G227" s="6"/>
      <c r="H227" s="6"/>
      <c r="I227" s="5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2.75" customHeight="1" x14ac:dyDescent="0.3">
      <c r="A228" s="6"/>
      <c r="C228" s="6"/>
      <c r="D228" s="6"/>
      <c r="E228" s="6"/>
      <c r="F228" s="6"/>
      <c r="G228" s="6"/>
      <c r="H228" s="6"/>
      <c r="I228" s="5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2.75" customHeight="1" x14ac:dyDescent="0.3">
      <c r="A229" s="6"/>
      <c r="C229" s="6"/>
      <c r="D229" s="6"/>
      <c r="E229" s="6"/>
      <c r="F229" s="6"/>
      <c r="G229" s="6"/>
      <c r="H229" s="6"/>
      <c r="I229" s="5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2.75" customHeight="1" x14ac:dyDescent="0.3">
      <c r="A230" s="6"/>
      <c r="C230" s="6"/>
      <c r="D230" s="6"/>
      <c r="E230" s="6"/>
      <c r="F230" s="6"/>
      <c r="G230" s="6"/>
      <c r="H230" s="6"/>
      <c r="I230" s="5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2.75" customHeight="1" x14ac:dyDescent="0.3">
      <c r="A231" s="6"/>
      <c r="C231" s="6"/>
      <c r="D231" s="6"/>
      <c r="E231" s="6"/>
      <c r="F231" s="6"/>
      <c r="G231" s="6"/>
      <c r="H231" s="6"/>
      <c r="I231" s="5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2.75" customHeight="1" x14ac:dyDescent="0.3">
      <c r="A232" s="6"/>
      <c r="C232" s="6"/>
      <c r="D232" s="6"/>
      <c r="E232" s="6"/>
      <c r="F232" s="6"/>
      <c r="G232" s="6"/>
      <c r="H232" s="6"/>
      <c r="I232" s="5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2.75" customHeight="1" x14ac:dyDescent="0.3">
      <c r="A233" s="6"/>
      <c r="C233" s="6"/>
      <c r="D233" s="6"/>
      <c r="E233" s="6"/>
      <c r="F233" s="6"/>
      <c r="G233" s="6"/>
      <c r="H233" s="6"/>
      <c r="I233" s="5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2.75" customHeight="1" x14ac:dyDescent="0.3">
      <c r="A234" s="6"/>
      <c r="C234" s="6"/>
      <c r="D234" s="6"/>
      <c r="E234" s="6"/>
      <c r="F234" s="6"/>
      <c r="G234" s="6"/>
      <c r="H234" s="6"/>
      <c r="I234" s="5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2.75" customHeight="1" x14ac:dyDescent="0.3">
      <c r="A235" s="6"/>
      <c r="C235" s="6"/>
      <c r="D235" s="6"/>
      <c r="E235" s="6"/>
      <c r="F235" s="6"/>
      <c r="G235" s="6"/>
      <c r="H235" s="6"/>
      <c r="I235" s="5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2.75" customHeight="1" x14ac:dyDescent="0.3">
      <c r="A236" s="6"/>
      <c r="C236" s="6"/>
      <c r="D236" s="6"/>
      <c r="E236" s="6"/>
      <c r="F236" s="6"/>
      <c r="G236" s="6"/>
      <c r="H236" s="6"/>
      <c r="I236" s="5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2.75" customHeight="1" x14ac:dyDescent="0.3">
      <c r="A237" s="6"/>
      <c r="C237" s="6"/>
      <c r="D237" s="6"/>
      <c r="E237" s="6"/>
      <c r="F237" s="6"/>
      <c r="G237" s="6"/>
      <c r="H237" s="6"/>
      <c r="I237" s="5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2.75" customHeight="1" x14ac:dyDescent="0.3">
      <c r="A238" s="6"/>
      <c r="C238" s="6"/>
      <c r="D238" s="6"/>
      <c r="E238" s="6"/>
      <c r="F238" s="6"/>
      <c r="G238" s="6"/>
      <c r="H238" s="6"/>
      <c r="I238" s="5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5.75" customHeight="1" x14ac:dyDescent="0.3"/>
    <row r="240" spans="1:23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9">
    <mergeCell ref="C14:D14"/>
    <mergeCell ref="C36:D36"/>
    <mergeCell ref="E3:E4"/>
    <mergeCell ref="D2:G2"/>
    <mergeCell ref="B3:B4"/>
    <mergeCell ref="D3:D4"/>
    <mergeCell ref="F3:F4"/>
    <mergeCell ref="G3:G4"/>
    <mergeCell ref="C7:D7"/>
  </mergeCells>
  <pageMargins left="0.56999999999999995" right="0.31" top="0.4" bottom="0.52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9576-4F14-444C-A5A7-5B1B690EE54C}">
  <dimension ref="B1:Y969"/>
  <sheetViews>
    <sheetView showGridLines="0" topLeftCell="E2" workbookViewId="0">
      <selection activeCell="I30" sqref="I30"/>
    </sheetView>
  </sheetViews>
  <sheetFormatPr defaultColWidth="12.6328125" defaultRowHeight="15" customHeight="1" x14ac:dyDescent="0.3"/>
  <cols>
    <col min="1" max="1" width="1.81640625" style="19" customWidth="1"/>
    <col min="2" max="2" width="6.08984375" style="19" customWidth="1"/>
    <col min="3" max="3" width="72.90625" style="19" customWidth="1"/>
    <col min="4" max="5" width="10" style="19" customWidth="1"/>
    <col min="6" max="6" width="4" style="19" customWidth="1"/>
    <col min="7" max="7" width="57.1796875" style="19" customWidth="1"/>
    <col min="8" max="9" width="9.90625" style="19" customWidth="1"/>
    <col min="10" max="10" width="8.6328125" style="19" customWidth="1"/>
    <col min="11" max="12" width="5" style="19" bestFit="1" customWidth="1"/>
    <col min="13" max="13" width="4.36328125" style="19" bestFit="1" customWidth="1"/>
    <col min="14" max="25" width="8.6328125" style="19" customWidth="1"/>
    <col min="26" max="16384" width="12.6328125" style="19"/>
  </cols>
  <sheetData>
    <row r="1" spans="2:25" ht="7.75" customHeight="1" x14ac:dyDescent="0.3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2:25" ht="39" customHeight="1" x14ac:dyDescent="0.3">
      <c r="B2" s="18"/>
      <c r="C2" s="253" t="s">
        <v>130</v>
      </c>
      <c r="D2" s="253"/>
      <c r="E2" s="253"/>
      <c r="F2" s="253"/>
      <c r="G2" s="253"/>
      <c r="H2" s="253"/>
      <c r="I2" s="253"/>
      <c r="J2" s="18"/>
      <c r="K2" s="250" t="s">
        <v>163</v>
      </c>
      <c r="L2" s="250"/>
      <c r="M2" s="250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2:25" ht="12.75" customHeight="1" x14ac:dyDescent="0.3">
      <c r="B3" s="18"/>
      <c r="C3" s="82" t="s">
        <v>22</v>
      </c>
      <c r="D3" s="251" t="s">
        <v>60</v>
      </c>
      <c r="E3" s="252"/>
      <c r="F3" s="18"/>
      <c r="G3" s="82" t="s">
        <v>22</v>
      </c>
      <c r="H3" s="251" t="s">
        <v>60</v>
      </c>
      <c r="I3" s="252"/>
      <c r="J3" s="18"/>
      <c r="K3" s="249" t="s">
        <v>164</v>
      </c>
      <c r="L3" s="249"/>
      <c r="M3" s="249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2:25" ht="12.75" customHeight="1" x14ac:dyDescent="0.3">
      <c r="B4" s="18"/>
      <c r="C4" s="30"/>
      <c r="D4" s="31">
        <v>2016</v>
      </c>
      <c r="E4" s="43">
        <v>2017</v>
      </c>
      <c r="F4" s="18"/>
      <c r="G4" s="30"/>
      <c r="H4" s="31">
        <v>2016</v>
      </c>
      <c r="I4" s="43">
        <v>2017</v>
      </c>
      <c r="J4" s="18"/>
      <c r="K4" s="133">
        <v>2016</v>
      </c>
      <c r="L4" s="133">
        <v>2017</v>
      </c>
      <c r="M4" s="133" t="s">
        <v>162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2:25" ht="12" customHeight="1" x14ac:dyDescent="0.3">
      <c r="B5" s="38"/>
      <c r="C5" s="46" t="s">
        <v>61</v>
      </c>
      <c r="D5" s="45">
        <f>D6+D10+D17+D18</f>
        <v>1321426.9578313255</v>
      </c>
      <c r="E5" s="45">
        <f>E6+E10+E17+E18</f>
        <v>1249622.9147358667</v>
      </c>
      <c r="F5" s="125"/>
      <c r="G5" s="47" t="s">
        <v>88</v>
      </c>
      <c r="H5" s="48">
        <f>H6+H10+H11+H14+H17</f>
        <v>456358.89712696942</v>
      </c>
      <c r="I5" s="48">
        <f>I6+I10+I11+I14+I17</f>
        <v>821743.22289156634</v>
      </c>
      <c r="J5" s="247" t="s">
        <v>160</v>
      </c>
      <c r="L5" s="130"/>
      <c r="M5" s="130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2:25" ht="12" customHeight="1" x14ac:dyDescent="0.3">
      <c r="B6" s="38"/>
      <c r="C6" s="112" t="s">
        <v>62</v>
      </c>
      <c r="D6" s="45">
        <f>SUM(D7:D9)</f>
        <v>1345.5746061167752</v>
      </c>
      <c r="E6" s="45">
        <f>SUM(E7:E9)</f>
        <v>1572.636700648749</v>
      </c>
      <c r="F6" s="83"/>
      <c r="G6" s="112" t="s">
        <v>89</v>
      </c>
      <c r="H6" s="45">
        <v>2896.2001853568099</v>
      </c>
      <c r="I6" s="45">
        <v>2896.2001853568122</v>
      </c>
      <c r="J6" s="247"/>
      <c r="K6" s="132"/>
      <c r="L6" s="132"/>
      <c r="M6" s="12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2:25" ht="12" customHeight="1" x14ac:dyDescent="0.3">
      <c r="B7" s="38"/>
      <c r="C7" s="115" t="s">
        <v>63</v>
      </c>
      <c r="D7" s="21">
        <v>0</v>
      </c>
      <c r="E7" s="21">
        <v>0</v>
      </c>
      <c r="F7" s="83"/>
      <c r="G7" s="115" t="s">
        <v>90</v>
      </c>
      <c r="H7" s="21">
        <v>2896.2001853568122</v>
      </c>
      <c r="I7" s="21">
        <v>2896.2001853568122</v>
      </c>
      <c r="J7" s="247"/>
      <c r="K7" s="132"/>
      <c r="L7" s="132"/>
      <c r="M7" s="12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2:25" ht="12" customHeight="1" x14ac:dyDescent="0.3">
      <c r="B8" s="38"/>
      <c r="C8" s="126" t="s">
        <v>64</v>
      </c>
      <c r="D8" s="22">
        <v>0</v>
      </c>
      <c r="E8" s="22">
        <v>0</v>
      </c>
      <c r="F8" s="83"/>
      <c r="G8" s="116" t="s">
        <v>91</v>
      </c>
      <c r="H8" s="24">
        <v>0</v>
      </c>
      <c r="I8" s="24">
        <v>0</v>
      </c>
      <c r="J8" s="247"/>
      <c r="K8" s="132"/>
      <c r="L8" s="132"/>
      <c r="M8" s="12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2:25" ht="12" customHeight="1" x14ac:dyDescent="0.3">
      <c r="B9" s="38"/>
      <c r="C9" s="117" t="s">
        <v>65</v>
      </c>
      <c r="D9" s="23">
        <v>1345.5746061167752</v>
      </c>
      <c r="E9" s="23">
        <v>1572.636700648749</v>
      </c>
      <c r="F9" s="83"/>
      <c r="G9" s="117" t="s">
        <v>81</v>
      </c>
      <c r="H9" s="23">
        <v>0</v>
      </c>
      <c r="I9" s="23">
        <v>0</v>
      </c>
      <c r="J9" s="247"/>
      <c r="K9" s="132"/>
      <c r="L9" s="132"/>
      <c r="M9" s="12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2:25" ht="12" customHeight="1" x14ac:dyDescent="0.3">
      <c r="B10" s="38"/>
      <c r="C10" s="44" t="s">
        <v>66</v>
      </c>
      <c r="D10" s="45">
        <f>SUM(D11:D16)</f>
        <v>1184828.8345690456</v>
      </c>
      <c r="E10" s="45">
        <f>SUM(E11:E16)</f>
        <v>1098769.9837812791</v>
      </c>
      <c r="F10" s="125"/>
      <c r="G10" s="112" t="s">
        <v>92</v>
      </c>
      <c r="H10" s="45">
        <v>0</v>
      </c>
      <c r="I10" s="45">
        <v>0</v>
      </c>
      <c r="J10" s="247"/>
      <c r="K10" s="132"/>
      <c r="L10" s="132"/>
      <c r="M10" s="12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2:25" ht="12" customHeight="1" x14ac:dyDescent="0.3">
      <c r="B11" s="38"/>
      <c r="C11" s="35" t="s">
        <v>67</v>
      </c>
      <c r="D11" s="21">
        <v>0</v>
      </c>
      <c r="E11" s="21">
        <v>0</v>
      </c>
      <c r="F11" s="83"/>
      <c r="G11" s="112" t="s">
        <v>93</v>
      </c>
      <c r="H11" s="45">
        <v>289.6200185356812</v>
      </c>
      <c r="I11" s="45">
        <v>289.6200185356812</v>
      </c>
      <c r="J11" s="247"/>
      <c r="K11" s="132">
        <f>H5/H30</f>
        <v>0.26254205845412837</v>
      </c>
      <c r="L11" s="132">
        <f>I5/I30</f>
        <v>0.46433704375775503</v>
      </c>
      <c r="M11" s="128">
        <f>AVERAGE(K6:L17)</f>
        <v>0.36343955110594173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2:25" ht="12" customHeight="1" x14ac:dyDescent="0.3">
      <c r="B12" s="38"/>
      <c r="C12" s="36" t="s">
        <v>68</v>
      </c>
      <c r="D12" s="24">
        <v>728233.60750695097</v>
      </c>
      <c r="E12" s="24">
        <v>585547.38183503249</v>
      </c>
      <c r="F12" s="83"/>
      <c r="G12" s="115" t="s">
        <v>94</v>
      </c>
      <c r="H12" s="21">
        <v>289.6200185356812</v>
      </c>
      <c r="I12" s="21">
        <v>289.6200185356812</v>
      </c>
      <c r="J12" s="247"/>
      <c r="K12" s="132"/>
      <c r="L12" s="132"/>
      <c r="M12" s="12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2:25" ht="12" customHeight="1" x14ac:dyDescent="0.3">
      <c r="B13" s="38"/>
      <c r="C13" s="36" t="s">
        <v>69</v>
      </c>
      <c r="D13" s="24">
        <v>323297.03429101018</v>
      </c>
      <c r="E13" s="24">
        <v>222930.95458758113</v>
      </c>
      <c r="F13" s="83"/>
      <c r="G13" s="117" t="s">
        <v>81</v>
      </c>
      <c r="H13" s="23">
        <v>0</v>
      </c>
      <c r="I13" s="23">
        <v>0</v>
      </c>
      <c r="J13" s="247"/>
      <c r="K13" s="132"/>
      <c r="L13" s="132"/>
      <c r="M13" s="12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2:25" ht="12" customHeight="1" x14ac:dyDescent="0.3">
      <c r="B14" s="38"/>
      <c r="C14" s="36" t="s">
        <v>70</v>
      </c>
      <c r="D14" s="24">
        <v>130161.31835032438</v>
      </c>
      <c r="E14" s="24">
        <v>249225.55607043562</v>
      </c>
      <c r="F14" s="83"/>
      <c r="G14" s="112" t="s">
        <v>95</v>
      </c>
      <c r="H14" s="45">
        <v>453173.07692307694</v>
      </c>
      <c r="I14" s="45">
        <v>818557.40268767381</v>
      </c>
      <c r="J14" s="247"/>
      <c r="K14" s="132"/>
      <c r="L14" s="132"/>
      <c r="M14" s="12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2:25" ht="12" customHeight="1" x14ac:dyDescent="0.3">
      <c r="B15" s="38"/>
      <c r="C15" s="36" t="s">
        <v>71</v>
      </c>
      <c r="D15" s="24">
        <v>3136.8744207599634</v>
      </c>
      <c r="E15" s="24">
        <v>41066.091288229843</v>
      </c>
      <c r="F15" s="83"/>
      <c r="G15" s="115" t="s">
        <v>96</v>
      </c>
      <c r="H15" s="21">
        <v>288420.05050973041</v>
      </c>
      <c r="I15" s="21">
        <v>365384.32576459728</v>
      </c>
      <c r="J15" s="247"/>
      <c r="K15" s="132"/>
      <c r="L15" s="132"/>
      <c r="M15" s="12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2:25" ht="12" customHeight="1" x14ac:dyDescent="0.3">
      <c r="B16" s="38"/>
      <c r="C16" s="37" t="s">
        <v>72</v>
      </c>
      <c r="D16" s="23">
        <v>0</v>
      </c>
      <c r="E16" s="23">
        <v>0</v>
      </c>
      <c r="F16" s="83"/>
      <c r="G16" s="117" t="s">
        <v>97</v>
      </c>
      <c r="H16" s="23">
        <v>164753.02641334652</v>
      </c>
      <c r="I16" s="23">
        <v>453173.07692307694</v>
      </c>
      <c r="J16" s="247"/>
      <c r="K16" s="132"/>
      <c r="L16" s="132"/>
      <c r="M16" s="12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2:25" ht="12" customHeight="1" x14ac:dyDescent="0.3">
      <c r="B17" s="38"/>
      <c r="C17" s="44" t="s">
        <v>73</v>
      </c>
      <c r="D17" s="45">
        <v>135252.54865616313</v>
      </c>
      <c r="E17" s="45">
        <v>149280.29425393883</v>
      </c>
      <c r="F17" s="18"/>
      <c r="G17" s="122" t="s">
        <v>98</v>
      </c>
      <c r="H17" s="45">
        <v>0</v>
      </c>
      <c r="I17" s="45">
        <v>0</v>
      </c>
      <c r="J17" s="247"/>
      <c r="K17" s="132"/>
      <c r="L17" s="132"/>
      <c r="M17" s="12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2:25" ht="12" customHeight="1" x14ac:dyDescent="0.3">
      <c r="B18" s="38"/>
      <c r="C18" s="44" t="s">
        <v>74</v>
      </c>
      <c r="D18" s="45">
        <v>0</v>
      </c>
      <c r="E18" s="45">
        <v>0</v>
      </c>
      <c r="F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2:25" ht="12" customHeight="1" x14ac:dyDescent="0.3">
      <c r="B19" s="18"/>
      <c r="C19" s="118"/>
      <c r="F19" s="38"/>
      <c r="G19" s="84" t="s">
        <v>99</v>
      </c>
      <c r="H19" s="45">
        <f>H20+H24</f>
        <v>1281872.6830398515</v>
      </c>
      <c r="I19" s="45">
        <f>I20+I24</f>
        <v>947969.60518999083</v>
      </c>
      <c r="J19" s="248" t="s">
        <v>161</v>
      </c>
      <c r="K19" s="130"/>
      <c r="M19" s="129"/>
      <c r="N19" s="1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2:25" ht="12" customHeight="1" x14ac:dyDescent="0.3">
      <c r="B20" s="38"/>
      <c r="C20" s="46" t="s">
        <v>75</v>
      </c>
      <c r="D20" s="45">
        <f>D21+D27+D30+D31</f>
        <v>416804.62233549583</v>
      </c>
      <c r="E20" s="45">
        <f>E21+E27+E30+E31</f>
        <v>520089.4925857276</v>
      </c>
      <c r="F20" s="125"/>
      <c r="G20" s="112" t="s">
        <v>100</v>
      </c>
      <c r="H20" s="45">
        <f>SUM(H21:H23)</f>
        <v>523639.36515291932</v>
      </c>
      <c r="I20" s="45">
        <f>SUM(I21:I23)</f>
        <v>105177.82669138091</v>
      </c>
      <c r="J20" s="248"/>
      <c r="K20" s="132"/>
      <c r="L20" s="132"/>
      <c r="M20" s="12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2:25" ht="12" customHeight="1" x14ac:dyDescent="0.3">
      <c r="B21" s="38"/>
      <c r="C21" s="112" t="s">
        <v>76</v>
      </c>
      <c r="D21" s="45">
        <v>162812.5</v>
      </c>
      <c r="E21" s="45">
        <v>187468.72103799816</v>
      </c>
      <c r="F21" s="83"/>
      <c r="G21" s="119" t="s">
        <v>101</v>
      </c>
      <c r="H21" s="21">
        <v>394759.03614457831</v>
      </c>
      <c r="I21" s="21">
        <v>0</v>
      </c>
      <c r="J21" s="248"/>
      <c r="K21" s="132"/>
      <c r="L21" s="132"/>
      <c r="M21" s="12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2:25" ht="12" customHeight="1" x14ac:dyDescent="0.3">
      <c r="B22" s="38"/>
      <c r="C22" s="115" t="s">
        <v>77</v>
      </c>
      <c r="D22" s="21">
        <v>45580.108897126971</v>
      </c>
      <c r="E22" s="21">
        <v>29898.632993512514</v>
      </c>
      <c r="F22" s="83"/>
      <c r="G22" s="120" t="s">
        <v>102</v>
      </c>
      <c r="H22" s="24">
        <v>75011.005560704361</v>
      </c>
      <c r="I22" s="24">
        <v>105177.82669138091</v>
      </c>
      <c r="J22" s="248"/>
      <c r="K22" s="132"/>
      <c r="L22" s="132"/>
      <c r="M22" s="12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2:25" ht="12" customHeight="1" x14ac:dyDescent="0.3">
      <c r="B23" s="38"/>
      <c r="C23" s="116" t="s">
        <v>78</v>
      </c>
      <c r="D23" s="24">
        <v>0</v>
      </c>
      <c r="E23" s="24">
        <v>0</v>
      </c>
      <c r="F23" s="83"/>
      <c r="G23" s="121" t="s">
        <v>81</v>
      </c>
      <c r="H23" s="23">
        <v>53869.3234476367</v>
      </c>
      <c r="I23" s="23">
        <v>0</v>
      </c>
      <c r="J23" s="248"/>
      <c r="K23" s="132">
        <f>H19/H30</f>
        <v>0.73745794154587163</v>
      </c>
      <c r="L23" s="132">
        <f>I19/I30</f>
        <v>0.53566295624224503</v>
      </c>
      <c r="M23" s="128">
        <f>AVERAGE(K20:L28)</f>
        <v>0.63656044889405838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2:25" ht="12" customHeight="1" x14ac:dyDescent="0.3">
      <c r="B24" s="38"/>
      <c r="C24" s="116" t="s">
        <v>79</v>
      </c>
      <c r="D24" s="24">
        <v>0</v>
      </c>
      <c r="E24" s="24">
        <v>0</v>
      </c>
      <c r="F24" s="83"/>
      <c r="G24" s="112" t="s">
        <v>103</v>
      </c>
      <c r="H24" s="45">
        <f>SUM(H25:H28)</f>
        <v>758233.31788693229</v>
      </c>
      <c r="I24" s="45">
        <f>SUM(I25:I28)</f>
        <v>842791.7784986099</v>
      </c>
      <c r="J24" s="248"/>
      <c r="K24" s="132"/>
      <c r="L24" s="132"/>
      <c r="M24" s="129"/>
      <c r="N24" s="131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2:25" ht="12" customHeight="1" x14ac:dyDescent="0.3">
      <c r="B25" s="38"/>
      <c r="C25" s="116" t="s">
        <v>80</v>
      </c>
      <c r="D25" s="24">
        <v>0</v>
      </c>
      <c r="E25" s="24">
        <v>0</v>
      </c>
      <c r="F25" s="83"/>
      <c r="G25" s="119" t="s">
        <v>104</v>
      </c>
      <c r="H25" s="21">
        <v>42556.475903614461</v>
      </c>
      <c r="I25" s="21">
        <v>54738.47312326228</v>
      </c>
      <c r="J25" s="248"/>
      <c r="K25" s="132"/>
      <c r="L25" s="132"/>
      <c r="M25" s="12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2:25" ht="12" customHeight="1" x14ac:dyDescent="0.3">
      <c r="B26" s="38"/>
      <c r="C26" s="117" t="s">
        <v>81</v>
      </c>
      <c r="D26" s="23">
        <v>117232.39110287304</v>
      </c>
      <c r="E26" s="23">
        <v>157570.08804448563</v>
      </c>
      <c r="F26" s="83"/>
      <c r="G26" s="120" t="s">
        <v>101</v>
      </c>
      <c r="H26" s="24">
        <v>89784.522706209464</v>
      </c>
      <c r="I26" s="24">
        <v>0</v>
      </c>
      <c r="J26" s="248"/>
      <c r="K26" s="132"/>
      <c r="L26" s="132"/>
      <c r="M26" s="12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2:25" ht="12" customHeight="1" x14ac:dyDescent="0.3">
      <c r="B27" s="38"/>
      <c r="C27" s="112" t="s">
        <v>82</v>
      </c>
      <c r="D27" s="45">
        <v>68365.094995366089</v>
      </c>
      <c r="E27" s="45">
        <v>152062.96339202966</v>
      </c>
      <c r="F27" s="83"/>
      <c r="G27" s="120" t="s">
        <v>105</v>
      </c>
      <c r="H27" s="24">
        <v>267060.06719184428</v>
      </c>
      <c r="I27" s="24">
        <v>391348.47080630215</v>
      </c>
      <c r="J27" s="248"/>
      <c r="K27" s="132"/>
      <c r="L27" s="132"/>
      <c r="M27" s="12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2:25" ht="12" customHeight="1" x14ac:dyDescent="0.3">
      <c r="B28" s="38"/>
      <c r="C28" s="113" t="s">
        <v>83</v>
      </c>
      <c r="D28" s="21">
        <v>59868.802131603341</v>
      </c>
      <c r="E28" s="21">
        <v>131712.81278962002</v>
      </c>
      <c r="F28" s="83"/>
      <c r="G28" s="123" t="s">
        <v>81</v>
      </c>
      <c r="H28" s="124">
        <v>358832.25208526413</v>
      </c>
      <c r="I28" s="124">
        <v>396704.83456904546</v>
      </c>
      <c r="J28" s="248"/>
      <c r="K28" s="132"/>
      <c r="L28" s="132"/>
      <c r="M28" s="12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2:25" ht="12" customHeight="1" x14ac:dyDescent="0.3">
      <c r="B29" s="38"/>
      <c r="C29" s="114" t="s">
        <v>84</v>
      </c>
      <c r="D29" s="23">
        <v>8496.2928637627429</v>
      </c>
      <c r="E29" s="23">
        <v>20350.150602409638</v>
      </c>
      <c r="F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2:25" ht="12" customHeight="1" x14ac:dyDescent="0.3">
      <c r="B30" s="38"/>
      <c r="C30" s="112" t="s">
        <v>85</v>
      </c>
      <c r="D30" s="45">
        <v>0</v>
      </c>
      <c r="E30" s="45">
        <v>0</v>
      </c>
      <c r="F30" s="18"/>
      <c r="G30" s="39" t="s">
        <v>106</v>
      </c>
      <c r="H30" s="40">
        <f>H19+H5</f>
        <v>1738231.5801668209</v>
      </c>
      <c r="I30" s="40">
        <f>I19+I5</f>
        <v>1769712.8280815571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2:25" ht="12" customHeight="1" x14ac:dyDescent="0.3">
      <c r="B31" s="38"/>
      <c r="C31" s="112" t="s">
        <v>86</v>
      </c>
      <c r="D31" s="45">
        <v>185627.02734012975</v>
      </c>
      <c r="E31" s="45">
        <v>180557.80815569972</v>
      </c>
      <c r="F31" s="18"/>
      <c r="G31" s="18"/>
      <c r="H31" s="25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2:25" ht="12" customHeight="1" x14ac:dyDescent="0.3">
      <c r="B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2:25" ht="12" customHeight="1" x14ac:dyDescent="0.3">
      <c r="B33" s="38"/>
      <c r="C33" s="41" t="s">
        <v>87</v>
      </c>
      <c r="D33" s="33">
        <v>1738231.5801668214</v>
      </c>
      <c r="E33" s="33">
        <v>1769712.4073215942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2:25" ht="12.75" customHeight="1" x14ac:dyDescent="0.3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2:25" ht="12.75" customHeight="1" x14ac:dyDescent="0.3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2:25" ht="12.75" customHeight="1" x14ac:dyDescent="0.3">
      <c r="B36" s="18"/>
      <c r="C36" s="18"/>
      <c r="D36" s="85"/>
      <c r="E36" s="85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2:25" ht="12.75" customHeight="1" x14ac:dyDescent="0.3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2:25" ht="12.75" customHeight="1" x14ac:dyDescent="0.3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2:25" ht="12.75" customHeight="1" x14ac:dyDescent="0.3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2:25" ht="12.75" customHeight="1" x14ac:dyDescent="0.3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2:25" ht="12.75" customHeight="1" x14ac:dyDescent="0.3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2:25" ht="12.75" customHeight="1" x14ac:dyDescent="0.3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2:25" ht="12.75" customHeight="1" x14ac:dyDescent="0.3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2:25" ht="12.75" customHeight="1" x14ac:dyDescent="0.3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2:25" ht="12.75" customHeight="1" x14ac:dyDescent="0.3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2:25" ht="12.75" customHeight="1" x14ac:dyDescent="0.3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2:25" ht="12.75" customHeight="1" x14ac:dyDescent="0.3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2:25" ht="12.75" customHeight="1" x14ac:dyDescent="0.3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2:25" ht="12.75" customHeight="1" x14ac:dyDescent="0.3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2:25" ht="12.75" customHeight="1" x14ac:dyDescent="0.3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2:25" ht="12.75" customHeight="1" x14ac:dyDescent="0.3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2:25" ht="12.75" customHeight="1" x14ac:dyDescent="0.3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2:25" ht="12.75" customHeight="1" x14ac:dyDescent="0.3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2:25" ht="12.75" customHeight="1" x14ac:dyDescent="0.3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2:25" ht="12.75" customHeight="1" x14ac:dyDescent="0.3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2:25" ht="12.75" customHeight="1" x14ac:dyDescent="0.3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2:25" ht="12.75" customHeight="1" x14ac:dyDescent="0.3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2:25" ht="12.75" customHeight="1" x14ac:dyDescent="0.3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2:25" ht="12.75" customHeight="1" x14ac:dyDescent="0.3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2:25" ht="12.75" customHeight="1" x14ac:dyDescent="0.3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2:25" ht="12.75" customHeight="1" x14ac:dyDescent="0.3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2:25" ht="12.75" customHeight="1" x14ac:dyDescent="0.3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2:25" ht="12.75" customHeight="1" x14ac:dyDescent="0.3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2:25" ht="12.75" customHeight="1" x14ac:dyDescent="0.3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2:25" ht="12.75" customHeight="1" x14ac:dyDescent="0.3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2:25" ht="12.75" customHeight="1" x14ac:dyDescent="0.3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2:25" ht="12.75" customHeight="1" x14ac:dyDescent="0.3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2:25" ht="12.75" customHeight="1" x14ac:dyDescent="0.3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2:25" ht="12.75" customHeight="1" x14ac:dyDescent="0.3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2:25" ht="12.75" customHeight="1" x14ac:dyDescent="0.3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2:25" ht="12.75" customHeight="1" x14ac:dyDescent="0.3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2:25" ht="12.75" customHeight="1" x14ac:dyDescent="0.3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2:25" ht="12.75" customHeight="1" x14ac:dyDescent="0.3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2:25" ht="12.75" customHeight="1" x14ac:dyDescent="0.3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2:25" ht="12.75" customHeight="1" x14ac:dyDescent="0.3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2:25" ht="12.75" customHeight="1" x14ac:dyDescent="0.3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2:25" ht="12.75" customHeight="1" x14ac:dyDescent="0.3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2:25" ht="12.75" customHeight="1" x14ac:dyDescent="0.3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2:25" ht="12.75" customHeight="1" x14ac:dyDescent="0.3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2:25" ht="12.75" customHeight="1" x14ac:dyDescent="0.3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2:25" ht="12.75" customHeight="1" x14ac:dyDescent="0.3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2:25" ht="12.75" customHeight="1" x14ac:dyDescent="0.3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2:25" ht="12.75" customHeight="1" x14ac:dyDescent="0.3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2:25" ht="12.75" customHeight="1" x14ac:dyDescent="0.3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2:25" ht="12.75" customHeight="1" x14ac:dyDescent="0.3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2:25" ht="12.75" customHeight="1" x14ac:dyDescent="0.3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2:25" ht="12.75" customHeight="1" x14ac:dyDescent="0.3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2:25" ht="12.75" customHeight="1" x14ac:dyDescent="0.3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2:25" ht="12.75" customHeight="1" x14ac:dyDescent="0.3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2:25" ht="12.75" customHeight="1" x14ac:dyDescent="0.3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2:25" ht="12.75" customHeight="1" x14ac:dyDescent="0.3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2:25" ht="12.75" customHeight="1" x14ac:dyDescent="0.3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2:25" ht="12.75" customHeight="1" x14ac:dyDescent="0.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2:25" ht="12.75" customHeight="1" x14ac:dyDescent="0.3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2:25" ht="12.75" customHeight="1" x14ac:dyDescent="0.3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2:25" ht="12.75" customHeight="1" x14ac:dyDescent="0.3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2:25" ht="12.75" customHeight="1" x14ac:dyDescent="0.3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2:25" ht="12.75" customHeight="1" x14ac:dyDescent="0.3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2:25" ht="12.75" customHeight="1" x14ac:dyDescent="0.3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2:25" ht="12.75" customHeight="1" x14ac:dyDescent="0.3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2:25" ht="12.75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2:25" ht="12.75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2:25" ht="12.75" customHeight="1" x14ac:dyDescent="0.3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2:25" ht="12.75" customHeight="1" x14ac:dyDescent="0.3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2:25" ht="12.75" customHeight="1" x14ac:dyDescent="0.3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2:25" ht="12.75" customHeight="1" x14ac:dyDescent="0.3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2:25" ht="12.75" customHeight="1" x14ac:dyDescent="0.3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2:25" ht="12.75" customHeight="1" x14ac:dyDescent="0.3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2:25" ht="12.75" customHeight="1" x14ac:dyDescent="0.3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2:25" ht="12.75" customHeight="1" x14ac:dyDescent="0.3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2:25" ht="12.75" customHeight="1" x14ac:dyDescent="0.3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2:25" ht="12.75" customHeight="1" x14ac:dyDescent="0.3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2:25" ht="12.75" customHeight="1" x14ac:dyDescent="0.3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2:25" ht="12.75" customHeight="1" x14ac:dyDescent="0.3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2:25" ht="12.75" customHeight="1" x14ac:dyDescent="0.3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2:25" ht="12.75" customHeight="1" x14ac:dyDescent="0.3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2:25" ht="12.75" customHeight="1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2:25" ht="12.75" customHeight="1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2:25" ht="12.75" customHeight="1" x14ac:dyDescent="0.3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2:25" ht="12.75" customHeight="1" x14ac:dyDescent="0.3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2:25" ht="12.75" customHeight="1" x14ac:dyDescent="0.3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2:25" ht="12.75" customHeight="1" x14ac:dyDescent="0.3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2:25" ht="12.75" customHeight="1" x14ac:dyDescent="0.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2:25" ht="12.75" customHeight="1" x14ac:dyDescent="0.3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2:25" ht="12.75" customHeight="1" x14ac:dyDescent="0.3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2:25" ht="12.75" customHeight="1" x14ac:dyDescent="0.3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2:25" ht="12.75" customHeight="1" x14ac:dyDescent="0.3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2:25" ht="12.75" customHeight="1" x14ac:dyDescent="0.3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2:25" ht="12.75" customHeight="1" x14ac:dyDescent="0.3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2:25" ht="12.75" customHeight="1" x14ac:dyDescent="0.3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2:25" ht="12.75" customHeight="1" x14ac:dyDescent="0.3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2:25" ht="12.75" customHeight="1" x14ac:dyDescent="0.3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2:25" ht="12.75" customHeight="1" x14ac:dyDescent="0.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2:25" ht="12.75" customHeight="1" x14ac:dyDescent="0.3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2:25" ht="12.75" customHeight="1" x14ac:dyDescent="0.3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2:25" ht="12.75" customHeight="1" x14ac:dyDescent="0.3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2:25" ht="12.75" customHeight="1" x14ac:dyDescent="0.3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2:25" ht="12.75" customHeight="1" x14ac:dyDescent="0.3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2:25" ht="12.75" customHeight="1" x14ac:dyDescent="0.3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2:25" ht="12.75" customHeight="1" x14ac:dyDescent="0.3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2:25" ht="12.75" customHeight="1" x14ac:dyDescent="0.3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2:25" ht="12.75" customHeight="1" x14ac:dyDescent="0.3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2:25" ht="12.75" customHeight="1" x14ac:dyDescent="0.3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2:25" ht="12.75" customHeight="1" x14ac:dyDescent="0.3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2:25" ht="12.75" customHeight="1" x14ac:dyDescent="0.3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2:25" ht="12.75" customHeight="1" x14ac:dyDescent="0.3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2:25" ht="12.75" customHeight="1" x14ac:dyDescent="0.3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2:25" ht="12.75" customHeight="1" x14ac:dyDescent="0.3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2:25" ht="12.75" customHeight="1" x14ac:dyDescent="0.3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2:25" ht="12.75" customHeight="1" x14ac:dyDescent="0.3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2:25" ht="12.75" customHeight="1" x14ac:dyDescent="0.3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2:25" ht="12.75" customHeight="1" x14ac:dyDescent="0.3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2:25" ht="12.75" customHeight="1" x14ac:dyDescent="0.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2:25" ht="12.75" customHeight="1" x14ac:dyDescent="0.3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2:25" ht="12.75" customHeight="1" x14ac:dyDescent="0.3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2:25" ht="12.75" customHeight="1" x14ac:dyDescent="0.3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2:25" ht="12.75" customHeight="1" x14ac:dyDescent="0.3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2:25" ht="12.75" customHeight="1" x14ac:dyDescent="0.3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2:25" ht="12.75" customHeight="1" x14ac:dyDescent="0.3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2:25" ht="12.75" customHeight="1" x14ac:dyDescent="0.3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2:25" ht="12.75" customHeight="1" x14ac:dyDescent="0.3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2:25" ht="12.75" customHeight="1" x14ac:dyDescent="0.3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2:25" ht="12.75" customHeight="1" x14ac:dyDescent="0.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2:25" ht="12.75" customHeight="1" x14ac:dyDescent="0.3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2:25" ht="12.75" customHeight="1" x14ac:dyDescent="0.3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2:25" ht="12.75" customHeight="1" x14ac:dyDescent="0.3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2:25" ht="12.75" customHeight="1" x14ac:dyDescent="0.3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2:25" ht="12.75" customHeight="1" x14ac:dyDescent="0.3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2:25" ht="12.75" customHeight="1" x14ac:dyDescent="0.3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2:25" ht="12.75" customHeight="1" x14ac:dyDescent="0.3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2:25" ht="12.75" customHeight="1" x14ac:dyDescent="0.3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2:25" ht="12.75" customHeight="1" x14ac:dyDescent="0.3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2:25" ht="12.75" customHeight="1" x14ac:dyDescent="0.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2:25" ht="12.75" customHeight="1" x14ac:dyDescent="0.3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2:25" ht="12.75" customHeight="1" x14ac:dyDescent="0.3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2:25" ht="12.75" customHeight="1" x14ac:dyDescent="0.3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2:25" ht="12.75" customHeight="1" x14ac:dyDescent="0.3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2:25" ht="12.75" customHeight="1" x14ac:dyDescent="0.3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2:25" ht="12.75" customHeight="1" x14ac:dyDescent="0.3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2:25" ht="12.75" customHeight="1" x14ac:dyDescent="0.3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2:25" ht="12.75" customHeight="1" x14ac:dyDescent="0.3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2:25" ht="12.75" customHeight="1" x14ac:dyDescent="0.3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2:25" ht="12.75" customHeight="1" x14ac:dyDescent="0.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2:25" ht="12.75" customHeight="1" x14ac:dyDescent="0.3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2:25" ht="12.75" customHeight="1" x14ac:dyDescent="0.3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2:25" ht="12.75" customHeight="1" x14ac:dyDescent="0.3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2:25" ht="12.75" customHeight="1" x14ac:dyDescent="0.3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2:25" ht="12.75" customHeight="1" x14ac:dyDescent="0.3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2:25" ht="12.75" customHeight="1" x14ac:dyDescent="0.3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2:25" ht="12.75" customHeight="1" x14ac:dyDescent="0.3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2:25" ht="12.75" customHeight="1" x14ac:dyDescent="0.3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2:25" ht="12.75" customHeight="1" x14ac:dyDescent="0.3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2:25" ht="12.75" customHeight="1" x14ac:dyDescent="0.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2:25" ht="12.75" customHeight="1" x14ac:dyDescent="0.3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2:25" ht="12.75" customHeight="1" x14ac:dyDescent="0.3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2:25" ht="12.75" customHeight="1" x14ac:dyDescent="0.3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2:25" ht="12.75" customHeight="1" x14ac:dyDescent="0.3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2:25" ht="12.75" customHeight="1" x14ac:dyDescent="0.3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2:25" ht="12.75" customHeight="1" x14ac:dyDescent="0.3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2:25" ht="12.75" customHeight="1" x14ac:dyDescent="0.3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2:25" ht="12.75" customHeight="1" x14ac:dyDescent="0.3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2:25" ht="12.75" customHeight="1" x14ac:dyDescent="0.3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2:25" ht="12.75" customHeight="1" x14ac:dyDescent="0.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2:25" ht="12.75" customHeight="1" x14ac:dyDescent="0.3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2:25" ht="12.75" customHeight="1" x14ac:dyDescent="0.3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2:25" ht="12.75" customHeight="1" x14ac:dyDescent="0.3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2:25" ht="12.75" customHeight="1" x14ac:dyDescent="0.3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2:25" ht="12.75" customHeight="1" x14ac:dyDescent="0.3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2:25" ht="12.75" customHeight="1" x14ac:dyDescent="0.3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2:25" ht="12.75" customHeight="1" x14ac:dyDescent="0.3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2:25" ht="12.75" customHeight="1" x14ac:dyDescent="0.3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2:25" ht="12.75" customHeight="1" x14ac:dyDescent="0.3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2:25" ht="12.75" customHeight="1" x14ac:dyDescent="0.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2:25" ht="12.75" customHeight="1" x14ac:dyDescent="0.3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2:25" ht="12.75" customHeight="1" x14ac:dyDescent="0.3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2:25" ht="12.75" customHeight="1" x14ac:dyDescent="0.3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2:25" ht="12.75" customHeight="1" x14ac:dyDescent="0.3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2:25" ht="12.75" customHeight="1" x14ac:dyDescent="0.3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2:25" ht="12.75" customHeight="1" x14ac:dyDescent="0.3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2:25" ht="12.75" customHeight="1" x14ac:dyDescent="0.3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2:25" ht="12.75" customHeight="1" x14ac:dyDescent="0.3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2:25" ht="12.75" customHeight="1" x14ac:dyDescent="0.3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2:25" ht="12.75" customHeight="1" x14ac:dyDescent="0.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2:25" ht="12.75" customHeight="1" x14ac:dyDescent="0.3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2:25" ht="12.75" customHeight="1" x14ac:dyDescent="0.3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2:25" ht="12.75" customHeight="1" x14ac:dyDescent="0.3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2:25" ht="12.75" customHeight="1" x14ac:dyDescent="0.3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2:25" ht="12.75" customHeight="1" x14ac:dyDescent="0.3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2:25" ht="15.75" customHeight="1" x14ac:dyDescent="0.3"/>
    <row r="230" spans="2:25" ht="15.75" customHeight="1" x14ac:dyDescent="0.3"/>
    <row r="231" spans="2:25" ht="15.75" customHeight="1" x14ac:dyDescent="0.3"/>
    <row r="232" spans="2:25" ht="15.75" customHeight="1" x14ac:dyDescent="0.3"/>
    <row r="233" spans="2:25" ht="15.75" customHeight="1" x14ac:dyDescent="0.3"/>
    <row r="234" spans="2:25" ht="15.75" customHeight="1" x14ac:dyDescent="0.3"/>
    <row r="235" spans="2:25" ht="15.75" customHeight="1" x14ac:dyDescent="0.3"/>
    <row r="236" spans="2:25" ht="15.75" customHeight="1" x14ac:dyDescent="0.3"/>
    <row r="237" spans="2:25" ht="15.75" customHeight="1" x14ac:dyDescent="0.3"/>
    <row r="238" spans="2:25" ht="15.75" customHeight="1" x14ac:dyDescent="0.3"/>
    <row r="239" spans="2:25" ht="15.75" customHeight="1" x14ac:dyDescent="0.3"/>
    <row r="240" spans="2:25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</sheetData>
  <mergeCells count="7">
    <mergeCell ref="J5:J17"/>
    <mergeCell ref="J19:J28"/>
    <mergeCell ref="K3:M3"/>
    <mergeCell ref="K2:M2"/>
    <mergeCell ref="D3:E3"/>
    <mergeCell ref="H3:I3"/>
    <mergeCell ref="C2:I2"/>
  </mergeCells>
  <pageMargins left="0.7" right="0.7" top="0.75" bottom="0.75" header="0" footer="0"/>
  <pageSetup orientation="portrait"/>
  <ignoredErrors>
    <ignoredError sqref="H20:I20 H24:I24 D6:E6 D10:E10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8D42-FB20-4F2E-8C73-BF8FE4F7838F}">
  <dimension ref="A1:X999"/>
  <sheetViews>
    <sheetView showGridLines="0" zoomScale="110" zoomScaleNormal="110" workbookViewId="0">
      <selection activeCell="F9" sqref="F9"/>
    </sheetView>
  </sheetViews>
  <sheetFormatPr defaultColWidth="12.6328125" defaultRowHeight="15" customHeight="1" x14ac:dyDescent="0.3"/>
  <cols>
    <col min="1" max="1" width="1.90625" style="19" customWidth="1"/>
    <col min="2" max="2" width="33.6328125" style="19" customWidth="1"/>
    <col min="3" max="4" width="12" style="19" customWidth="1"/>
    <col min="5" max="6" width="9.08984375" style="19" customWidth="1"/>
    <col min="7" max="24" width="8.6328125" style="19" customWidth="1"/>
    <col min="25" max="16384" width="12.6328125" style="19"/>
  </cols>
  <sheetData>
    <row r="1" spans="1:24" ht="12.75" customHeight="1" x14ac:dyDescent="0.3">
      <c r="A1" s="18"/>
      <c r="B1" s="34"/>
      <c r="C1" s="32"/>
      <c r="D1" s="32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.75" customHeight="1" x14ac:dyDescent="0.3">
      <c r="A2" s="18"/>
      <c r="B2" s="42" t="s">
        <v>22</v>
      </c>
      <c r="C2" s="254" t="s">
        <v>60</v>
      </c>
      <c r="D2" s="25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.75" customHeight="1" x14ac:dyDescent="0.3">
      <c r="A3" s="18"/>
      <c r="B3" s="30"/>
      <c r="C3" s="31">
        <v>2016</v>
      </c>
      <c r="D3" s="20">
        <v>2017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.75" customHeight="1" x14ac:dyDescent="0.3">
      <c r="A4" s="38"/>
      <c r="B4" s="92" t="s">
        <v>107</v>
      </c>
      <c r="C4" s="27">
        <f t="shared" ref="C4:D4" si="0">SUM(C5:C6)</f>
        <v>3418804.7497683037</v>
      </c>
      <c r="D4" s="27">
        <f t="shared" si="0"/>
        <v>5477916.6655468028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.75" customHeight="1" x14ac:dyDescent="0.3">
      <c r="A5" s="38"/>
      <c r="B5" s="91" t="s">
        <v>108</v>
      </c>
      <c r="C5" s="26">
        <f>'[1]Income Statement'!D5*1.21</f>
        <v>3284154.7497683037</v>
      </c>
      <c r="D5" s="26">
        <f>'[1]Income Statement'!E5*1.21</f>
        <v>5341246.9155468028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.75" customHeight="1" x14ac:dyDescent="0.3">
      <c r="A6" s="38"/>
      <c r="B6" s="87" t="s">
        <v>31</v>
      </c>
      <c r="C6" s="26">
        <v>134650</v>
      </c>
      <c r="D6" s="26">
        <f>C6*1.015</f>
        <v>136669.75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.75" customHeight="1" x14ac:dyDescent="0.3">
      <c r="A7" s="38"/>
      <c r="B7" s="88" t="s">
        <v>109</v>
      </c>
      <c r="C7" s="27">
        <f t="shared" ref="C7:D7" si="1">SUM(C8:C11)</f>
        <v>-2865267.3308619084</v>
      </c>
      <c r="D7" s="27">
        <f t="shared" si="1"/>
        <v>-4917989.939411493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.75" customHeight="1" x14ac:dyDescent="0.3">
      <c r="A8" s="38"/>
      <c r="B8" s="87" t="s">
        <v>110</v>
      </c>
      <c r="C8" s="26">
        <v>-2232103.63716404</v>
      </c>
      <c r="D8" s="26">
        <v>-3598006.6062326236</v>
      </c>
      <c r="E8" s="212" t="s">
        <v>238</v>
      </c>
      <c r="F8" s="18" t="s">
        <v>239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.75" customHeight="1" x14ac:dyDescent="0.3">
      <c r="A9" s="38"/>
      <c r="B9" s="87" t="s">
        <v>111</v>
      </c>
      <c r="C9" s="26">
        <v>-499966.69369786844</v>
      </c>
      <c r="D9" s="26">
        <v>-1368507.0088044486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.75" customHeight="1" x14ac:dyDescent="0.3">
      <c r="A10" s="38"/>
      <c r="B10" s="87" t="s">
        <v>112</v>
      </c>
      <c r="C10" s="26">
        <v>-238</v>
      </c>
      <c r="D10" s="26">
        <v>70322.795180722896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.75" customHeight="1" x14ac:dyDescent="0.3">
      <c r="A11" s="38"/>
      <c r="B11" s="87" t="s">
        <v>113</v>
      </c>
      <c r="C11" s="26">
        <v>-132959</v>
      </c>
      <c r="D11" s="26">
        <v>-21799.119555143654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.75" customHeight="1" x14ac:dyDescent="0.3">
      <c r="A12" s="38"/>
      <c r="B12" s="88" t="s">
        <v>114</v>
      </c>
      <c r="C12" s="27">
        <f t="shared" ref="C12:D12" si="2">C4+C7</f>
        <v>553537.41890639532</v>
      </c>
      <c r="D12" s="27">
        <f t="shared" si="2"/>
        <v>559926.72613530979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.75" customHeight="1" x14ac:dyDescent="0.3">
      <c r="A13" s="18"/>
      <c r="B13" s="28"/>
      <c r="C13" s="29"/>
      <c r="D13" s="2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.75" customHeight="1" x14ac:dyDescent="0.3">
      <c r="A14" s="38"/>
      <c r="B14" s="87" t="s">
        <v>115</v>
      </c>
      <c r="C14" s="26">
        <v>-351467.21501390176</v>
      </c>
      <c r="D14" s="26">
        <v>-243493.97590361445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.75" customHeight="1" x14ac:dyDescent="0.3">
      <c r="A15" s="38"/>
      <c r="B15" s="87" t="s">
        <v>116</v>
      </c>
      <c r="C15" s="26">
        <v>0</v>
      </c>
      <c r="D15" s="26">
        <v>291013.38044485636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.75" customHeight="1" x14ac:dyDescent="0.3">
      <c r="A16" s="38"/>
      <c r="B16" s="87" t="s">
        <v>117</v>
      </c>
      <c r="C16" s="26">
        <v>-131719.18443002782</v>
      </c>
      <c r="D16" s="26">
        <v>-14027.745597775718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.75" customHeight="1" x14ac:dyDescent="0.3">
      <c r="A17" s="38"/>
      <c r="B17" s="88" t="s">
        <v>118</v>
      </c>
      <c r="C17" s="27">
        <f t="shared" ref="C17:D17" si="3">SUM(C14:C16)</f>
        <v>-483186.39944392955</v>
      </c>
      <c r="D17" s="27">
        <f t="shared" si="3"/>
        <v>33491.658943466187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.75" customHeight="1" x14ac:dyDescent="0.3">
      <c r="A18" s="18"/>
      <c r="B18" s="28"/>
      <c r="C18" s="29"/>
      <c r="D18" s="2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.75" customHeight="1" x14ac:dyDescent="0.3">
      <c r="A19" s="38"/>
      <c r="B19" s="87" t="s">
        <v>119</v>
      </c>
      <c r="C19" s="26">
        <v>0</v>
      </c>
      <c r="D19" s="26">
        <v>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.75" customHeight="1" x14ac:dyDescent="0.3">
      <c r="A20" s="38"/>
      <c r="B20" s="87" t="s">
        <v>120</v>
      </c>
      <c r="C20" s="26"/>
      <c r="D20" s="26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.75" customHeight="1" x14ac:dyDescent="0.3">
      <c r="A21" s="38"/>
      <c r="B21" s="87" t="s">
        <v>121</v>
      </c>
      <c r="C21" s="26">
        <v>53869.3234476367</v>
      </c>
      <c r="D21" s="26">
        <v>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.75" customHeight="1" x14ac:dyDescent="0.3">
      <c r="A22" s="38"/>
      <c r="B22" s="87" t="s">
        <v>122</v>
      </c>
      <c r="C22" s="26">
        <v>-56671.686746987951</v>
      </c>
      <c r="D22" s="26">
        <v>-576913.22984244674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.75" customHeight="1" x14ac:dyDescent="0.3">
      <c r="A23" s="38"/>
      <c r="B23" s="87" t="s">
        <v>123</v>
      </c>
      <c r="C23" s="26">
        <v>-11716.867469879518</v>
      </c>
      <c r="D23" s="26">
        <v>-13756.371640407786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.75" customHeight="1" x14ac:dyDescent="0.3">
      <c r="A24" s="38"/>
      <c r="B24" s="87" t="s">
        <v>124</v>
      </c>
      <c r="C24" s="26">
        <v>2253.5333642261353</v>
      </c>
      <c r="D24" s="26">
        <v>-7818.0027803521789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.75" customHeight="1" x14ac:dyDescent="0.3">
      <c r="A25" s="38"/>
      <c r="B25" s="88" t="s">
        <v>125</v>
      </c>
      <c r="C25" s="27">
        <f t="shared" ref="C25:D25" si="4">SUM(C19:C24)</f>
        <v>-12265.697405004634</v>
      </c>
      <c r="D25" s="27">
        <f t="shared" si="4"/>
        <v>-598487.60426320671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.75" customHeight="1" x14ac:dyDescent="0.3">
      <c r="A26" s="18"/>
      <c r="B26" s="28"/>
      <c r="C26" s="29"/>
      <c r="D26" s="2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.75" customHeight="1" x14ac:dyDescent="0.3">
      <c r="A27" s="38"/>
      <c r="B27" s="88" t="s">
        <v>126</v>
      </c>
      <c r="C27" s="27">
        <f t="shared" ref="C27:D27" si="5">SUM(C25,C17,C12)</f>
        <v>58085.322057461133</v>
      </c>
      <c r="D27" s="27">
        <f t="shared" si="5"/>
        <v>-5069.2191844307818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.75" customHeight="1" x14ac:dyDescent="0.3">
      <c r="A28" s="38"/>
      <c r="B28" s="87" t="s">
        <v>127</v>
      </c>
      <c r="C28" s="26">
        <v>127541.70528266914</v>
      </c>
      <c r="D28" s="26">
        <f>C29</f>
        <v>185627.02734013027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.75" customHeight="1" x14ac:dyDescent="0.3">
      <c r="A29" s="38"/>
      <c r="B29" s="89" t="s">
        <v>128</v>
      </c>
      <c r="C29" s="90">
        <f>C28+C27</f>
        <v>185627.02734013027</v>
      </c>
      <c r="D29" s="90">
        <f t="shared" ref="D29" si="6">D28+D27</f>
        <v>180557.80815569949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.7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.75" customHeight="1" x14ac:dyDescent="0.3">
      <c r="A31" s="18"/>
      <c r="B31" s="18" t="s">
        <v>129</v>
      </c>
      <c r="C31" s="25">
        <f>C29-'Balance sheet'!D31</f>
        <v>5.2386894822120667E-10</v>
      </c>
      <c r="D31" s="25">
        <f>D29-'Balance sheet'!E31</f>
        <v>-2.3283064365386963E-10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.7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.7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.75" customHeight="1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.75" customHeight="1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.75" customHeigh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.75" customHeigh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.75" customHeight="1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.75" customHeight="1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.75" customHeight="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.75" customHeight="1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.75" customHeight="1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.75" customHeight="1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.75" customHeigh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.75" customHeight="1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.75" customHeight="1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.75" customHeight="1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.7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.7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.7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.7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.7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.7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.75" customHeight="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.75" customHeight="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.75" customHeight="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.75" customHeight="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.7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.7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.75" customHeight="1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.75" customHeight="1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.75" customHeight="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.75" customHeight="1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.75" customHeight="1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.75" customHeight="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.75" customHeight="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.75" customHeight="1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.75" customHeigh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.75" customHeight="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.75" customHeight="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.75" customHeight="1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.75" customHeight="1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.75" customHeight="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.75" customHeigh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.75" customHeight="1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.75" customHeight="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.75" customHeight="1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.75" customHeight="1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.75" customHeight="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.75" customHeight="1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.75" customHeight="1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.75" customHeight="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.75" customHeight="1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.75" customHeight="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.75" customHeight="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.75" customHeight="1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.75" customHeight="1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.75" customHeight="1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.75" customHeight="1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.75" customHeight="1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.75" customHeight="1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.75" customHeight="1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.75" customHeight="1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.75" customHeight="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.75" customHeight="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.75" customHeight="1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.75" customHeight="1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.75" customHeight="1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.75" customHeight="1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.75" customHeight="1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.75" customHeight="1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.75" customHeight="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.75" customHeight="1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.75" customHeight="1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.75" customHeight="1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.75" customHeight="1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.75" customHeight="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.75" customHeight="1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.75" customHeight="1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.75" customHeight="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.75" customHeight="1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.75" customHeight="1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.75" customHeight="1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.75" customHeight="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.75" customHeight="1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.75" customHeight="1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.75" customHeight="1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.75" customHeight="1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.75" customHeight="1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.75" customHeight="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.75" customHeight="1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.75" customHeight="1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.75" customHeight="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.75" customHeight="1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.75" customHeight="1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.75" customHeight="1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.75" customHeight="1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.75" customHeight="1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.7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.7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.7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.7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.7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.7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.7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.7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.7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.7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.7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.7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.7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.7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.75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.7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.7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.7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.7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.7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.7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.7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.7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.7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.7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.7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.7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.7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.7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.7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.7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.7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.7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.7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.7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.7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.7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.7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.7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.7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.7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.7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.7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.7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.7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.7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.7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.7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.7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.7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.7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.7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.7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.7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.7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.7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.7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.7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.7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.7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.7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.7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.7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.7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.7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.7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.7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.7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.7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.7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.7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.7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.7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.7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.7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.7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.7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.7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.7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.7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.7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.7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.7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.7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.7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.7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.7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.7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.7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.7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.7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2.7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2.7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1:24" ht="12.7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1:24" ht="12.7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1:24" ht="12.7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1:24" ht="12.7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1:24" ht="12.7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1:24" ht="12.7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1:24" ht="12.7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1:24" ht="12.7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1:24" ht="12.7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1:24" ht="15.75" customHeight="1" x14ac:dyDescent="0.3"/>
    <row r="233" spans="1:24" ht="15.75" customHeight="1" x14ac:dyDescent="0.3"/>
    <row r="234" spans="1:24" ht="15.75" customHeight="1" x14ac:dyDescent="0.3"/>
    <row r="235" spans="1:24" ht="15.75" customHeight="1" x14ac:dyDescent="0.3"/>
    <row r="236" spans="1:24" ht="15.75" customHeight="1" x14ac:dyDescent="0.3"/>
    <row r="237" spans="1:24" ht="15.75" customHeight="1" x14ac:dyDescent="0.3"/>
    <row r="238" spans="1:24" ht="15.75" customHeight="1" x14ac:dyDescent="0.3"/>
    <row r="239" spans="1:24" ht="15.75" customHeight="1" x14ac:dyDescent="0.3"/>
    <row r="240" spans="1:24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1">
    <mergeCell ref="C2:D2"/>
  </mergeCells>
  <conditionalFormatting sqref="C31:D31">
    <cfRule type="cellIs" dxfId="0" priority="1" stopIfTrue="1" operator="notBetween">
      <formula>-1</formula>
      <formula>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Conclusion</vt:lpstr>
      <vt:lpstr>Comparison</vt:lpstr>
      <vt:lpstr>Investment Details</vt:lpstr>
      <vt:lpstr>Income Statement</vt:lpstr>
      <vt:lpstr>Balance sheet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Samberger</dc:creator>
  <cp:lastModifiedBy>Viktoria Samberger</cp:lastModifiedBy>
  <cp:lastPrinted>2024-08-15T10:15:13Z</cp:lastPrinted>
  <dcterms:created xsi:type="dcterms:W3CDTF">2024-08-15T09:12:32Z</dcterms:created>
  <dcterms:modified xsi:type="dcterms:W3CDTF">2024-08-24T10:05:32Z</dcterms:modified>
</cp:coreProperties>
</file>