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3470BB35-B3DF-46B8-AD0E-5C0A784E03BE}" xr6:coauthVersionLast="47" xr6:coauthVersionMax="47" xr10:uidLastSave="{00000000-0000-0000-0000-000000000000}"/>
  <bookViews>
    <workbookView xWindow="-110" yWindow="-110" windowWidth="19420" windowHeight="10300" activeTab="3" xr2:uid="{44969E07-324B-4705-8DED-41ACC5130EFD}"/>
  </bookViews>
  <sheets>
    <sheet name="Zip File" sheetId="1" r:id="rId1"/>
    <sheet name="Model" sheetId="3" r:id="rId2"/>
    <sheet name="Model w Stipulation 1 " sheetId="5" r:id="rId3"/>
    <sheet name="Model w Stipulation 2" sheetId="4" r:id="rId4"/>
  </sheets>
  <definedNames>
    <definedName name="solver_adj" localSheetId="1" hidden="1">Model!$L$5:$Q$8,Model!$L$26:$O$26</definedName>
    <definedName name="solver_adj" localSheetId="2" hidden="1">'Model w Stipulation 1 '!$L$5:$Q$8,'Model w Stipulation 1 '!$L$26:$O$26</definedName>
    <definedName name="solver_adj" localSheetId="3" hidden="1">'Model w Stipulation 2'!$L$5:$Q$8,'Model w Stipulation 2'!$L$26:$O$26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Model!$L$21:$O$21</definedName>
    <definedName name="solver_lhs1" localSheetId="2" hidden="1">'Model w Stipulation 1 '!$L$21:$O$21</definedName>
    <definedName name="solver_lhs1" localSheetId="3" hidden="1">'Model w Stipulation 2'!$L$21:$O$21</definedName>
    <definedName name="solver_lhs2" localSheetId="1" hidden="1">Model!$L$26:$O$26</definedName>
    <definedName name="solver_lhs2" localSheetId="2" hidden="1">'Model w Stipulation 1 '!$L$26:$O$26</definedName>
    <definedName name="solver_lhs2" localSheetId="3" hidden="1">'Model w Stipulation 2'!$L$26:$O$26</definedName>
    <definedName name="solver_lhs3" localSheetId="1" hidden="1">Model!$L$27:$O$27</definedName>
    <definedName name="solver_lhs3" localSheetId="2" hidden="1">'Model w Stipulation 1 '!$L$27:$O$27</definedName>
    <definedName name="solver_lhs3" localSheetId="3" hidden="1">'Model w Stipulation 2'!$L$27:$O$27</definedName>
    <definedName name="solver_lhs4" localSheetId="1" hidden="1">Model!$L$9:$Q$9</definedName>
    <definedName name="solver_lhs4" localSheetId="2" hidden="1">'Model w Stipulation 1 '!$L$9:$Q$9</definedName>
    <definedName name="solver_lhs4" localSheetId="3" hidden="1">'Model w Stipulation 2'!$L$9:$Q$9</definedName>
    <definedName name="solver_lhs5" localSheetId="1" hidden="1">Model!$P$26</definedName>
    <definedName name="solver_lhs5" localSheetId="2" hidden="1">'Model w Stipulation 1 '!$P$26</definedName>
    <definedName name="solver_lhs5" localSheetId="3" hidden="1">'Model w Stipulation 2'!$P$26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5</definedName>
    <definedName name="solver_num" localSheetId="2" hidden="1">5</definedName>
    <definedName name="solver_num" localSheetId="3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Model!$Q$26</definedName>
    <definedName name="solver_opt" localSheetId="2" hidden="1">'Model w Stipulation 1 '!$Q$26</definedName>
    <definedName name="solver_opt" localSheetId="3" hidden="1">'Model w Stipulation 2'!$Q$26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5</definedName>
    <definedName name="solver_rel2" localSheetId="2" hidden="1">5</definedName>
    <definedName name="solver_rel2" localSheetId="3" hidden="1">5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hs1" localSheetId="1" hidden="1">0</definedName>
    <definedName name="solver_rhs1" localSheetId="2" hidden="1">0</definedName>
    <definedName name="solver_rhs1" localSheetId="3" hidden="1">0</definedName>
    <definedName name="solver_rhs2" localSheetId="1" hidden="1">"binary"</definedName>
    <definedName name="solver_rhs2" localSheetId="2" hidden="1">"binary"</definedName>
    <definedName name="solver_rhs2" localSheetId="3" hidden="1">"binary"</definedName>
    <definedName name="solver_rhs3" localSheetId="1" hidden="1">0</definedName>
    <definedName name="solver_rhs3" localSheetId="2" hidden="1">0</definedName>
    <definedName name="solver_rhs3" localSheetId="3" hidden="1">0</definedName>
    <definedName name="solver_rhs4" localSheetId="1" hidden="1">Model!$L$10:$Q$10</definedName>
    <definedName name="solver_rhs4" localSheetId="2" hidden="1">'Model w Stipulation 1 '!$L$10:$Q$10</definedName>
    <definedName name="solver_rhs4" localSheetId="3" hidden="1">'Model w Stipulation 2'!$L$10:$Q$10</definedName>
    <definedName name="solver_rhs5" localSheetId="1" hidden="1">2</definedName>
    <definedName name="solver_rhs5" localSheetId="2" hidden="1">1</definedName>
    <definedName name="solver_rhs5" localSheetId="3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R5" i="4"/>
  <c r="I6" i="4"/>
  <c r="R6" i="4"/>
  <c r="I7" i="4"/>
  <c r="R7" i="4"/>
  <c r="N27" i="4" s="1"/>
  <c r="I8" i="4"/>
  <c r="R8" i="4"/>
  <c r="O27" i="4" s="1"/>
  <c r="I9" i="4"/>
  <c r="L9" i="4"/>
  <c r="M9" i="4"/>
  <c r="N9" i="4"/>
  <c r="O9" i="4"/>
  <c r="P9" i="4"/>
  <c r="Q9" i="4"/>
  <c r="I10" i="4"/>
  <c r="R10" i="4"/>
  <c r="I11" i="4"/>
  <c r="I12" i="4"/>
  <c r="I13" i="4"/>
  <c r="I14" i="4"/>
  <c r="L14" i="4"/>
  <c r="M14" i="4"/>
  <c r="N14" i="4"/>
  <c r="O14" i="4"/>
  <c r="P14" i="4"/>
  <c r="Q14" i="4"/>
  <c r="I15" i="4"/>
  <c r="L15" i="4"/>
  <c r="M15" i="4"/>
  <c r="N15" i="4"/>
  <c r="O15" i="4"/>
  <c r="P15" i="4"/>
  <c r="Q15" i="4"/>
  <c r="I16" i="4"/>
  <c r="L16" i="4"/>
  <c r="M16" i="4"/>
  <c r="N16" i="4"/>
  <c r="O16" i="4"/>
  <c r="P16" i="4"/>
  <c r="Q16" i="4"/>
  <c r="I17" i="4"/>
  <c r="L17" i="4"/>
  <c r="M17" i="4"/>
  <c r="N17" i="4"/>
  <c r="O17" i="4"/>
  <c r="P17" i="4"/>
  <c r="Q17" i="4"/>
  <c r="I18" i="4"/>
  <c r="I19" i="4"/>
  <c r="I20" i="4"/>
  <c r="I21" i="4"/>
  <c r="I22" i="4"/>
  <c r="I23" i="4"/>
  <c r="I24" i="4"/>
  <c r="L24" i="4"/>
  <c r="M24" i="4"/>
  <c r="N24" i="4"/>
  <c r="O24" i="4"/>
  <c r="I25" i="4"/>
  <c r="I26" i="4"/>
  <c r="P26" i="4"/>
  <c r="Q26" i="4"/>
  <c r="L27" i="4"/>
  <c r="M27" i="4"/>
  <c r="Q26" i="5"/>
  <c r="P26" i="5"/>
  <c r="I26" i="5"/>
  <c r="I25" i="5"/>
  <c r="O24" i="5"/>
  <c r="N24" i="5"/>
  <c r="M24" i="5"/>
  <c r="L24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R10" i="5"/>
  <c r="I10" i="5"/>
  <c r="Q9" i="5"/>
  <c r="P9" i="5"/>
  <c r="O9" i="5"/>
  <c r="N9" i="5"/>
  <c r="M9" i="5"/>
  <c r="L9" i="5"/>
  <c r="I9" i="5"/>
  <c r="R8" i="5"/>
  <c r="O27" i="5" s="1"/>
  <c r="I8" i="5"/>
  <c r="R7" i="5"/>
  <c r="N27" i="5" s="1"/>
  <c r="I7" i="5"/>
  <c r="R6" i="5"/>
  <c r="M27" i="5" s="1"/>
  <c r="I6" i="5"/>
  <c r="R5" i="5"/>
  <c r="L27" i="5" s="1"/>
  <c r="I5" i="5"/>
  <c r="I4" i="5"/>
  <c r="I3" i="5"/>
  <c r="L27" i="3" l="1"/>
  <c r="Q26" i="3" l="1"/>
  <c r="P26" i="3"/>
  <c r="R10" i="3"/>
  <c r="L24" i="3"/>
  <c r="M24" i="3" l="1"/>
  <c r="N24" i="3"/>
  <c r="O24" i="3"/>
  <c r="M9" i="3"/>
  <c r="N9" i="3"/>
  <c r="O9" i="3"/>
  <c r="P9" i="3"/>
  <c r="Q9" i="3"/>
  <c r="L9" i="3"/>
  <c r="R6" i="3"/>
  <c r="M27" i="3" s="1"/>
  <c r="R7" i="3"/>
  <c r="N27" i="3" s="1"/>
  <c r="R8" i="3"/>
  <c r="O27" i="3" s="1"/>
  <c r="R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3" i="3"/>
</calcChain>
</file>

<file path=xl/sharedStrings.xml><?xml version="1.0" encoding="utf-8"?>
<sst xmlns="http://schemas.openxmlformats.org/spreadsheetml/2006/main" count="231" uniqueCount="41">
  <si>
    <t>distribution_center</t>
  </si>
  <si>
    <t>name</t>
  </si>
  <si>
    <t>demand</t>
  </si>
  <si>
    <t>latitude</t>
  </si>
  <si>
    <t>longitude</t>
  </si>
  <si>
    <t>Licorice Lanes</t>
  </si>
  <si>
    <t>Mallow Melt Mountains</t>
  </si>
  <si>
    <t>Milkshake Mire</t>
  </si>
  <si>
    <t>Smores Summit</t>
  </si>
  <si>
    <t>Starburst Starlit Skies</t>
  </si>
  <si>
    <t>Pixie Stix Plateau</t>
  </si>
  <si>
    <t>warehouse</t>
  </si>
  <si>
    <t>set_up_cost</t>
  </si>
  <si>
    <t>Bubble Pop Borough</t>
  </si>
  <si>
    <t>Eclair Empire</t>
  </si>
  <si>
    <t>Coconut Cluster Caves</t>
  </si>
  <si>
    <t>Fudge Falls</t>
  </si>
  <si>
    <t>max_dcs</t>
  </si>
  <si>
    <t>cost_per_unit_distance</t>
  </si>
  <si>
    <t>method_to_calculate_distance</t>
  </si>
  <si>
    <t>manhattan</t>
  </si>
  <si>
    <t xml:space="preserve">Warehouse </t>
  </si>
  <si>
    <t>Distribution C</t>
  </si>
  <si>
    <t>WH Lat</t>
  </si>
  <si>
    <t>WH Long</t>
  </si>
  <si>
    <t xml:space="preserve">DC Lat </t>
  </si>
  <si>
    <t>DC Long</t>
  </si>
  <si>
    <t>Mahattan</t>
  </si>
  <si>
    <t>WH v DC&gt;</t>
  </si>
  <si>
    <t>Demand</t>
  </si>
  <si>
    <t>Sum</t>
  </si>
  <si>
    <t>sum</t>
  </si>
  <si>
    <t xml:space="preserve">Setup costs </t>
  </si>
  <si>
    <t>Actual Costs</t>
  </si>
  <si>
    <t>Binary</t>
  </si>
  <si>
    <t>Linking</t>
  </si>
  <si>
    <t>Big M</t>
  </si>
  <si>
    <t xml:space="preserve">Product 1 </t>
  </si>
  <si>
    <t>Product 2</t>
  </si>
  <si>
    <t>Product 3</t>
  </si>
  <si>
    <t>Prdouct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</si>
</sst>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0" borderId="13" xfId="0" applyBorder="1"/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AB54-896B-4EAA-9C87-BFD15A602A49}">
  <dimension ref="A1:O7"/>
  <sheetViews>
    <sheetView workbookViewId="0">
      <selection activeCell="I2" sqref="I2"/>
    </sheetView>
  </sheetViews>
  <sheetFormatPr defaultRowHeight="14.5" x14ac:dyDescent="0.35"/>
  <cols>
    <col min="1" max="1" width="16.1796875" bestFit="1" customWidth="1"/>
    <col min="2" max="2" width="19.36328125" bestFit="1" customWidth="1"/>
    <col min="3" max="3" width="7.36328125" bestFit="1" customWidth="1"/>
    <col min="5" max="5" width="8.26953125" bestFit="1" customWidth="1"/>
    <col min="7" max="7" width="9.6328125" bestFit="1" customWidth="1"/>
    <col min="8" max="8" width="19.54296875" bestFit="1" customWidth="1"/>
    <col min="9" max="9" width="10.54296875" bestFit="1" customWidth="1"/>
    <col min="13" max="13" width="7.90625" bestFit="1" customWidth="1"/>
    <col min="14" max="14" width="19.7265625" bestFit="1" customWidth="1"/>
    <col min="15" max="15" width="26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1</v>
      </c>
      <c r="I1" t="s">
        <v>12</v>
      </c>
      <c r="J1" t="s">
        <v>3</v>
      </c>
      <c r="K1" t="s">
        <v>4</v>
      </c>
      <c r="M1" t="s">
        <v>17</v>
      </c>
      <c r="N1" t="s">
        <v>18</v>
      </c>
      <c r="O1" t="s">
        <v>19</v>
      </c>
    </row>
    <row r="2" spans="1:15" x14ac:dyDescent="0.35">
      <c r="A2">
        <v>1</v>
      </c>
      <c r="B2" t="s">
        <v>5</v>
      </c>
      <c r="C2">
        <v>869</v>
      </c>
      <c r="D2">
        <v>43.67</v>
      </c>
      <c r="E2">
        <v>-104.99</v>
      </c>
      <c r="G2">
        <v>1</v>
      </c>
      <c r="H2" t="s">
        <v>13</v>
      </c>
      <c r="I2">
        <v>2040</v>
      </c>
      <c r="J2">
        <v>35.42</v>
      </c>
      <c r="K2">
        <v>-110.29</v>
      </c>
      <c r="M2">
        <v>2</v>
      </c>
      <c r="N2">
        <v>1</v>
      </c>
      <c r="O2" t="s">
        <v>20</v>
      </c>
    </row>
    <row r="3" spans="1:15" x14ac:dyDescent="0.35">
      <c r="A3">
        <v>2</v>
      </c>
      <c r="B3" t="s">
        <v>6</v>
      </c>
      <c r="C3">
        <v>800</v>
      </c>
      <c r="D3">
        <v>27.47</v>
      </c>
      <c r="E3">
        <v>-103.35</v>
      </c>
      <c r="G3">
        <v>2</v>
      </c>
      <c r="H3" t="s">
        <v>14</v>
      </c>
      <c r="I3">
        <v>1216</v>
      </c>
      <c r="J3">
        <v>41.86</v>
      </c>
      <c r="K3">
        <v>-71.13</v>
      </c>
    </row>
    <row r="4" spans="1:15" x14ac:dyDescent="0.35">
      <c r="A4">
        <v>3</v>
      </c>
      <c r="B4" t="s">
        <v>7</v>
      </c>
      <c r="C4">
        <v>519</v>
      </c>
      <c r="D4">
        <v>49.06</v>
      </c>
      <c r="E4">
        <v>-114.88</v>
      </c>
      <c r="G4">
        <v>3</v>
      </c>
      <c r="H4" t="s">
        <v>15</v>
      </c>
      <c r="I4">
        <v>1615</v>
      </c>
      <c r="J4">
        <v>40.090000000000003</v>
      </c>
      <c r="K4">
        <v>-76.39</v>
      </c>
    </row>
    <row r="5" spans="1:15" x14ac:dyDescent="0.35">
      <c r="A5">
        <v>4</v>
      </c>
      <c r="B5" t="s">
        <v>8</v>
      </c>
      <c r="C5">
        <v>716</v>
      </c>
      <c r="D5">
        <v>45.85</v>
      </c>
      <c r="E5">
        <v>-90.82</v>
      </c>
      <c r="G5">
        <v>4</v>
      </c>
      <c r="H5" t="s">
        <v>16</v>
      </c>
      <c r="I5">
        <v>2331</v>
      </c>
      <c r="J5">
        <v>31.8</v>
      </c>
      <c r="K5">
        <v>-80.39</v>
      </c>
    </row>
    <row r="6" spans="1:15" x14ac:dyDescent="0.35">
      <c r="A6">
        <v>5</v>
      </c>
      <c r="B6" t="s">
        <v>9</v>
      </c>
      <c r="C6">
        <v>550</v>
      </c>
      <c r="D6">
        <v>44.86</v>
      </c>
      <c r="E6">
        <v>-95.47</v>
      </c>
    </row>
    <row r="7" spans="1:15" x14ac:dyDescent="0.35">
      <c r="A7">
        <v>6</v>
      </c>
      <c r="B7" t="s">
        <v>10</v>
      </c>
      <c r="C7">
        <v>615</v>
      </c>
      <c r="D7">
        <v>39.97</v>
      </c>
      <c r="E7">
        <v>-106.95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520A-1E24-4EC0-9615-C2A37BEB26B5}">
  <dimension ref="A2:R37"/>
  <sheetViews>
    <sheetView topLeftCell="A23" zoomScale="78" workbookViewId="0">
      <selection activeCell="A2" sqref="A2:R29"/>
    </sheetView>
  </sheetViews>
  <sheetFormatPr defaultRowHeight="14.5" x14ac:dyDescent="0.35"/>
  <cols>
    <col min="1" max="1" width="10.36328125" bestFit="1" customWidth="1"/>
    <col min="2" max="2" width="19.54296875" bestFit="1" customWidth="1"/>
    <col min="3" max="3" width="11.90625" bestFit="1" customWidth="1"/>
    <col min="4" max="4" width="19.36328125" bestFit="1" customWidth="1"/>
    <col min="11" max="11" width="11.08984375" bestFit="1" customWidth="1"/>
    <col min="12" max="15" width="11.36328125" bestFit="1" customWidth="1"/>
  </cols>
  <sheetData>
    <row r="2" spans="1:18" x14ac:dyDescent="0.35">
      <c r="A2" s="20" t="s">
        <v>21</v>
      </c>
      <c r="B2" s="20"/>
      <c r="C2" s="20" t="s">
        <v>22</v>
      </c>
      <c r="D2" s="20"/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18" ht="15" thickBot="1" x14ac:dyDescent="0.4">
      <c r="A3" s="2">
        <v>1</v>
      </c>
      <c r="B3" s="2" t="s">
        <v>13</v>
      </c>
      <c r="C3" s="2">
        <v>1</v>
      </c>
      <c r="D3" s="2" t="s">
        <v>5</v>
      </c>
      <c r="E3" s="2">
        <v>35.42</v>
      </c>
      <c r="F3" s="2">
        <v>-110.29</v>
      </c>
      <c r="G3" s="2">
        <v>43.67</v>
      </c>
      <c r="H3" s="2">
        <v>-104.99</v>
      </c>
      <c r="I3" s="2">
        <f>ABS(E3-G3)+ABS(F3-H3)</f>
        <v>13.550000000000011</v>
      </c>
    </row>
    <row r="4" spans="1:18" x14ac:dyDescent="0.35">
      <c r="A4" s="2">
        <v>1</v>
      </c>
      <c r="B4" s="2" t="s">
        <v>13</v>
      </c>
      <c r="C4" s="2">
        <v>2</v>
      </c>
      <c r="D4" s="2" t="s">
        <v>6</v>
      </c>
      <c r="E4" s="2">
        <v>35.42</v>
      </c>
      <c r="F4" s="2">
        <v>-110.29</v>
      </c>
      <c r="G4" s="2">
        <v>27.47</v>
      </c>
      <c r="H4" s="2">
        <v>-103.35</v>
      </c>
      <c r="I4" s="2">
        <f t="shared" ref="I4:I26" si="0">ABS(E4-G4)+ABS(F4-H4)</f>
        <v>14.890000000000015</v>
      </c>
      <c r="K4" s="3" t="s">
        <v>28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11">
        <v>6</v>
      </c>
      <c r="R4" s="12" t="s">
        <v>31</v>
      </c>
    </row>
    <row r="5" spans="1:18" x14ac:dyDescent="0.35">
      <c r="A5" s="2">
        <v>1</v>
      </c>
      <c r="B5" s="2" t="s">
        <v>13</v>
      </c>
      <c r="C5" s="2">
        <v>3</v>
      </c>
      <c r="D5" s="2" t="s">
        <v>7</v>
      </c>
      <c r="E5" s="2">
        <v>35.42</v>
      </c>
      <c r="F5" s="2">
        <v>-110.29</v>
      </c>
      <c r="G5" s="2">
        <v>49.06</v>
      </c>
      <c r="H5" s="2">
        <v>-114.88</v>
      </c>
      <c r="I5" s="2">
        <f t="shared" si="0"/>
        <v>18.22999999999999</v>
      </c>
      <c r="K5" s="3">
        <v>1</v>
      </c>
      <c r="L5" s="2">
        <v>869</v>
      </c>
      <c r="M5" s="2">
        <v>800</v>
      </c>
      <c r="N5" s="2">
        <v>519</v>
      </c>
      <c r="O5" s="2">
        <v>0</v>
      </c>
      <c r="P5" s="2">
        <v>0</v>
      </c>
      <c r="Q5" s="2">
        <v>615</v>
      </c>
      <c r="R5" s="13">
        <f>SUM(L5:Q5)</f>
        <v>2803</v>
      </c>
    </row>
    <row r="6" spans="1:18" x14ac:dyDescent="0.35">
      <c r="A6" s="2">
        <v>1</v>
      </c>
      <c r="B6" s="2" t="s">
        <v>13</v>
      </c>
      <c r="C6" s="2">
        <v>4</v>
      </c>
      <c r="D6" s="2" t="s">
        <v>8</v>
      </c>
      <c r="E6" s="2">
        <v>35.42</v>
      </c>
      <c r="F6" s="2">
        <v>-110.29</v>
      </c>
      <c r="G6" s="2">
        <v>45.85</v>
      </c>
      <c r="H6" s="2">
        <v>-90.82</v>
      </c>
      <c r="I6" s="2">
        <f t="shared" si="0"/>
        <v>29.900000000000013</v>
      </c>
      <c r="K6" s="3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3">
        <f>SUM(L6:Q6)</f>
        <v>0</v>
      </c>
    </row>
    <row r="7" spans="1:18" x14ac:dyDescent="0.35">
      <c r="A7" s="2">
        <v>1</v>
      </c>
      <c r="B7" s="2" t="s">
        <v>13</v>
      </c>
      <c r="C7" s="2">
        <v>5</v>
      </c>
      <c r="D7" s="2" t="s">
        <v>9</v>
      </c>
      <c r="E7" s="2">
        <v>35.42</v>
      </c>
      <c r="F7" s="2">
        <v>-110.29</v>
      </c>
      <c r="G7" s="2">
        <v>44.86</v>
      </c>
      <c r="H7" s="2">
        <v>-95.47</v>
      </c>
      <c r="I7" s="2">
        <f t="shared" si="0"/>
        <v>24.260000000000005</v>
      </c>
      <c r="K7" s="3">
        <v>3</v>
      </c>
      <c r="L7" s="2">
        <v>0</v>
      </c>
      <c r="M7" s="2">
        <v>0</v>
      </c>
      <c r="N7" s="2">
        <v>0</v>
      </c>
      <c r="O7" s="2">
        <v>716</v>
      </c>
      <c r="P7" s="2">
        <v>550</v>
      </c>
      <c r="Q7" s="2">
        <v>0</v>
      </c>
      <c r="R7" s="13">
        <f>SUM(L7:Q7)</f>
        <v>1266</v>
      </c>
    </row>
    <row r="8" spans="1:18" ht="15" thickBot="1" x14ac:dyDescent="0.4">
      <c r="A8" s="2">
        <v>1</v>
      </c>
      <c r="B8" s="2" t="s">
        <v>13</v>
      </c>
      <c r="C8" s="2">
        <v>6</v>
      </c>
      <c r="D8" s="2" t="s">
        <v>10</v>
      </c>
      <c r="E8" s="2">
        <v>35.42</v>
      </c>
      <c r="F8" s="2">
        <v>-110.29</v>
      </c>
      <c r="G8" s="2">
        <v>39.97</v>
      </c>
      <c r="H8" s="2">
        <v>-106.95</v>
      </c>
      <c r="I8" s="2">
        <f t="shared" si="0"/>
        <v>7.8900000000000006</v>
      </c>
      <c r="K8" s="5">
        <v>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4">
        <f>SUM(L8:Q8)</f>
        <v>0</v>
      </c>
    </row>
    <row r="9" spans="1:18" x14ac:dyDescent="0.35">
      <c r="A9" s="2">
        <v>2</v>
      </c>
      <c r="B9" s="2" t="s">
        <v>14</v>
      </c>
      <c r="C9" s="2">
        <v>1</v>
      </c>
      <c r="D9" s="2" t="s">
        <v>5</v>
      </c>
      <c r="E9" s="2">
        <v>41.86</v>
      </c>
      <c r="F9" s="2">
        <v>-71.13</v>
      </c>
      <c r="G9" s="2">
        <v>43.67</v>
      </c>
      <c r="H9" s="2">
        <v>-104.99</v>
      </c>
      <c r="I9" s="2">
        <f t="shared" si="0"/>
        <v>35.67</v>
      </c>
      <c r="K9" s="6" t="s">
        <v>30</v>
      </c>
      <c r="L9" s="7">
        <f>SUM(L5:L8)</f>
        <v>869</v>
      </c>
      <c r="M9" s="7">
        <f t="shared" ref="M9:Q9" si="1">SUM(M5:M8)</f>
        <v>800</v>
      </c>
      <c r="N9" s="7">
        <f t="shared" si="1"/>
        <v>519</v>
      </c>
      <c r="O9" s="7">
        <f t="shared" si="1"/>
        <v>716</v>
      </c>
      <c r="P9" s="7">
        <f t="shared" si="1"/>
        <v>550</v>
      </c>
      <c r="Q9" s="7">
        <f t="shared" si="1"/>
        <v>615</v>
      </c>
      <c r="R9" s="8"/>
    </row>
    <row r="10" spans="1:18" ht="15" thickBot="1" x14ac:dyDescent="0.4">
      <c r="A10" s="2">
        <v>2</v>
      </c>
      <c r="B10" s="2" t="s">
        <v>14</v>
      </c>
      <c r="C10" s="2">
        <v>2</v>
      </c>
      <c r="D10" s="2" t="s">
        <v>6</v>
      </c>
      <c r="E10" s="2">
        <v>41.86</v>
      </c>
      <c r="F10" s="2">
        <v>-71.13</v>
      </c>
      <c r="G10" s="2">
        <v>27.47</v>
      </c>
      <c r="H10" s="2">
        <v>-103.35</v>
      </c>
      <c r="I10" s="2">
        <f t="shared" si="0"/>
        <v>46.61</v>
      </c>
      <c r="K10" s="9" t="s">
        <v>29</v>
      </c>
      <c r="L10" s="4">
        <v>869</v>
      </c>
      <c r="M10" s="4">
        <v>800</v>
      </c>
      <c r="N10" s="4">
        <v>519</v>
      </c>
      <c r="O10" s="4">
        <v>716</v>
      </c>
      <c r="P10" s="4">
        <v>550</v>
      </c>
      <c r="Q10" s="4">
        <v>615</v>
      </c>
      <c r="R10" s="10">
        <f>SUM(L10:Q10)</f>
        <v>4069</v>
      </c>
    </row>
    <row r="11" spans="1:18" x14ac:dyDescent="0.35">
      <c r="A11" s="2">
        <v>2</v>
      </c>
      <c r="B11" s="2" t="s">
        <v>14</v>
      </c>
      <c r="C11" s="2">
        <v>3</v>
      </c>
      <c r="D11" s="2" t="s">
        <v>7</v>
      </c>
      <c r="E11" s="2">
        <v>41.86</v>
      </c>
      <c r="F11" s="2">
        <v>-71.13</v>
      </c>
      <c r="G11" s="2">
        <v>49.06</v>
      </c>
      <c r="H11" s="2">
        <v>-114.88</v>
      </c>
      <c r="I11" s="2">
        <f t="shared" si="0"/>
        <v>50.95</v>
      </c>
    </row>
    <row r="12" spans="1:18" x14ac:dyDescent="0.35">
      <c r="A12" s="2">
        <v>2</v>
      </c>
      <c r="B12" s="2" t="s">
        <v>14</v>
      </c>
      <c r="C12" s="2">
        <v>4</v>
      </c>
      <c r="D12" s="2" t="s">
        <v>8</v>
      </c>
      <c r="E12" s="2">
        <v>41.86</v>
      </c>
      <c r="F12" s="2">
        <v>-71.13</v>
      </c>
      <c r="G12" s="2">
        <v>45.85</v>
      </c>
      <c r="H12" s="2">
        <v>-90.82</v>
      </c>
      <c r="I12" s="2">
        <f t="shared" si="0"/>
        <v>23.68</v>
      </c>
    </row>
    <row r="13" spans="1:18" x14ac:dyDescent="0.35">
      <c r="A13" s="2">
        <v>2</v>
      </c>
      <c r="B13" s="2" t="s">
        <v>14</v>
      </c>
      <c r="C13" s="2">
        <v>5</v>
      </c>
      <c r="D13" s="2" t="s">
        <v>9</v>
      </c>
      <c r="E13" s="2">
        <v>41.86</v>
      </c>
      <c r="F13" s="2">
        <v>-71.13</v>
      </c>
      <c r="G13" s="2">
        <v>44.86</v>
      </c>
      <c r="H13" s="2">
        <v>-95.47</v>
      </c>
      <c r="I13" s="2">
        <f t="shared" si="0"/>
        <v>27.340000000000003</v>
      </c>
      <c r="K13" s="3" t="s">
        <v>28</v>
      </c>
      <c r="L13" s="3">
        <v>1</v>
      </c>
      <c r="M13" s="3">
        <v>2</v>
      </c>
      <c r="N13" s="3">
        <v>3</v>
      </c>
      <c r="O13" s="3">
        <v>4</v>
      </c>
      <c r="P13" s="3">
        <v>5</v>
      </c>
      <c r="Q13" s="11">
        <v>6</v>
      </c>
    </row>
    <row r="14" spans="1:18" x14ac:dyDescent="0.35">
      <c r="A14" s="2">
        <v>2</v>
      </c>
      <c r="B14" s="2" t="s">
        <v>14</v>
      </c>
      <c r="C14" s="2">
        <v>6</v>
      </c>
      <c r="D14" s="2" t="s">
        <v>10</v>
      </c>
      <c r="E14" s="2">
        <v>41.86</v>
      </c>
      <c r="F14" s="2">
        <v>-71.13</v>
      </c>
      <c r="G14" s="2">
        <v>39.97</v>
      </c>
      <c r="H14" s="2">
        <v>-106.95</v>
      </c>
      <c r="I14" s="2">
        <f t="shared" si="0"/>
        <v>37.710000000000008</v>
      </c>
      <c r="K14" s="3">
        <v>1</v>
      </c>
      <c r="L14" s="2">
        <v>13.55</v>
      </c>
      <c r="M14" s="2">
        <v>14.89</v>
      </c>
      <c r="N14" s="2">
        <v>18.23</v>
      </c>
      <c r="O14" s="2">
        <v>29.9</v>
      </c>
      <c r="P14" s="2">
        <v>24.26</v>
      </c>
      <c r="Q14" s="2">
        <v>7.89</v>
      </c>
    </row>
    <row r="15" spans="1:18" x14ac:dyDescent="0.35">
      <c r="A15" s="2">
        <v>3</v>
      </c>
      <c r="B15" s="2" t="s">
        <v>15</v>
      </c>
      <c r="C15" s="2">
        <v>1</v>
      </c>
      <c r="D15" s="2" t="s">
        <v>5</v>
      </c>
      <c r="E15" s="2">
        <v>40.090000000000003</v>
      </c>
      <c r="F15" s="2">
        <v>-76.39</v>
      </c>
      <c r="G15" s="2">
        <v>43.67</v>
      </c>
      <c r="H15" s="2">
        <v>-104.99</v>
      </c>
      <c r="I15" s="2">
        <f t="shared" si="0"/>
        <v>32.179999999999993</v>
      </c>
      <c r="K15" s="3">
        <v>2</v>
      </c>
      <c r="L15" s="2">
        <v>35.67</v>
      </c>
      <c r="M15" s="2">
        <v>46.61</v>
      </c>
      <c r="N15" s="2">
        <v>50.95</v>
      </c>
      <c r="O15" s="2">
        <v>23.68</v>
      </c>
      <c r="P15" s="2">
        <v>27.34</v>
      </c>
      <c r="Q15" s="2">
        <v>37.71</v>
      </c>
    </row>
    <row r="16" spans="1:18" x14ac:dyDescent="0.35">
      <c r="A16" s="2">
        <v>3</v>
      </c>
      <c r="B16" s="2" t="s">
        <v>15</v>
      </c>
      <c r="C16" s="2">
        <v>2</v>
      </c>
      <c r="D16" s="2" t="s">
        <v>6</v>
      </c>
      <c r="E16" s="2">
        <v>40.090000000000003</v>
      </c>
      <c r="F16" s="2">
        <v>-76.39</v>
      </c>
      <c r="G16" s="2">
        <v>27.47</v>
      </c>
      <c r="H16" s="2">
        <v>-103.35</v>
      </c>
      <c r="I16" s="2">
        <f t="shared" si="0"/>
        <v>39.58</v>
      </c>
      <c r="K16" s="3">
        <v>3</v>
      </c>
      <c r="L16" s="2">
        <v>32.18</v>
      </c>
      <c r="M16" s="2">
        <v>39.58</v>
      </c>
      <c r="N16" s="2">
        <v>47.56</v>
      </c>
      <c r="O16" s="2">
        <v>20.190000000000001</v>
      </c>
      <c r="P16" s="2">
        <v>23.85</v>
      </c>
      <c r="Q16" s="2">
        <v>30.68</v>
      </c>
    </row>
    <row r="17" spans="1:17" x14ac:dyDescent="0.35">
      <c r="A17" s="2">
        <v>3</v>
      </c>
      <c r="B17" s="2" t="s">
        <v>15</v>
      </c>
      <c r="C17" s="2">
        <v>3</v>
      </c>
      <c r="D17" s="2" t="s">
        <v>7</v>
      </c>
      <c r="E17" s="2">
        <v>40.090000000000003</v>
      </c>
      <c r="F17" s="2">
        <v>-76.39</v>
      </c>
      <c r="G17" s="2">
        <v>49.06</v>
      </c>
      <c r="H17" s="2">
        <v>-114.88</v>
      </c>
      <c r="I17" s="2">
        <f t="shared" si="0"/>
        <v>47.459999999999994</v>
      </c>
      <c r="K17" s="3">
        <v>4</v>
      </c>
      <c r="L17" s="2">
        <v>36.47</v>
      </c>
      <c r="M17" s="2">
        <v>27.29</v>
      </c>
      <c r="N17" s="2">
        <v>51.75</v>
      </c>
      <c r="O17" s="2">
        <v>24.48</v>
      </c>
      <c r="P17" s="2">
        <v>28.14</v>
      </c>
      <c r="Q17" s="2">
        <v>34.729999999999997</v>
      </c>
    </row>
    <row r="18" spans="1:17" x14ac:dyDescent="0.35">
      <c r="A18" s="2">
        <v>3</v>
      </c>
      <c r="B18" s="2" t="s">
        <v>15</v>
      </c>
      <c r="C18" s="2">
        <v>4</v>
      </c>
      <c r="D18" s="2" t="s">
        <v>8</v>
      </c>
      <c r="E18" s="2">
        <v>40.090000000000003</v>
      </c>
      <c r="F18" s="2">
        <v>-76.39</v>
      </c>
      <c r="G18" s="2">
        <v>45.85</v>
      </c>
      <c r="H18" s="2">
        <v>-90.82</v>
      </c>
      <c r="I18" s="2">
        <f t="shared" si="0"/>
        <v>20.189999999999991</v>
      </c>
    </row>
    <row r="19" spans="1:17" x14ac:dyDescent="0.35">
      <c r="A19" s="2">
        <v>3</v>
      </c>
      <c r="B19" s="2" t="s">
        <v>15</v>
      </c>
      <c r="C19" s="2">
        <v>5</v>
      </c>
      <c r="D19" s="2" t="s">
        <v>9</v>
      </c>
      <c r="E19" s="2">
        <v>40.090000000000003</v>
      </c>
      <c r="F19" s="2">
        <v>-76.39</v>
      </c>
      <c r="G19" s="2">
        <v>44.86</v>
      </c>
      <c r="H19" s="2">
        <v>-95.47</v>
      </c>
      <c r="I19" s="2">
        <f t="shared" si="0"/>
        <v>23.849999999999994</v>
      </c>
    </row>
    <row r="20" spans="1:17" x14ac:dyDescent="0.35">
      <c r="A20" s="2">
        <v>3</v>
      </c>
      <c r="B20" s="2" t="s">
        <v>15</v>
      </c>
      <c r="C20" s="2">
        <v>6</v>
      </c>
      <c r="D20" s="2" t="s">
        <v>10</v>
      </c>
      <c r="E20" s="2">
        <v>40.090000000000003</v>
      </c>
      <c r="F20" s="2">
        <v>-76.39</v>
      </c>
      <c r="G20" s="2">
        <v>39.97</v>
      </c>
      <c r="H20" s="2">
        <v>-106.95</v>
      </c>
      <c r="I20" s="2">
        <f t="shared" si="0"/>
        <v>30.680000000000007</v>
      </c>
      <c r="L20" s="2" t="s">
        <v>37</v>
      </c>
      <c r="M20" s="2" t="s">
        <v>38</v>
      </c>
      <c r="N20" s="2" t="s">
        <v>39</v>
      </c>
      <c r="O20" s="2" t="s">
        <v>40</v>
      </c>
    </row>
    <row r="21" spans="1:17" x14ac:dyDescent="0.35">
      <c r="A21" s="2">
        <v>4</v>
      </c>
      <c r="B21" s="2" t="s">
        <v>16</v>
      </c>
      <c r="C21" s="2">
        <v>1</v>
      </c>
      <c r="D21" s="2" t="s">
        <v>5</v>
      </c>
      <c r="E21" s="2">
        <v>31.8</v>
      </c>
      <c r="F21" s="2">
        <v>-80.39</v>
      </c>
      <c r="G21" s="2">
        <v>43.67</v>
      </c>
      <c r="H21" s="2">
        <v>-104.99</v>
      </c>
      <c r="I21" s="2">
        <f t="shared" si="0"/>
        <v>36.47</v>
      </c>
      <c r="L21">
        <v>0</v>
      </c>
      <c r="M21">
        <v>0</v>
      </c>
      <c r="N21">
        <v>0</v>
      </c>
      <c r="O21">
        <v>0</v>
      </c>
    </row>
    <row r="22" spans="1:17" x14ac:dyDescent="0.35">
      <c r="A22" s="2">
        <v>4</v>
      </c>
      <c r="B22" s="2" t="s">
        <v>16</v>
      </c>
      <c r="C22" s="2">
        <v>2</v>
      </c>
      <c r="D22" s="2" t="s">
        <v>6</v>
      </c>
      <c r="E22" s="2">
        <v>31.8</v>
      </c>
      <c r="F22" s="2">
        <v>-80.39</v>
      </c>
      <c r="G22" s="2">
        <v>27.47</v>
      </c>
      <c r="H22" s="2">
        <v>-103.35</v>
      </c>
      <c r="I22" s="2">
        <f t="shared" si="0"/>
        <v>27.289999999999996</v>
      </c>
    </row>
    <row r="23" spans="1:17" x14ac:dyDescent="0.35">
      <c r="A23" s="2">
        <v>4</v>
      </c>
      <c r="B23" s="2" t="s">
        <v>16</v>
      </c>
      <c r="C23" s="2">
        <v>3</v>
      </c>
      <c r="D23" s="2" t="s">
        <v>7</v>
      </c>
      <c r="E23" s="2">
        <v>31.8</v>
      </c>
      <c r="F23" s="2">
        <v>-80.39</v>
      </c>
      <c r="G23" s="2">
        <v>49.06</v>
      </c>
      <c r="H23" s="2">
        <v>-114.88</v>
      </c>
      <c r="I23" s="2">
        <f t="shared" si="0"/>
        <v>51.75</v>
      </c>
      <c r="K23" s="3" t="s">
        <v>32</v>
      </c>
      <c r="L23" s="15">
        <v>2040</v>
      </c>
      <c r="M23" s="15">
        <v>1216</v>
      </c>
      <c r="N23" s="15">
        <v>1615</v>
      </c>
      <c r="O23" s="15">
        <v>2331</v>
      </c>
    </row>
    <row r="24" spans="1:17" x14ac:dyDescent="0.35">
      <c r="A24" s="2">
        <v>4</v>
      </c>
      <c r="B24" s="2" t="s">
        <v>16</v>
      </c>
      <c r="C24" s="2">
        <v>4</v>
      </c>
      <c r="D24" s="2" t="s">
        <v>8</v>
      </c>
      <c r="E24" s="2">
        <v>31.8</v>
      </c>
      <c r="F24" s="2">
        <v>-80.39</v>
      </c>
      <c r="G24" s="2">
        <v>45.85</v>
      </c>
      <c r="H24" s="2">
        <v>-90.82</v>
      </c>
      <c r="I24" s="2">
        <f t="shared" si="0"/>
        <v>24.479999999999993</v>
      </c>
      <c r="K24" s="3" t="s">
        <v>33</v>
      </c>
      <c r="L24" s="16">
        <f>L23*L26</f>
        <v>2040</v>
      </c>
      <c r="M24" s="16">
        <f t="shared" ref="M24:O24" si="2">M23*M26</f>
        <v>0</v>
      </c>
      <c r="N24" s="16">
        <f t="shared" si="2"/>
        <v>1615</v>
      </c>
      <c r="O24" s="16">
        <f t="shared" si="2"/>
        <v>0</v>
      </c>
    </row>
    <row r="25" spans="1:17" x14ac:dyDescent="0.35">
      <c r="A25" s="2">
        <v>4</v>
      </c>
      <c r="B25" s="2" t="s">
        <v>16</v>
      </c>
      <c r="C25" s="2">
        <v>5</v>
      </c>
      <c r="D25" s="2" t="s">
        <v>9</v>
      </c>
      <c r="E25" s="2">
        <v>31.8</v>
      </c>
      <c r="F25" s="2">
        <v>-80.39</v>
      </c>
      <c r="G25" s="2">
        <v>44.86</v>
      </c>
      <c r="H25" s="2">
        <v>-95.47</v>
      </c>
      <c r="I25" s="2">
        <f t="shared" si="0"/>
        <v>28.139999999999997</v>
      </c>
    </row>
    <row r="26" spans="1:17" x14ac:dyDescent="0.35">
      <c r="A26" s="2">
        <v>4</v>
      </c>
      <c r="B26" s="2" t="s">
        <v>16</v>
      </c>
      <c r="C26" s="2">
        <v>6</v>
      </c>
      <c r="D26" s="2" t="s">
        <v>10</v>
      </c>
      <c r="E26" s="2">
        <v>31.8</v>
      </c>
      <c r="F26" s="2">
        <v>-80.39</v>
      </c>
      <c r="G26" s="2">
        <v>39.97</v>
      </c>
      <c r="H26" s="2">
        <v>-106.95</v>
      </c>
      <c r="I26" s="2">
        <f t="shared" si="0"/>
        <v>34.730000000000004</v>
      </c>
      <c r="K26" s="3" t="s">
        <v>34</v>
      </c>
      <c r="L26" s="2">
        <v>1</v>
      </c>
      <c r="M26" s="2">
        <v>0</v>
      </c>
      <c r="N26" s="2">
        <v>1</v>
      </c>
      <c r="O26" s="2">
        <v>0</v>
      </c>
      <c r="P26" s="17">
        <f>SUM(L26:O26)</f>
        <v>2</v>
      </c>
      <c r="Q26" s="18">
        <f>SUMPRODUCT(L5:Q8,L14:Q17)+SUMPRODUCT(L23:O23,L26:O26)</f>
        <v>69229.209999999992</v>
      </c>
    </row>
    <row r="27" spans="1:17" x14ac:dyDescent="0.35">
      <c r="K27" s="3" t="s">
        <v>35</v>
      </c>
      <c r="L27" s="2">
        <f>R5-(L26*L28)</f>
        <v>-1266</v>
      </c>
      <c r="M27" s="2">
        <f>R6-(M26*M28)</f>
        <v>0</v>
      </c>
      <c r="N27" s="2">
        <f>R7-(N26*N28)</f>
        <v>-2803</v>
      </c>
      <c r="O27" s="2">
        <f>R8-(O26*O28)</f>
        <v>0</v>
      </c>
    </row>
    <row r="28" spans="1:17" x14ac:dyDescent="0.35">
      <c r="K28" s="3" t="s">
        <v>36</v>
      </c>
      <c r="L28" s="19">
        <v>4069</v>
      </c>
      <c r="M28" s="19">
        <v>4069</v>
      </c>
      <c r="N28" s="19">
        <v>4069</v>
      </c>
      <c r="O28" s="19">
        <v>4069</v>
      </c>
    </row>
    <row r="37" spans="12:12" x14ac:dyDescent="0.35">
      <c r="L37" s="2"/>
    </row>
  </sheetData>
  <mergeCells count="2">
    <mergeCell ref="A2:B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623C-2977-45DC-AD43-8FA2EF6B465F}">
  <dimension ref="A2:R37"/>
  <sheetViews>
    <sheetView topLeftCell="D16" workbookViewId="0">
      <selection activeCell="A2" sqref="A2:R30"/>
    </sheetView>
  </sheetViews>
  <sheetFormatPr defaultRowHeight="14.5" x14ac:dyDescent="0.35"/>
  <cols>
    <col min="1" max="1" width="10.36328125" bestFit="1" customWidth="1"/>
    <col min="2" max="2" width="19.54296875" bestFit="1" customWidth="1"/>
    <col min="3" max="3" width="11.90625" bestFit="1" customWidth="1"/>
    <col min="4" max="4" width="19.36328125" bestFit="1" customWidth="1"/>
    <col min="11" max="11" width="11.08984375" bestFit="1" customWidth="1"/>
    <col min="12" max="15" width="11.36328125" bestFit="1" customWidth="1"/>
  </cols>
  <sheetData>
    <row r="2" spans="1:18" x14ac:dyDescent="0.35">
      <c r="A2" s="20" t="s">
        <v>21</v>
      </c>
      <c r="B2" s="20"/>
      <c r="C2" s="20" t="s">
        <v>22</v>
      </c>
      <c r="D2" s="20"/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18" ht="15" thickBot="1" x14ac:dyDescent="0.4">
      <c r="A3" s="2">
        <v>1</v>
      </c>
      <c r="B3" s="2" t="s">
        <v>13</v>
      </c>
      <c r="C3" s="2">
        <v>1</v>
      </c>
      <c r="D3" s="2" t="s">
        <v>5</v>
      </c>
      <c r="E3" s="2">
        <v>35.42</v>
      </c>
      <c r="F3" s="2">
        <v>-110.29</v>
      </c>
      <c r="G3" s="2">
        <v>43.67</v>
      </c>
      <c r="H3" s="2">
        <v>-104.99</v>
      </c>
      <c r="I3" s="2">
        <f>ABS(E3-G3)+ABS(F3-H3)</f>
        <v>13.550000000000011</v>
      </c>
    </row>
    <row r="4" spans="1:18" x14ac:dyDescent="0.35">
      <c r="A4" s="2">
        <v>1</v>
      </c>
      <c r="B4" s="2" t="s">
        <v>13</v>
      </c>
      <c r="C4" s="2">
        <v>2</v>
      </c>
      <c r="D4" s="2" t="s">
        <v>6</v>
      </c>
      <c r="E4" s="2">
        <v>35.42</v>
      </c>
      <c r="F4" s="2">
        <v>-110.29</v>
      </c>
      <c r="G4" s="2">
        <v>27.47</v>
      </c>
      <c r="H4" s="2">
        <v>-103.35</v>
      </c>
      <c r="I4" s="2">
        <f t="shared" ref="I4:I26" si="0">ABS(E4-G4)+ABS(F4-H4)</f>
        <v>14.890000000000015</v>
      </c>
      <c r="K4" s="3" t="s">
        <v>28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11">
        <v>6</v>
      </c>
      <c r="R4" s="12" t="s">
        <v>31</v>
      </c>
    </row>
    <row r="5" spans="1:18" x14ac:dyDescent="0.35">
      <c r="A5" s="2">
        <v>1</v>
      </c>
      <c r="B5" s="2" t="s">
        <v>13</v>
      </c>
      <c r="C5" s="2">
        <v>3</v>
      </c>
      <c r="D5" s="2" t="s">
        <v>7</v>
      </c>
      <c r="E5" s="2">
        <v>35.42</v>
      </c>
      <c r="F5" s="2">
        <v>-110.29</v>
      </c>
      <c r="G5" s="2">
        <v>49.06</v>
      </c>
      <c r="H5" s="2">
        <v>-114.88</v>
      </c>
      <c r="I5" s="2">
        <f t="shared" si="0"/>
        <v>18.22999999999999</v>
      </c>
      <c r="K5" s="3">
        <v>1</v>
      </c>
      <c r="L5" s="2">
        <v>869</v>
      </c>
      <c r="M5" s="2">
        <v>800</v>
      </c>
      <c r="N5" s="2">
        <v>519</v>
      </c>
      <c r="O5" s="2">
        <v>716.00000000000068</v>
      </c>
      <c r="P5" s="2">
        <v>550</v>
      </c>
      <c r="Q5" s="2">
        <v>615</v>
      </c>
      <c r="R5" s="13">
        <f>SUM(L5:Q5)</f>
        <v>4069.0000000000009</v>
      </c>
    </row>
    <row r="6" spans="1:18" x14ac:dyDescent="0.35">
      <c r="A6" s="2">
        <v>1</v>
      </c>
      <c r="B6" s="2" t="s">
        <v>13</v>
      </c>
      <c r="C6" s="2">
        <v>4</v>
      </c>
      <c r="D6" s="2" t="s">
        <v>8</v>
      </c>
      <c r="E6" s="2">
        <v>35.42</v>
      </c>
      <c r="F6" s="2">
        <v>-110.29</v>
      </c>
      <c r="G6" s="2">
        <v>45.85</v>
      </c>
      <c r="H6" s="2">
        <v>-90.82</v>
      </c>
      <c r="I6" s="2">
        <f t="shared" si="0"/>
        <v>29.900000000000013</v>
      </c>
      <c r="K6" s="3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3">
        <f>SUM(L6:Q6)</f>
        <v>0</v>
      </c>
    </row>
    <row r="7" spans="1:18" x14ac:dyDescent="0.35">
      <c r="A7" s="2">
        <v>1</v>
      </c>
      <c r="B7" s="2" t="s">
        <v>13</v>
      </c>
      <c r="C7" s="2">
        <v>5</v>
      </c>
      <c r="D7" s="2" t="s">
        <v>9</v>
      </c>
      <c r="E7" s="2">
        <v>35.42</v>
      </c>
      <c r="F7" s="2">
        <v>-110.29</v>
      </c>
      <c r="G7" s="2">
        <v>44.86</v>
      </c>
      <c r="H7" s="2">
        <v>-95.47</v>
      </c>
      <c r="I7" s="2">
        <f t="shared" si="0"/>
        <v>24.260000000000005</v>
      </c>
      <c r="K7" s="3">
        <v>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13">
        <f>SUM(L7:Q7)</f>
        <v>0</v>
      </c>
    </row>
    <row r="8" spans="1:18" ht="15" thickBot="1" x14ac:dyDescent="0.4">
      <c r="A8" s="2">
        <v>1</v>
      </c>
      <c r="B8" s="2" t="s">
        <v>13</v>
      </c>
      <c r="C8" s="2">
        <v>6</v>
      </c>
      <c r="D8" s="2" t="s">
        <v>10</v>
      </c>
      <c r="E8" s="2">
        <v>35.42</v>
      </c>
      <c r="F8" s="2">
        <v>-110.29</v>
      </c>
      <c r="G8" s="2">
        <v>39.97</v>
      </c>
      <c r="H8" s="2">
        <v>-106.95</v>
      </c>
      <c r="I8" s="2">
        <f t="shared" si="0"/>
        <v>7.8900000000000006</v>
      </c>
      <c r="K8" s="5">
        <v>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4">
        <f>SUM(L8:Q8)</f>
        <v>0</v>
      </c>
    </row>
    <row r="9" spans="1:18" x14ac:dyDescent="0.35">
      <c r="A9" s="2">
        <v>2</v>
      </c>
      <c r="B9" s="2" t="s">
        <v>14</v>
      </c>
      <c r="C9" s="2">
        <v>1</v>
      </c>
      <c r="D9" s="2" t="s">
        <v>5</v>
      </c>
      <c r="E9" s="2">
        <v>41.86</v>
      </c>
      <c r="F9" s="2">
        <v>-71.13</v>
      </c>
      <c r="G9" s="2">
        <v>43.67</v>
      </c>
      <c r="H9" s="2">
        <v>-104.99</v>
      </c>
      <c r="I9" s="2">
        <f t="shared" si="0"/>
        <v>35.67</v>
      </c>
      <c r="K9" s="6" t="s">
        <v>30</v>
      </c>
      <c r="L9" s="7">
        <f>SUM(L5:L8)</f>
        <v>869</v>
      </c>
      <c r="M9" s="7">
        <f t="shared" ref="M9:Q9" si="1">SUM(M5:M8)</f>
        <v>800</v>
      </c>
      <c r="N9" s="7">
        <f t="shared" si="1"/>
        <v>519</v>
      </c>
      <c r="O9" s="7">
        <f t="shared" si="1"/>
        <v>716.00000000000068</v>
      </c>
      <c r="P9" s="7">
        <f t="shared" si="1"/>
        <v>550</v>
      </c>
      <c r="Q9" s="7">
        <f t="shared" si="1"/>
        <v>615</v>
      </c>
      <c r="R9" s="8"/>
    </row>
    <row r="10" spans="1:18" ht="15" thickBot="1" x14ac:dyDescent="0.4">
      <c r="A10" s="2">
        <v>2</v>
      </c>
      <c r="B10" s="2" t="s">
        <v>14</v>
      </c>
      <c r="C10" s="2">
        <v>2</v>
      </c>
      <c r="D10" s="2" t="s">
        <v>6</v>
      </c>
      <c r="E10" s="2">
        <v>41.86</v>
      </c>
      <c r="F10" s="2">
        <v>-71.13</v>
      </c>
      <c r="G10" s="2">
        <v>27.47</v>
      </c>
      <c r="H10" s="2">
        <v>-103.35</v>
      </c>
      <c r="I10" s="2">
        <f t="shared" si="0"/>
        <v>46.61</v>
      </c>
      <c r="K10" s="9" t="s">
        <v>29</v>
      </c>
      <c r="L10" s="4">
        <v>869</v>
      </c>
      <c r="M10" s="4">
        <v>800</v>
      </c>
      <c r="N10" s="4">
        <v>519</v>
      </c>
      <c r="O10" s="4">
        <v>716</v>
      </c>
      <c r="P10" s="4">
        <v>550</v>
      </c>
      <c r="Q10" s="4">
        <v>615</v>
      </c>
      <c r="R10" s="10">
        <f>SUM(L10:Q10)</f>
        <v>4069</v>
      </c>
    </row>
    <row r="11" spans="1:18" x14ac:dyDescent="0.35">
      <c r="A11" s="2">
        <v>2</v>
      </c>
      <c r="B11" s="2" t="s">
        <v>14</v>
      </c>
      <c r="C11" s="2">
        <v>3</v>
      </c>
      <c r="D11" s="2" t="s">
        <v>7</v>
      </c>
      <c r="E11" s="2">
        <v>41.86</v>
      </c>
      <c r="F11" s="2">
        <v>-71.13</v>
      </c>
      <c r="G11" s="2">
        <v>49.06</v>
      </c>
      <c r="H11" s="2">
        <v>-114.88</v>
      </c>
      <c r="I11" s="2">
        <f t="shared" si="0"/>
        <v>50.95</v>
      </c>
    </row>
    <row r="12" spans="1:18" x14ac:dyDescent="0.35">
      <c r="A12" s="2">
        <v>2</v>
      </c>
      <c r="B12" s="2" t="s">
        <v>14</v>
      </c>
      <c r="C12" s="2">
        <v>4</v>
      </c>
      <c r="D12" s="2" t="s">
        <v>8</v>
      </c>
      <c r="E12" s="2">
        <v>41.86</v>
      </c>
      <c r="F12" s="2">
        <v>-71.13</v>
      </c>
      <c r="G12" s="2">
        <v>45.85</v>
      </c>
      <c r="H12" s="2">
        <v>-90.82</v>
      </c>
      <c r="I12" s="2">
        <f t="shared" si="0"/>
        <v>23.68</v>
      </c>
    </row>
    <row r="13" spans="1:18" x14ac:dyDescent="0.35">
      <c r="A13" s="2">
        <v>2</v>
      </c>
      <c r="B13" s="2" t="s">
        <v>14</v>
      </c>
      <c r="C13" s="2">
        <v>5</v>
      </c>
      <c r="D13" s="2" t="s">
        <v>9</v>
      </c>
      <c r="E13" s="2">
        <v>41.86</v>
      </c>
      <c r="F13" s="2">
        <v>-71.13</v>
      </c>
      <c r="G13" s="2">
        <v>44.86</v>
      </c>
      <c r="H13" s="2">
        <v>-95.47</v>
      </c>
      <c r="I13" s="2">
        <f t="shared" si="0"/>
        <v>27.340000000000003</v>
      </c>
      <c r="K13" s="3" t="s">
        <v>28</v>
      </c>
      <c r="L13" s="3">
        <v>1</v>
      </c>
      <c r="M13" s="3">
        <v>2</v>
      </c>
      <c r="N13" s="3">
        <v>3</v>
      </c>
      <c r="O13" s="3">
        <v>4</v>
      </c>
      <c r="P13" s="3">
        <v>5</v>
      </c>
      <c r="Q13" s="11">
        <v>6</v>
      </c>
    </row>
    <row r="14" spans="1:18" x14ac:dyDescent="0.35">
      <c r="A14" s="2">
        <v>2</v>
      </c>
      <c r="B14" s="2" t="s">
        <v>14</v>
      </c>
      <c r="C14" s="2">
        <v>6</v>
      </c>
      <c r="D14" s="2" t="s">
        <v>10</v>
      </c>
      <c r="E14" s="2">
        <v>41.86</v>
      </c>
      <c r="F14" s="2">
        <v>-71.13</v>
      </c>
      <c r="G14" s="2">
        <v>39.97</v>
      </c>
      <c r="H14" s="2">
        <v>-106.95</v>
      </c>
      <c r="I14" s="2">
        <f t="shared" si="0"/>
        <v>37.710000000000008</v>
      </c>
      <c r="K14" s="3">
        <v>1</v>
      </c>
      <c r="L14" s="2">
        <v>13.55</v>
      </c>
      <c r="M14" s="2">
        <v>14.89</v>
      </c>
      <c r="N14" s="2">
        <v>18.23</v>
      </c>
      <c r="O14" s="2">
        <v>29.9</v>
      </c>
      <c r="P14" s="2">
        <v>24.26</v>
      </c>
      <c r="Q14" s="2">
        <v>7.89</v>
      </c>
    </row>
    <row r="15" spans="1:18" x14ac:dyDescent="0.35">
      <c r="A15" s="2">
        <v>3</v>
      </c>
      <c r="B15" s="2" t="s">
        <v>15</v>
      </c>
      <c r="C15" s="2">
        <v>1</v>
      </c>
      <c r="D15" s="2" t="s">
        <v>5</v>
      </c>
      <c r="E15" s="2">
        <v>40.090000000000003</v>
      </c>
      <c r="F15" s="2">
        <v>-76.39</v>
      </c>
      <c r="G15" s="2">
        <v>43.67</v>
      </c>
      <c r="H15" s="2">
        <v>-104.99</v>
      </c>
      <c r="I15" s="2">
        <f t="shared" si="0"/>
        <v>32.179999999999993</v>
      </c>
      <c r="K15" s="3">
        <v>2</v>
      </c>
      <c r="L15" s="2">
        <v>35.67</v>
      </c>
      <c r="M15" s="2">
        <v>46.61</v>
      </c>
      <c r="N15" s="2">
        <v>50.95</v>
      </c>
      <c r="O15" s="2">
        <v>23.68</v>
      </c>
      <c r="P15" s="2">
        <v>27.34</v>
      </c>
      <c r="Q15" s="2">
        <v>37.71</v>
      </c>
    </row>
    <row r="16" spans="1:18" x14ac:dyDescent="0.35">
      <c r="A16" s="2">
        <v>3</v>
      </c>
      <c r="B16" s="2" t="s">
        <v>15</v>
      </c>
      <c r="C16" s="2">
        <v>2</v>
      </c>
      <c r="D16" s="2" t="s">
        <v>6</v>
      </c>
      <c r="E16" s="2">
        <v>40.090000000000003</v>
      </c>
      <c r="F16" s="2">
        <v>-76.39</v>
      </c>
      <c r="G16" s="2">
        <v>27.47</v>
      </c>
      <c r="H16" s="2">
        <v>-103.35</v>
      </c>
      <c r="I16" s="2">
        <f t="shared" si="0"/>
        <v>39.58</v>
      </c>
      <c r="K16" s="3">
        <v>3</v>
      </c>
      <c r="L16" s="2">
        <v>32.18</v>
      </c>
      <c r="M16" s="2">
        <v>39.58</v>
      </c>
      <c r="N16" s="2">
        <v>47.56</v>
      </c>
      <c r="O16" s="2">
        <v>20.190000000000001</v>
      </c>
      <c r="P16" s="2">
        <v>23.85</v>
      </c>
      <c r="Q16" s="2">
        <v>30.68</v>
      </c>
    </row>
    <row r="17" spans="1:17" x14ac:dyDescent="0.35">
      <c r="A17" s="2">
        <v>3</v>
      </c>
      <c r="B17" s="2" t="s">
        <v>15</v>
      </c>
      <c r="C17" s="2">
        <v>3</v>
      </c>
      <c r="D17" s="2" t="s">
        <v>7</v>
      </c>
      <c r="E17" s="2">
        <v>40.090000000000003</v>
      </c>
      <c r="F17" s="2">
        <v>-76.39</v>
      </c>
      <c r="G17" s="2">
        <v>49.06</v>
      </c>
      <c r="H17" s="2">
        <v>-114.88</v>
      </c>
      <c r="I17" s="2">
        <f t="shared" si="0"/>
        <v>47.459999999999994</v>
      </c>
      <c r="K17" s="3">
        <v>4</v>
      </c>
      <c r="L17" s="2">
        <v>36.47</v>
      </c>
      <c r="M17" s="2">
        <v>27.29</v>
      </c>
      <c r="N17" s="2">
        <v>51.75</v>
      </c>
      <c r="O17" s="2">
        <v>24.48</v>
      </c>
      <c r="P17" s="2">
        <v>28.14</v>
      </c>
      <c r="Q17" s="2">
        <v>34.729999999999997</v>
      </c>
    </row>
    <row r="18" spans="1:17" x14ac:dyDescent="0.35">
      <c r="A18" s="2">
        <v>3</v>
      </c>
      <c r="B18" s="2" t="s">
        <v>15</v>
      </c>
      <c r="C18" s="2">
        <v>4</v>
      </c>
      <c r="D18" s="2" t="s">
        <v>8</v>
      </c>
      <c r="E18" s="2">
        <v>40.090000000000003</v>
      </c>
      <c r="F18" s="2">
        <v>-76.39</v>
      </c>
      <c r="G18" s="2">
        <v>45.85</v>
      </c>
      <c r="H18" s="2">
        <v>-90.82</v>
      </c>
      <c r="I18" s="2">
        <f t="shared" si="0"/>
        <v>20.189999999999991</v>
      </c>
    </row>
    <row r="19" spans="1:17" x14ac:dyDescent="0.35">
      <c r="A19" s="2">
        <v>3</v>
      </c>
      <c r="B19" s="2" t="s">
        <v>15</v>
      </c>
      <c r="C19" s="2">
        <v>5</v>
      </c>
      <c r="D19" s="2" t="s">
        <v>9</v>
      </c>
      <c r="E19" s="2">
        <v>40.090000000000003</v>
      </c>
      <c r="F19" s="2">
        <v>-76.39</v>
      </c>
      <c r="G19" s="2">
        <v>44.86</v>
      </c>
      <c r="H19" s="2">
        <v>-95.47</v>
      </c>
      <c r="I19" s="2">
        <f t="shared" si="0"/>
        <v>23.849999999999994</v>
      </c>
    </row>
    <row r="20" spans="1:17" x14ac:dyDescent="0.35">
      <c r="A20" s="2">
        <v>3</v>
      </c>
      <c r="B20" s="2" t="s">
        <v>15</v>
      </c>
      <c r="C20" s="2">
        <v>6</v>
      </c>
      <c r="D20" s="2" t="s">
        <v>10</v>
      </c>
      <c r="E20" s="2">
        <v>40.090000000000003</v>
      </c>
      <c r="F20" s="2">
        <v>-76.39</v>
      </c>
      <c r="G20" s="2">
        <v>39.97</v>
      </c>
      <c r="H20" s="2">
        <v>-106.95</v>
      </c>
      <c r="I20" s="2">
        <f t="shared" si="0"/>
        <v>30.680000000000007</v>
      </c>
      <c r="L20" s="2" t="s">
        <v>37</v>
      </c>
      <c r="M20" s="2" t="s">
        <v>38</v>
      </c>
      <c r="N20" s="2" t="s">
        <v>39</v>
      </c>
      <c r="O20" s="2" t="s">
        <v>40</v>
      </c>
    </row>
    <row r="21" spans="1:17" x14ac:dyDescent="0.35">
      <c r="A21" s="2">
        <v>4</v>
      </c>
      <c r="B21" s="2" t="s">
        <v>16</v>
      </c>
      <c r="C21" s="2">
        <v>1</v>
      </c>
      <c r="D21" s="2" t="s">
        <v>5</v>
      </c>
      <c r="E21" s="2">
        <v>31.8</v>
      </c>
      <c r="F21" s="2">
        <v>-80.39</v>
      </c>
      <c r="G21" s="2">
        <v>43.67</v>
      </c>
      <c r="H21" s="2">
        <v>-104.99</v>
      </c>
      <c r="I21" s="2">
        <f t="shared" si="0"/>
        <v>36.47</v>
      </c>
      <c r="L21">
        <v>0</v>
      </c>
      <c r="M21">
        <v>0</v>
      </c>
      <c r="N21">
        <v>0</v>
      </c>
      <c r="O21">
        <v>0</v>
      </c>
    </row>
    <row r="22" spans="1:17" x14ac:dyDescent="0.35">
      <c r="A22" s="2">
        <v>4</v>
      </c>
      <c r="B22" s="2" t="s">
        <v>16</v>
      </c>
      <c r="C22" s="2">
        <v>2</v>
      </c>
      <c r="D22" s="2" t="s">
        <v>6</v>
      </c>
      <c r="E22" s="2">
        <v>31.8</v>
      </c>
      <c r="F22" s="2">
        <v>-80.39</v>
      </c>
      <c r="G22" s="2">
        <v>27.47</v>
      </c>
      <c r="H22" s="2">
        <v>-103.35</v>
      </c>
      <c r="I22" s="2">
        <f t="shared" si="0"/>
        <v>27.289999999999996</v>
      </c>
    </row>
    <row r="23" spans="1:17" x14ac:dyDescent="0.35">
      <c r="A23" s="2">
        <v>4</v>
      </c>
      <c r="B23" s="2" t="s">
        <v>16</v>
      </c>
      <c r="C23" s="2">
        <v>3</v>
      </c>
      <c r="D23" s="2" t="s">
        <v>7</v>
      </c>
      <c r="E23" s="2">
        <v>31.8</v>
      </c>
      <c r="F23" s="2">
        <v>-80.39</v>
      </c>
      <c r="G23" s="2">
        <v>49.06</v>
      </c>
      <c r="H23" s="2">
        <v>-114.88</v>
      </c>
      <c r="I23" s="2">
        <f t="shared" si="0"/>
        <v>51.75</v>
      </c>
      <c r="K23" s="3" t="s">
        <v>32</v>
      </c>
      <c r="L23" s="15">
        <v>2040</v>
      </c>
      <c r="M23" s="15">
        <v>1216</v>
      </c>
      <c r="N23" s="15">
        <v>1615</v>
      </c>
      <c r="O23" s="15">
        <v>2331</v>
      </c>
    </row>
    <row r="24" spans="1:17" x14ac:dyDescent="0.35">
      <c r="A24" s="2">
        <v>4</v>
      </c>
      <c r="B24" s="2" t="s">
        <v>16</v>
      </c>
      <c r="C24" s="2">
        <v>4</v>
      </c>
      <c r="D24" s="2" t="s">
        <v>8</v>
      </c>
      <c r="E24" s="2">
        <v>31.8</v>
      </c>
      <c r="F24" s="2">
        <v>-80.39</v>
      </c>
      <c r="G24" s="2">
        <v>45.85</v>
      </c>
      <c r="H24" s="2">
        <v>-90.82</v>
      </c>
      <c r="I24" s="2">
        <f t="shared" si="0"/>
        <v>24.479999999999993</v>
      </c>
      <c r="K24" s="3" t="s">
        <v>33</v>
      </c>
      <c r="L24" s="16">
        <f>L23*L26</f>
        <v>2040</v>
      </c>
      <c r="M24" s="16">
        <f t="shared" ref="M24:O24" si="2">M23*M26</f>
        <v>0</v>
      </c>
      <c r="N24" s="16">
        <f t="shared" si="2"/>
        <v>0</v>
      </c>
      <c r="O24" s="16">
        <f t="shared" si="2"/>
        <v>0</v>
      </c>
    </row>
    <row r="25" spans="1:17" x14ac:dyDescent="0.35">
      <c r="A25" s="2">
        <v>4</v>
      </c>
      <c r="B25" s="2" t="s">
        <v>16</v>
      </c>
      <c r="C25" s="2">
        <v>5</v>
      </c>
      <c r="D25" s="2" t="s">
        <v>9</v>
      </c>
      <c r="E25" s="2">
        <v>31.8</v>
      </c>
      <c r="F25" s="2">
        <v>-80.39</v>
      </c>
      <c r="G25" s="2">
        <v>44.86</v>
      </c>
      <c r="H25" s="2">
        <v>-95.47</v>
      </c>
      <c r="I25" s="2">
        <f t="shared" si="0"/>
        <v>28.139999999999997</v>
      </c>
    </row>
    <row r="26" spans="1:17" x14ac:dyDescent="0.35">
      <c r="A26" s="2">
        <v>4</v>
      </c>
      <c r="B26" s="2" t="s">
        <v>16</v>
      </c>
      <c r="C26" s="2">
        <v>6</v>
      </c>
      <c r="D26" s="2" t="s">
        <v>10</v>
      </c>
      <c r="E26" s="2">
        <v>31.8</v>
      </c>
      <c r="F26" s="2">
        <v>-80.39</v>
      </c>
      <c r="G26" s="2">
        <v>39.97</v>
      </c>
      <c r="H26" s="2">
        <v>-106.95</v>
      </c>
      <c r="I26" s="2">
        <f t="shared" si="0"/>
        <v>34.730000000000004</v>
      </c>
      <c r="K26" s="3" t="s">
        <v>34</v>
      </c>
      <c r="L26" s="2">
        <v>1</v>
      </c>
      <c r="M26" s="2">
        <v>0</v>
      </c>
      <c r="N26" s="2">
        <v>0</v>
      </c>
      <c r="O26" s="2">
        <v>0</v>
      </c>
      <c r="P26" s="17">
        <f>SUM(L26:O26)</f>
        <v>1</v>
      </c>
      <c r="Q26" s="18">
        <f>SUMPRODUCT(L5:Q8,L14:Q17)+SUMPRODUCT(L23:O23,L26:O26)</f>
        <v>74792.070000000022</v>
      </c>
    </row>
    <row r="27" spans="1:17" x14ac:dyDescent="0.35">
      <c r="K27" s="3" t="s">
        <v>35</v>
      </c>
      <c r="L27" s="2">
        <f>R5-(L26*L28)</f>
        <v>0</v>
      </c>
      <c r="M27" s="2">
        <f>R6-(M26*M28)</f>
        <v>0</v>
      </c>
      <c r="N27" s="2">
        <f>R7-(N26*N28)</f>
        <v>0</v>
      </c>
      <c r="O27" s="2">
        <f>R8-(O26*O28)</f>
        <v>0</v>
      </c>
    </row>
    <row r="28" spans="1:17" x14ac:dyDescent="0.35">
      <c r="K28" s="3" t="s">
        <v>36</v>
      </c>
      <c r="L28" s="19">
        <v>4069</v>
      </c>
      <c r="M28" s="19">
        <v>4069</v>
      </c>
      <c r="N28" s="19">
        <v>4069</v>
      </c>
      <c r="O28" s="19">
        <v>4069</v>
      </c>
    </row>
    <row r="37" spans="12:12" x14ac:dyDescent="0.35">
      <c r="L37" s="2"/>
    </row>
  </sheetData>
  <mergeCells count="2"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817F-BC6C-46BF-AA66-CBBA268D5465}">
  <dimension ref="A2:R37"/>
  <sheetViews>
    <sheetView tabSelected="1" topLeftCell="B1" workbookViewId="0">
      <selection activeCell="I34" sqref="I34"/>
    </sheetView>
  </sheetViews>
  <sheetFormatPr defaultRowHeight="14.5" x14ac:dyDescent="0.35"/>
  <cols>
    <col min="1" max="1" width="10.36328125" bestFit="1" customWidth="1"/>
    <col min="2" max="2" width="19.54296875" bestFit="1" customWidth="1"/>
    <col min="3" max="3" width="11.90625" bestFit="1" customWidth="1"/>
    <col min="4" max="4" width="19.36328125" bestFit="1" customWidth="1"/>
    <col min="11" max="11" width="11.08984375" bestFit="1" customWidth="1"/>
    <col min="12" max="15" width="11.36328125" bestFit="1" customWidth="1"/>
    <col min="17" max="17" width="11.1796875" bestFit="1" customWidth="1"/>
  </cols>
  <sheetData>
    <row r="2" spans="1:18" x14ac:dyDescent="0.35">
      <c r="A2" s="20" t="s">
        <v>21</v>
      </c>
      <c r="B2" s="20"/>
      <c r="C2" s="20" t="s">
        <v>22</v>
      </c>
      <c r="D2" s="20"/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18" ht="15" thickBot="1" x14ac:dyDescent="0.4">
      <c r="A3" s="2">
        <v>1</v>
      </c>
      <c r="B3" s="2" t="s">
        <v>13</v>
      </c>
      <c r="C3" s="2">
        <v>1</v>
      </c>
      <c r="D3" s="2" t="s">
        <v>5</v>
      </c>
      <c r="E3" s="2">
        <v>35.42</v>
      </c>
      <c r="F3" s="2">
        <v>-110.29</v>
      </c>
      <c r="G3" s="2">
        <v>43.67</v>
      </c>
      <c r="H3" s="2">
        <v>-104.99</v>
      </c>
      <c r="I3" s="2">
        <f>ABS(E3-G3)+ABS(F3-H3)</f>
        <v>13.550000000000011</v>
      </c>
    </row>
    <row r="4" spans="1:18" x14ac:dyDescent="0.35">
      <c r="A4" s="2">
        <v>1</v>
      </c>
      <c r="B4" s="2" t="s">
        <v>13</v>
      </c>
      <c r="C4" s="2">
        <v>2</v>
      </c>
      <c r="D4" s="2" t="s">
        <v>6</v>
      </c>
      <c r="E4" s="2">
        <v>35.42</v>
      </c>
      <c r="F4" s="2">
        <v>-110.29</v>
      </c>
      <c r="G4" s="2">
        <v>27.47</v>
      </c>
      <c r="H4" s="2">
        <v>-103.35</v>
      </c>
      <c r="I4" s="2">
        <f t="shared" ref="I4:I26" si="0">ABS(E4-G4)+ABS(F4-H4)</f>
        <v>14.890000000000015</v>
      </c>
      <c r="K4" s="3" t="s">
        <v>28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11">
        <v>6</v>
      </c>
      <c r="R4" s="12" t="s">
        <v>31</v>
      </c>
    </row>
    <row r="5" spans="1:18" x14ac:dyDescent="0.35">
      <c r="A5" s="2">
        <v>1</v>
      </c>
      <c r="B5" s="2" t="s">
        <v>13</v>
      </c>
      <c r="C5" s="2">
        <v>3</v>
      </c>
      <c r="D5" s="2" t="s">
        <v>7</v>
      </c>
      <c r="E5" s="2">
        <v>35.42</v>
      </c>
      <c r="F5" s="2">
        <v>-110.29</v>
      </c>
      <c r="G5" s="2">
        <v>49.06</v>
      </c>
      <c r="H5" s="2">
        <v>-114.88</v>
      </c>
      <c r="I5" s="2">
        <f t="shared" si="0"/>
        <v>18.22999999999999</v>
      </c>
      <c r="K5" s="3">
        <v>1</v>
      </c>
      <c r="L5" s="2">
        <v>869</v>
      </c>
      <c r="M5" s="2">
        <v>800</v>
      </c>
      <c r="N5" s="2">
        <v>519</v>
      </c>
      <c r="O5" s="2">
        <v>0</v>
      </c>
      <c r="P5" s="2">
        <v>0</v>
      </c>
      <c r="Q5" s="2">
        <v>615</v>
      </c>
      <c r="R5" s="13">
        <f>SUM(L5:Q5)</f>
        <v>2803</v>
      </c>
    </row>
    <row r="6" spans="1:18" x14ac:dyDescent="0.35">
      <c r="A6" s="2">
        <v>1</v>
      </c>
      <c r="B6" s="2" t="s">
        <v>13</v>
      </c>
      <c r="C6" s="2">
        <v>4</v>
      </c>
      <c r="D6" s="2" t="s">
        <v>8</v>
      </c>
      <c r="E6" s="2">
        <v>35.42</v>
      </c>
      <c r="F6" s="2">
        <v>-110.29</v>
      </c>
      <c r="G6" s="2">
        <v>45.85</v>
      </c>
      <c r="H6" s="2">
        <v>-90.82</v>
      </c>
      <c r="I6" s="2">
        <f t="shared" si="0"/>
        <v>29.900000000000013</v>
      </c>
      <c r="K6" s="3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13">
        <f>SUM(L6:Q6)</f>
        <v>0</v>
      </c>
    </row>
    <row r="7" spans="1:18" x14ac:dyDescent="0.35">
      <c r="A7" s="2">
        <v>1</v>
      </c>
      <c r="B7" s="2" t="s">
        <v>13</v>
      </c>
      <c r="C7" s="2">
        <v>5</v>
      </c>
      <c r="D7" s="2" t="s">
        <v>9</v>
      </c>
      <c r="E7" s="2">
        <v>35.42</v>
      </c>
      <c r="F7" s="2">
        <v>-110.29</v>
      </c>
      <c r="G7" s="2">
        <v>44.86</v>
      </c>
      <c r="H7" s="2">
        <v>-95.47</v>
      </c>
      <c r="I7" s="2">
        <f t="shared" si="0"/>
        <v>24.260000000000005</v>
      </c>
      <c r="K7" s="3">
        <v>3</v>
      </c>
      <c r="L7" s="2">
        <v>0</v>
      </c>
      <c r="M7" s="2">
        <v>0</v>
      </c>
      <c r="N7" s="2">
        <v>0</v>
      </c>
      <c r="O7" s="2">
        <v>716</v>
      </c>
      <c r="P7" s="2">
        <v>550</v>
      </c>
      <c r="Q7" s="2">
        <v>0</v>
      </c>
      <c r="R7" s="13">
        <f>SUM(L7:Q7)</f>
        <v>1266</v>
      </c>
    </row>
    <row r="8" spans="1:18" ht="15" thickBot="1" x14ac:dyDescent="0.4">
      <c r="A8" s="2">
        <v>1</v>
      </c>
      <c r="B8" s="2" t="s">
        <v>13</v>
      </c>
      <c r="C8" s="2">
        <v>6</v>
      </c>
      <c r="D8" s="2" t="s">
        <v>10</v>
      </c>
      <c r="E8" s="2">
        <v>35.42</v>
      </c>
      <c r="F8" s="2">
        <v>-110.29</v>
      </c>
      <c r="G8" s="2">
        <v>39.97</v>
      </c>
      <c r="H8" s="2">
        <v>-106.95</v>
      </c>
      <c r="I8" s="2">
        <f t="shared" si="0"/>
        <v>7.8900000000000006</v>
      </c>
      <c r="K8" s="5">
        <v>4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14">
        <f>SUM(L8:Q8)</f>
        <v>0</v>
      </c>
    </row>
    <row r="9" spans="1:18" x14ac:dyDescent="0.35">
      <c r="A9" s="2">
        <v>2</v>
      </c>
      <c r="B9" s="2" t="s">
        <v>14</v>
      </c>
      <c r="C9" s="2">
        <v>1</v>
      </c>
      <c r="D9" s="2" t="s">
        <v>5</v>
      </c>
      <c r="E9" s="2">
        <v>41.86</v>
      </c>
      <c r="F9" s="2">
        <v>-71.13</v>
      </c>
      <c r="G9" s="2">
        <v>43.67</v>
      </c>
      <c r="H9" s="2">
        <v>-104.99</v>
      </c>
      <c r="I9" s="2">
        <f t="shared" si="0"/>
        <v>35.67</v>
      </c>
      <c r="K9" s="6" t="s">
        <v>30</v>
      </c>
      <c r="L9" s="7">
        <f>SUM(L5:L8)</f>
        <v>869</v>
      </c>
      <c r="M9" s="7">
        <f t="shared" ref="M9:Q9" si="1">SUM(M5:M8)</f>
        <v>800</v>
      </c>
      <c r="N9" s="7">
        <f t="shared" si="1"/>
        <v>519</v>
      </c>
      <c r="O9" s="7">
        <f t="shared" si="1"/>
        <v>716</v>
      </c>
      <c r="P9" s="7">
        <f t="shared" si="1"/>
        <v>550</v>
      </c>
      <c r="Q9" s="7">
        <f t="shared" si="1"/>
        <v>615</v>
      </c>
      <c r="R9" s="8"/>
    </row>
    <row r="10" spans="1:18" ht="15" thickBot="1" x14ac:dyDescent="0.4">
      <c r="A10" s="2">
        <v>2</v>
      </c>
      <c r="B10" s="2" t="s">
        <v>14</v>
      </c>
      <c r="C10" s="2">
        <v>2</v>
      </c>
      <c r="D10" s="2" t="s">
        <v>6</v>
      </c>
      <c r="E10" s="2">
        <v>41.86</v>
      </c>
      <c r="F10" s="2">
        <v>-71.13</v>
      </c>
      <c r="G10" s="2">
        <v>27.47</v>
      </c>
      <c r="H10" s="2">
        <v>-103.35</v>
      </c>
      <c r="I10" s="2">
        <f t="shared" si="0"/>
        <v>46.61</v>
      </c>
      <c r="K10" s="9" t="s">
        <v>29</v>
      </c>
      <c r="L10" s="4">
        <v>869</v>
      </c>
      <c r="M10" s="4">
        <v>800</v>
      </c>
      <c r="N10" s="4">
        <v>519</v>
      </c>
      <c r="O10" s="4">
        <v>716</v>
      </c>
      <c r="P10" s="4">
        <v>550</v>
      </c>
      <c r="Q10" s="4">
        <v>615</v>
      </c>
      <c r="R10" s="10">
        <f>SUM(L10:Q10)</f>
        <v>4069</v>
      </c>
    </row>
    <row r="11" spans="1:18" x14ac:dyDescent="0.35">
      <c r="A11" s="2">
        <v>2</v>
      </c>
      <c r="B11" s="2" t="s">
        <v>14</v>
      </c>
      <c r="C11" s="2">
        <v>3</v>
      </c>
      <c r="D11" s="2" t="s">
        <v>7</v>
      </c>
      <c r="E11" s="2">
        <v>41.86</v>
      </c>
      <c r="F11" s="2">
        <v>-71.13</v>
      </c>
      <c r="G11" s="2">
        <v>49.06</v>
      </c>
      <c r="H11" s="2">
        <v>-114.88</v>
      </c>
      <c r="I11" s="2">
        <f t="shared" si="0"/>
        <v>50.95</v>
      </c>
    </row>
    <row r="12" spans="1:18" x14ac:dyDescent="0.35">
      <c r="A12" s="2">
        <v>2</v>
      </c>
      <c r="B12" s="2" t="s">
        <v>14</v>
      </c>
      <c r="C12" s="2">
        <v>4</v>
      </c>
      <c r="D12" s="2" t="s">
        <v>8</v>
      </c>
      <c r="E12" s="2">
        <v>41.86</v>
      </c>
      <c r="F12" s="2">
        <v>-71.13</v>
      </c>
      <c r="G12" s="2">
        <v>45.85</v>
      </c>
      <c r="H12" s="2">
        <v>-90.82</v>
      </c>
      <c r="I12" s="2">
        <f t="shared" si="0"/>
        <v>23.68</v>
      </c>
    </row>
    <row r="13" spans="1:18" x14ac:dyDescent="0.35">
      <c r="A13" s="2">
        <v>2</v>
      </c>
      <c r="B13" s="2" t="s">
        <v>14</v>
      </c>
      <c r="C13" s="2">
        <v>5</v>
      </c>
      <c r="D13" s="2" t="s">
        <v>9</v>
      </c>
      <c r="E13" s="2">
        <v>41.86</v>
      </c>
      <c r="F13" s="2">
        <v>-71.13</v>
      </c>
      <c r="G13" s="2">
        <v>44.86</v>
      </c>
      <c r="H13" s="2">
        <v>-95.47</v>
      </c>
      <c r="I13" s="2">
        <f t="shared" si="0"/>
        <v>27.340000000000003</v>
      </c>
      <c r="K13" s="3" t="s">
        <v>28</v>
      </c>
      <c r="L13" s="3">
        <v>1</v>
      </c>
      <c r="M13" s="3">
        <v>2</v>
      </c>
      <c r="N13" s="3">
        <v>3</v>
      </c>
      <c r="O13" s="3">
        <v>4</v>
      </c>
      <c r="P13" s="3">
        <v>5</v>
      </c>
      <c r="Q13" s="11">
        <v>6</v>
      </c>
    </row>
    <row r="14" spans="1:18" x14ac:dyDescent="0.35">
      <c r="A14" s="2">
        <v>2</v>
      </c>
      <c r="B14" s="2" t="s">
        <v>14</v>
      </c>
      <c r="C14" s="2">
        <v>6</v>
      </c>
      <c r="D14" s="2" t="s">
        <v>10</v>
      </c>
      <c r="E14" s="2">
        <v>41.86</v>
      </c>
      <c r="F14" s="2">
        <v>-71.13</v>
      </c>
      <c r="G14" s="2">
        <v>39.97</v>
      </c>
      <c r="H14" s="2">
        <v>-106.95</v>
      </c>
      <c r="I14" s="2">
        <f t="shared" si="0"/>
        <v>37.710000000000008</v>
      </c>
      <c r="K14" s="3">
        <v>1</v>
      </c>
      <c r="L14" s="17">
        <f>13.55*30</f>
        <v>406.5</v>
      </c>
      <c r="M14" s="17">
        <f>14.89*30</f>
        <v>446.70000000000005</v>
      </c>
      <c r="N14" s="17">
        <f>18.23*30</f>
        <v>546.9</v>
      </c>
      <c r="O14" s="17">
        <f>29.9*30</f>
        <v>897</v>
      </c>
      <c r="P14" s="17">
        <f>24.26*30</f>
        <v>727.80000000000007</v>
      </c>
      <c r="Q14" s="17">
        <f>7.89*30</f>
        <v>236.7</v>
      </c>
    </row>
    <row r="15" spans="1:18" x14ac:dyDescent="0.35">
      <c r="A15" s="2">
        <v>3</v>
      </c>
      <c r="B15" s="2" t="s">
        <v>15</v>
      </c>
      <c r="C15" s="2">
        <v>1</v>
      </c>
      <c r="D15" s="2" t="s">
        <v>5</v>
      </c>
      <c r="E15" s="2">
        <v>40.090000000000003</v>
      </c>
      <c r="F15" s="2">
        <v>-76.39</v>
      </c>
      <c r="G15" s="2">
        <v>43.67</v>
      </c>
      <c r="H15" s="2">
        <v>-104.99</v>
      </c>
      <c r="I15" s="2">
        <f t="shared" si="0"/>
        <v>32.179999999999993</v>
      </c>
      <c r="K15" s="3">
        <v>2</v>
      </c>
      <c r="L15" s="17">
        <f>35.67*30</f>
        <v>1070.1000000000001</v>
      </c>
      <c r="M15" s="17">
        <f>46.61*30</f>
        <v>1398.3</v>
      </c>
      <c r="N15" s="17">
        <f>50.95*30</f>
        <v>1528.5</v>
      </c>
      <c r="O15" s="17">
        <f>23.68*30</f>
        <v>710.4</v>
      </c>
      <c r="P15" s="17">
        <f>27.34*30</f>
        <v>820.2</v>
      </c>
      <c r="Q15" s="17">
        <f>37.71*30</f>
        <v>1131.3</v>
      </c>
    </row>
    <row r="16" spans="1:18" x14ac:dyDescent="0.35">
      <c r="A16" s="2">
        <v>3</v>
      </c>
      <c r="B16" s="2" t="s">
        <v>15</v>
      </c>
      <c r="C16" s="2">
        <v>2</v>
      </c>
      <c r="D16" s="2" t="s">
        <v>6</v>
      </c>
      <c r="E16" s="2">
        <v>40.090000000000003</v>
      </c>
      <c r="F16" s="2">
        <v>-76.39</v>
      </c>
      <c r="G16" s="2">
        <v>27.47</v>
      </c>
      <c r="H16" s="2">
        <v>-103.35</v>
      </c>
      <c r="I16" s="2">
        <f t="shared" si="0"/>
        <v>39.58</v>
      </c>
      <c r="K16" s="3">
        <v>3</v>
      </c>
      <c r="L16" s="17">
        <f>32.18*30</f>
        <v>965.4</v>
      </c>
      <c r="M16" s="17">
        <f>39.58*30</f>
        <v>1187.3999999999999</v>
      </c>
      <c r="N16" s="17">
        <f>47.56*30</f>
        <v>1426.8000000000002</v>
      </c>
      <c r="O16" s="17">
        <f>20.19*30</f>
        <v>605.70000000000005</v>
      </c>
      <c r="P16" s="17">
        <f>23.85*30</f>
        <v>715.5</v>
      </c>
      <c r="Q16" s="17">
        <f>30.68*30</f>
        <v>920.4</v>
      </c>
    </row>
    <row r="17" spans="1:17" x14ac:dyDescent="0.35">
      <c r="A17" s="2">
        <v>3</v>
      </c>
      <c r="B17" s="2" t="s">
        <v>15</v>
      </c>
      <c r="C17" s="2">
        <v>3</v>
      </c>
      <c r="D17" s="2" t="s">
        <v>7</v>
      </c>
      <c r="E17" s="2">
        <v>40.090000000000003</v>
      </c>
      <c r="F17" s="2">
        <v>-76.39</v>
      </c>
      <c r="G17" s="2">
        <v>49.06</v>
      </c>
      <c r="H17" s="2">
        <v>-114.88</v>
      </c>
      <c r="I17" s="2">
        <f t="shared" si="0"/>
        <v>47.459999999999994</v>
      </c>
      <c r="K17" s="3">
        <v>4</v>
      </c>
      <c r="L17" s="17">
        <f>36.47*30</f>
        <v>1094.0999999999999</v>
      </c>
      <c r="M17" s="17">
        <f>27.29*30</f>
        <v>818.69999999999993</v>
      </c>
      <c r="N17" s="17">
        <f>51.75*30</f>
        <v>1552.5</v>
      </c>
      <c r="O17" s="17">
        <f>24.48*30</f>
        <v>734.4</v>
      </c>
      <c r="P17" s="17">
        <f>28.14*30</f>
        <v>844.2</v>
      </c>
      <c r="Q17" s="17">
        <f>34.73*30</f>
        <v>1041.8999999999999</v>
      </c>
    </row>
    <row r="18" spans="1:17" x14ac:dyDescent="0.35">
      <c r="A18" s="2">
        <v>3</v>
      </c>
      <c r="B18" s="2" t="s">
        <v>15</v>
      </c>
      <c r="C18" s="2">
        <v>4</v>
      </c>
      <c r="D18" s="2" t="s">
        <v>8</v>
      </c>
      <c r="E18" s="2">
        <v>40.090000000000003</v>
      </c>
      <c r="F18" s="2">
        <v>-76.39</v>
      </c>
      <c r="G18" s="2">
        <v>45.85</v>
      </c>
      <c r="H18" s="2">
        <v>-90.82</v>
      </c>
      <c r="I18" s="2">
        <f t="shared" si="0"/>
        <v>20.189999999999991</v>
      </c>
    </row>
    <row r="19" spans="1:17" x14ac:dyDescent="0.35">
      <c r="A19" s="2">
        <v>3</v>
      </c>
      <c r="B19" s="2" t="s">
        <v>15</v>
      </c>
      <c r="C19" s="2">
        <v>5</v>
      </c>
      <c r="D19" s="2" t="s">
        <v>9</v>
      </c>
      <c r="E19" s="2">
        <v>40.090000000000003</v>
      </c>
      <c r="F19" s="2">
        <v>-76.39</v>
      </c>
      <c r="G19" s="2">
        <v>44.86</v>
      </c>
      <c r="H19" s="2">
        <v>-95.47</v>
      </c>
      <c r="I19" s="2">
        <f t="shared" si="0"/>
        <v>23.849999999999994</v>
      </c>
    </row>
    <row r="20" spans="1:17" x14ac:dyDescent="0.35">
      <c r="A20" s="2">
        <v>3</v>
      </c>
      <c r="B20" s="2" t="s">
        <v>15</v>
      </c>
      <c r="C20" s="2">
        <v>6</v>
      </c>
      <c r="D20" s="2" t="s">
        <v>10</v>
      </c>
      <c r="E20" s="2">
        <v>40.090000000000003</v>
      </c>
      <c r="F20" s="2">
        <v>-76.39</v>
      </c>
      <c r="G20" s="2">
        <v>39.97</v>
      </c>
      <c r="H20" s="2">
        <v>-106.95</v>
      </c>
      <c r="I20" s="2">
        <f t="shared" si="0"/>
        <v>30.680000000000007</v>
      </c>
      <c r="L20" s="2" t="s">
        <v>37</v>
      </c>
      <c r="M20" s="2" t="s">
        <v>38</v>
      </c>
      <c r="N20" s="2" t="s">
        <v>39</v>
      </c>
      <c r="O20" s="2" t="s">
        <v>40</v>
      </c>
    </row>
    <row r="21" spans="1:17" x14ac:dyDescent="0.35">
      <c r="A21" s="2">
        <v>4</v>
      </c>
      <c r="B21" s="2" t="s">
        <v>16</v>
      </c>
      <c r="C21" s="2">
        <v>1</v>
      </c>
      <c r="D21" s="2" t="s">
        <v>5</v>
      </c>
      <c r="E21" s="2">
        <v>31.8</v>
      </c>
      <c r="F21" s="2">
        <v>-80.39</v>
      </c>
      <c r="G21" s="2">
        <v>43.67</v>
      </c>
      <c r="H21" s="2">
        <v>-104.99</v>
      </c>
      <c r="I21" s="2">
        <f t="shared" si="0"/>
        <v>36.47</v>
      </c>
      <c r="L21">
        <v>0</v>
      </c>
      <c r="M21">
        <v>0</v>
      </c>
      <c r="N21">
        <v>0</v>
      </c>
      <c r="O21">
        <v>0</v>
      </c>
    </row>
    <row r="22" spans="1:17" x14ac:dyDescent="0.35">
      <c r="A22" s="2">
        <v>4</v>
      </c>
      <c r="B22" s="2" t="s">
        <v>16</v>
      </c>
      <c r="C22" s="2">
        <v>2</v>
      </c>
      <c r="D22" s="2" t="s">
        <v>6</v>
      </c>
      <c r="E22" s="2">
        <v>31.8</v>
      </c>
      <c r="F22" s="2">
        <v>-80.39</v>
      </c>
      <c r="G22" s="2">
        <v>27.47</v>
      </c>
      <c r="H22" s="2">
        <v>-103.35</v>
      </c>
      <c r="I22" s="2">
        <f t="shared" si="0"/>
        <v>27.289999999999996</v>
      </c>
    </row>
    <row r="23" spans="1:17" x14ac:dyDescent="0.35">
      <c r="A23" s="2">
        <v>4</v>
      </c>
      <c r="B23" s="2" t="s">
        <v>16</v>
      </c>
      <c r="C23" s="2">
        <v>3</v>
      </c>
      <c r="D23" s="2" t="s">
        <v>7</v>
      </c>
      <c r="E23" s="2">
        <v>31.8</v>
      </c>
      <c r="F23" s="2">
        <v>-80.39</v>
      </c>
      <c r="G23" s="2">
        <v>49.06</v>
      </c>
      <c r="H23" s="2">
        <v>-114.88</v>
      </c>
      <c r="I23" s="2">
        <f t="shared" si="0"/>
        <v>51.75</v>
      </c>
      <c r="K23" s="3" t="s">
        <v>32</v>
      </c>
      <c r="L23" s="15">
        <v>2040</v>
      </c>
      <c r="M23" s="15">
        <v>1216</v>
      </c>
      <c r="N23" s="15">
        <v>1615</v>
      </c>
      <c r="O23" s="15">
        <v>2331</v>
      </c>
    </row>
    <row r="24" spans="1:17" x14ac:dyDescent="0.35">
      <c r="A24" s="2">
        <v>4</v>
      </c>
      <c r="B24" s="2" t="s">
        <v>16</v>
      </c>
      <c r="C24" s="2">
        <v>4</v>
      </c>
      <c r="D24" s="2" t="s">
        <v>8</v>
      </c>
      <c r="E24" s="2">
        <v>31.8</v>
      </c>
      <c r="F24" s="2">
        <v>-80.39</v>
      </c>
      <c r="G24" s="2">
        <v>45.85</v>
      </c>
      <c r="H24" s="2">
        <v>-90.82</v>
      </c>
      <c r="I24" s="2">
        <f t="shared" si="0"/>
        <v>24.479999999999993</v>
      </c>
      <c r="K24" s="3" t="s">
        <v>33</v>
      </c>
      <c r="L24" s="16">
        <f>L23*L26</f>
        <v>2040</v>
      </c>
      <c r="M24" s="16">
        <f t="shared" ref="M24:O24" si="2">M23*M26</f>
        <v>0</v>
      </c>
      <c r="N24" s="16">
        <f t="shared" si="2"/>
        <v>1615</v>
      </c>
      <c r="O24" s="16">
        <f t="shared" si="2"/>
        <v>0</v>
      </c>
    </row>
    <row r="25" spans="1:17" x14ac:dyDescent="0.35">
      <c r="A25" s="2">
        <v>4</v>
      </c>
      <c r="B25" s="2" t="s">
        <v>16</v>
      </c>
      <c r="C25" s="2">
        <v>5</v>
      </c>
      <c r="D25" s="2" t="s">
        <v>9</v>
      </c>
      <c r="E25" s="2">
        <v>31.8</v>
      </c>
      <c r="F25" s="2">
        <v>-80.39</v>
      </c>
      <c r="G25" s="2">
        <v>44.86</v>
      </c>
      <c r="H25" s="2">
        <v>-95.47</v>
      </c>
      <c r="I25" s="2">
        <f t="shared" si="0"/>
        <v>28.139999999999997</v>
      </c>
    </row>
    <row r="26" spans="1:17" x14ac:dyDescent="0.35">
      <c r="A26" s="2">
        <v>4</v>
      </c>
      <c r="B26" s="2" t="s">
        <v>16</v>
      </c>
      <c r="C26" s="2">
        <v>6</v>
      </c>
      <c r="D26" s="2" t="s">
        <v>10</v>
      </c>
      <c r="E26" s="2">
        <v>31.8</v>
      </c>
      <c r="F26" s="2">
        <v>-80.39</v>
      </c>
      <c r="G26" s="2">
        <v>39.97</v>
      </c>
      <c r="H26" s="2">
        <v>-106.95</v>
      </c>
      <c r="I26" s="2">
        <f t="shared" si="0"/>
        <v>34.730000000000004</v>
      </c>
      <c r="K26" s="3" t="s">
        <v>34</v>
      </c>
      <c r="L26" s="2">
        <v>1</v>
      </c>
      <c r="M26" s="2">
        <v>0</v>
      </c>
      <c r="N26" s="2">
        <v>1</v>
      </c>
      <c r="O26" s="2">
        <v>0</v>
      </c>
      <c r="P26" s="17">
        <f>SUM(L26:O26)</f>
        <v>2</v>
      </c>
      <c r="Q26" s="18">
        <f>SUMPRODUCT(L5:Q8,L14:Q17)+SUMPRODUCT(L23:O23,L26:O26)</f>
        <v>1970881.3</v>
      </c>
    </row>
    <row r="27" spans="1:17" x14ac:dyDescent="0.35">
      <c r="K27" s="3" t="s">
        <v>35</v>
      </c>
      <c r="L27" s="2">
        <f>R5-(L26*L28)</f>
        <v>-1266</v>
      </c>
      <c r="M27" s="2">
        <f>R6-(M26*M28)</f>
        <v>0</v>
      </c>
      <c r="N27" s="2">
        <f>R7-(N26*N28)</f>
        <v>-2803</v>
      </c>
      <c r="O27" s="2">
        <f>R8-(O26*O28)</f>
        <v>0</v>
      </c>
    </row>
    <row r="28" spans="1:17" x14ac:dyDescent="0.35">
      <c r="K28" s="3" t="s">
        <v>36</v>
      </c>
      <c r="L28" s="19">
        <v>4069</v>
      </c>
      <c r="M28" s="19">
        <v>4069</v>
      </c>
      <c r="N28" s="19">
        <v>4069</v>
      </c>
      <c r="O28" s="19">
        <v>4069</v>
      </c>
    </row>
    <row r="37" spans="12:12" x14ac:dyDescent="0.35">
      <c r="L37" s="2"/>
    </row>
  </sheetData>
  <mergeCells count="2">
    <mergeCell ref="A2:B2"/>
    <mergeCell ref="C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3" ma:contentTypeDescription="Create a new document." ma:contentTypeScope="" ma:versionID="98b00eda3bae0bc0dd3dedc11aeccb8e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8770509aad491fd78f3c8932feb8118a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Props1.xml><?xml version="1.0" encoding="utf-8"?>
<ds:datastoreItem xmlns:ds="http://schemas.openxmlformats.org/officeDocument/2006/customXml" ds:itemID="{D769688C-E33E-4DEA-9B0D-12594AA33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C3885F-98EC-46AC-B245-B5CC744E58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A552D9-02A4-40E2-8E27-7433A79A01BE}">
  <ds:schemaRefs>
    <ds:schemaRef ds:uri="53260887-8d8e-4892-808b-78d7f57b138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c709f8-2985-4fa4-82e2-60efa68dfdca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 File</vt:lpstr>
      <vt:lpstr>Model</vt:lpstr>
      <vt:lpstr>Model w Stipulation 1 </vt:lpstr>
      <vt:lpstr>Model w Stipulation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2025-04-09T22:25:22Z</dcterms:created>
  <dcterms:modified xsi:type="dcterms:W3CDTF">2025-04-18T18:49:05Z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