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1A647AB3-368A-4254-9161-0C040E9FD0CE}" xr6:coauthVersionLast="47" xr6:coauthVersionMax="47" xr10:uidLastSave="{00000000-0000-0000-0000-000000000000}"/>
  <bookViews>
    <workbookView xWindow="680" yWindow="680" windowWidth="19180" windowHeight="10080" activeTab="4" xr2:uid="{FE0E02DF-18C8-49A4-AC00-DFB65E19E3B0}"/>
  </bookViews>
  <sheets>
    <sheet name="Chart" sheetId="7" r:id="rId1"/>
    <sheet name="Past Demand and Production" sheetId="1" r:id="rId2"/>
    <sheet name="Constraints " sheetId="2" r:id="rId3"/>
    <sheet name="PivotTable" sheetId="5" r:id="rId4"/>
    <sheet name="PivotTable (2)" sheetId="8" r:id="rId5"/>
  </sheets>
  <definedNames>
    <definedName name="solver_adj" localSheetId="3" hidden="1">PivotTable!$C$16:$F$16</definedName>
    <definedName name="solver_adj" localSheetId="4" hidden="1">'PivotTable (2)'!$C$16:$F$16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PivotTable!$C$16:$F$16</definedName>
    <definedName name="solver_lhs1" localSheetId="4" hidden="1">'PivotTable (2)'!$C$18:$F$18</definedName>
    <definedName name="solver_lhs2" localSheetId="3" hidden="1">PivotTable!$C$18:$F$18</definedName>
    <definedName name="solver_lhs2" localSheetId="4" hidden="1">'PivotTable (2)'!$C$18:$F$18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1</definedName>
    <definedName name="solver_nwt" localSheetId="3" hidden="1">1</definedName>
    <definedName name="solver_nwt" localSheetId="4" hidden="1">1</definedName>
    <definedName name="solver_opt" localSheetId="3" hidden="1">PivotTable!$F$32</definedName>
    <definedName name="solver_opt" localSheetId="4" hidden="1">'PivotTable (2)'!$F$32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3</definedName>
    <definedName name="solver_rel2" localSheetId="3" hidden="1">3</definedName>
    <definedName name="solver_rel2" localSheetId="4" hidden="1">3</definedName>
    <definedName name="solver_rhs1" localSheetId="3" hidden="1">PivotTable!$C$20:$F$20</definedName>
    <definedName name="solver_rhs1" localSheetId="4" hidden="1">'PivotTable (2)'!$C$22:$F$22</definedName>
    <definedName name="solver_rhs2" localSheetId="3" hidden="1">PivotTable!$C$22:$F$22</definedName>
    <definedName name="solver_rhs2" localSheetId="4" hidden="1">'PivotTable (2)'!$C$22:$F$22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5" l="1"/>
  <c r="E26" i="5"/>
  <c r="D26" i="5"/>
  <c r="C26" i="5"/>
  <c r="F22" i="5"/>
  <c r="E22" i="5"/>
  <c r="D22" i="5"/>
  <c r="C22" i="5"/>
  <c r="F20" i="5"/>
  <c r="E20" i="5"/>
  <c r="D20" i="5"/>
  <c r="C20" i="5"/>
  <c r="F17" i="5"/>
  <c r="E17" i="5"/>
  <c r="D17" i="5"/>
  <c r="C17" i="5"/>
  <c r="C20" i="8"/>
  <c r="C17" i="8"/>
  <c r="F26" i="8"/>
  <c r="F22" i="8"/>
  <c r="E26" i="8"/>
  <c r="E22" i="8"/>
  <c r="D26" i="8"/>
  <c r="D22" i="8"/>
  <c r="C26" i="8"/>
  <c r="F20" i="8"/>
  <c r="F17" i="8"/>
  <c r="E20" i="8"/>
  <c r="E17" i="8"/>
  <c r="D20" i="8"/>
  <c r="D17" i="8"/>
  <c r="C22" i="8"/>
  <c r="C29" i="8" l="1"/>
  <c r="D29" i="8"/>
  <c r="E29" i="8"/>
  <c r="F29" i="8"/>
  <c r="C18" i="8"/>
  <c r="C29" i="5"/>
  <c r="D29" i="5"/>
  <c r="E29" i="5"/>
  <c r="F29" i="5"/>
  <c r="C18" i="5"/>
  <c r="C24" i="8" l="1"/>
  <c r="C30" i="8" s="1"/>
  <c r="D15" i="8"/>
  <c r="D15" i="5"/>
  <c r="C24" i="5"/>
  <c r="C30" i="5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D18" i="8" l="1"/>
  <c r="E15" i="8" s="1"/>
  <c r="D18" i="5"/>
  <c r="E15" i="5" s="1"/>
  <c r="D24" i="8" l="1"/>
  <c r="D30" i="8" s="1"/>
  <c r="E18" i="8"/>
  <c r="F15" i="8" s="1"/>
  <c r="D24" i="5"/>
  <c r="D30" i="5" s="1"/>
  <c r="E18" i="5"/>
  <c r="F15" i="5" s="1"/>
  <c r="E24" i="8" l="1"/>
  <c r="E30" i="8" s="1"/>
  <c r="F18" i="8"/>
  <c r="F24" i="8" s="1"/>
  <c r="F30" i="8" s="1"/>
  <c r="E24" i="5"/>
  <c r="E30" i="5" s="1"/>
  <c r="F18" i="5"/>
  <c r="F24" i="5" s="1"/>
  <c r="F30" i="5" s="1"/>
  <c r="F32" i="5" s="1"/>
  <c r="F32" i="8" l="1"/>
</calcChain>
</file>

<file path=xl/sharedStrings.xml><?xml version="1.0" encoding="utf-8"?>
<sst xmlns="http://schemas.openxmlformats.org/spreadsheetml/2006/main" count="50" uniqueCount="28">
  <si>
    <t>year</t>
  </si>
  <si>
    <t>quarter</t>
  </si>
  <si>
    <t>capacity</t>
  </si>
  <si>
    <t>demand</t>
  </si>
  <si>
    <t>production_cost</t>
  </si>
  <si>
    <t>starting_inventory</t>
  </si>
  <si>
    <t>carry_cost</t>
  </si>
  <si>
    <t>safety_stock_pct</t>
  </si>
  <si>
    <t>Safety Stock</t>
  </si>
  <si>
    <t>Production Cost</t>
  </si>
  <si>
    <t>Grand Total</t>
  </si>
  <si>
    <t>Row Labels</t>
  </si>
  <si>
    <t>Average of capacity</t>
  </si>
  <si>
    <t>Average of production_cost</t>
  </si>
  <si>
    <t>Average of demand</t>
  </si>
  <si>
    <t>Average of Safety Stock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</si>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</sst>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&quot;$&quot;#,##0"/>
    <numFmt numFmtId="167" formatCode="&quot;$&quot;#,##0.00"/>
  </numFmts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2" fontId="0" fillId="0" borderId="1" xfId="0" applyNumberFormat="1" applyBorder="1"/>
    <xf numFmtId="3" fontId="4" fillId="3" borderId="1" xfId="2" applyNumberFormat="1" applyFont="1" applyFill="1" applyBorder="1" applyAlignment="1">
      <alignment horizontal="center"/>
    </xf>
    <xf numFmtId="0" fontId="1" fillId="0" borderId="1" xfId="1" applyBorder="1"/>
    <xf numFmtId="0" fontId="2" fillId="0" borderId="1" xfId="1" applyFont="1" applyBorder="1" applyAlignment="1">
      <alignment horizontal="left"/>
    </xf>
    <xf numFmtId="3" fontId="2" fillId="0" borderId="1" xfId="2" applyNumberFormat="1" applyFont="1" applyBorder="1" applyAlignment="1">
      <alignment horizontal="center"/>
    </xf>
    <xf numFmtId="3" fontId="1" fillId="0" borderId="1" xfId="2" applyNumberFormat="1" applyFont="1" applyBorder="1" applyAlignment="1">
      <alignment horizontal="center"/>
    </xf>
    <xf numFmtId="3" fontId="3" fillId="3" borderId="1" xfId="2" applyNumberFormat="1" applyFont="1" applyFill="1" applyBorder="1" applyAlignment="1">
      <alignment horizontal="center"/>
    </xf>
    <xf numFmtId="0" fontId="1" fillId="0" borderId="1" xfId="1" applyBorder="1" applyAlignment="1">
      <alignment horizontal="right"/>
    </xf>
    <xf numFmtId="166" fontId="2" fillId="0" borderId="1" xfId="1" applyNumberFormat="1" applyFont="1" applyBorder="1" applyAlignment="1">
      <alignment horizontal="center"/>
    </xf>
    <xf numFmtId="167" fontId="1" fillId="0" borderId="1" xfId="2" applyNumberFormat="1" applyFont="1" applyBorder="1" applyAlignment="1">
      <alignment horizontal="center"/>
    </xf>
    <xf numFmtId="0" fontId="2" fillId="0" borderId="1" xfId="1" applyFont="1" applyBorder="1"/>
    <xf numFmtId="166" fontId="1" fillId="0" borderId="1" xfId="1" applyNumberFormat="1" applyBorder="1" applyAlignment="1">
      <alignment horizontal="center"/>
    </xf>
    <xf numFmtId="165" fontId="2" fillId="0" borderId="1" xfId="1" applyNumberFormat="1" applyFont="1" applyBorder="1" applyAlignment="1">
      <alignment horizontal="left"/>
    </xf>
    <xf numFmtId="0" fontId="1" fillId="2" borderId="1" xfId="1" applyFill="1" applyBorder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0" fillId="2" borderId="1" xfId="0" applyFill="1" applyBorder="1"/>
    <xf numFmtId="0" fontId="2" fillId="2" borderId="1" xfId="1" applyFont="1" applyFill="1" applyBorder="1"/>
    <xf numFmtId="166" fontId="0" fillId="0" borderId="1" xfId="0" applyNumberFormat="1" applyBorder="1"/>
  </cellXfs>
  <cellStyles count="3">
    <cellStyle name="Comma 2" xfId="2" xr:uid="{04972AAE-D728-4B43-8F2F-48B303A3E331}"/>
    <cellStyle name="Normal" xfId="0" builtinId="0"/>
    <cellStyle name="Normal 2" xfId="1" xr:uid="{39685869-719A-43C5-8224-98FE8BA9C4EA}"/>
  </cellStyles>
  <dxfs count="18">
    <dxf>
      <numFmt numFmtId="164" formatCode="0.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03-production planning.xlsx]Chart!PivotTable4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Over Tme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Chart!$B$4:$B$28</c:f>
              <c:numCache>
                <c:formatCode>General</c:formatCode>
                <c:ptCount val="24"/>
                <c:pt idx="0">
                  <c:v>517.90250000000003</c:v>
                </c:pt>
                <c:pt idx="1">
                  <c:v>514.83249999999998</c:v>
                </c:pt>
                <c:pt idx="2">
                  <c:v>592.11250000000007</c:v>
                </c:pt>
                <c:pt idx="3">
                  <c:v>562.81999999999994</c:v>
                </c:pt>
                <c:pt idx="4">
                  <c:v>484.29250000000002</c:v>
                </c:pt>
                <c:pt idx="5">
                  <c:v>525.67999999999995</c:v>
                </c:pt>
                <c:pt idx="6">
                  <c:v>525.62749999999994</c:v>
                </c:pt>
                <c:pt idx="7">
                  <c:v>457.77750000000003</c:v>
                </c:pt>
                <c:pt idx="8">
                  <c:v>528.16</c:v>
                </c:pt>
                <c:pt idx="9">
                  <c:v>526.98500000000001</c:v>
                </c:pt>
                <c:pt idx="10">
                  <c:v>497.35500000000002</c:v>
                </c:pt>
                <c:pt idx="11">
                  <c:v>481.32249999999999</c:v>
                </c:pt>
                <c:pt idx="12">
                  <c:v>540.64249999999993</c:v>
                </c:pt>
                <c:pt idx="13">
                  <c:v>461.65249999999992</c:v>
                </c:pt>
                <c:pt idx="14">
                  <c:v>504.35250000000002</c:v>
                </c:pt>
                <c:pt idx="15">
                  <c:v>463.5675</c:v>
                </c:pt>
                <c:pt idx="16">
                  <c:v>469.72999999999996</c:v>
                </c:pt>
                <c:pt idx="17">
                  <c:v>450.85750000000002</c:v>
                </c:pt>
                <c:pt idx="18">
                  <c:v>494.55250000000001</c:v>
                </c:pt>
                <c:pt idx="19">
                  <c:v>436.19</c:v>
                </c:pt>
                <c:pt idx="20">
                  <c:v>482.39750000000004</c:v>
                </c:pt>
                <c:pt idx="21">
                  <c:v>427.185</c:v>
                </c:pt>
                <c:pt idx="22">
                  <c:v>452.73</c:v>
                </c:pt>
                <c:pt idx="23">
                  <c:v>421.27499999999998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3-4369-A55B-D16ED476742E}"/>
            </c:ext>
          </c:extLst>
        </c:ser>
        <c:ser>
          <c:idx val="1"/>
          <c:order val="1"/>
          <c:tx>
            <c:strRef>
              <c:f>Chart!$C$3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Chart!$C$4:$C$28</c:f>
              <c:numCache>
                <c:formatCode>General</c:formatCode>
                <c:ptCount val="24"/>
                <c:pt idx="0">
                  <c:v>57.392499999999998</c:v>
                </c:pt>
                <c:pt idx="1">
                  <c:v>64.117500000000007</c:v>
                </c:pt>
                <c:pt idx="2">
                  <c:v>58.402500000000003</c:v>
                </c:pt>
                <c:pt idx="3">
                  <c:v>53.767499999999998</c:v>
                </c:pt>
                <c:pt idx="4">
                  <c:v>49.33</c:v>
                </c:pt>
                <c:pt idx="5">
                  <c:v>51.402499999999996</c:v>
                </c:pt>
                <c:pt idx="6">
                  <c:v>57.162500000000001</c:v>
                </c:pt>
                <c:pt idx="7">
                  <c:v>53.66</c:v>
                </c:pt>
                <c:pt idx="8">
                  <c:v>53.692500000000003</c:v>
                </c:pt>
                <c:pt idx="9">
                  <c:v>54.03</c:v>
                </c:pt>
                <c:pt idx="10">
                  <c:v>50.155000000000001</c:v>
                </c:pt>
                <c:pt idx="11">
                  <c:v>49.09</c:v>
                </c:pt>
                <c:pt idx="12">
                  <c:v>51.05</c:v>
                </c:pt>
                <c:pt idx="13">
                  <c:v>45.704999999999991</c:v>
                </c:pt>
                <c:pt idx="14">
                  <c:v>49.357500000000009</c:v>
                </c:pt>
                <c:pt idx="15">
                  <c:v>53.25</c:v>
                </c:pt>
                <c:pt idx="16">
                  <c:v>48.067500000000003</c:v>
                </c:pt>
                <c:pt idx="17">
                  <c:v>46.215000000000003</c:v>
                </c:pt>
                <c:pt idx="18">
                  <c:v>46.542499999999997</c:v>
                </c:pt>
                <c:pt idx="19">
                  <c:v>44.13</c:v>
                </c:pt>
                <c:pt idx="20">
                  <c:v>49.352500000000006</c:v>
                </c:pt>
                <c:pt idx="21">
                  <c:v>46.422500000000007</c:v>
                </c:pt>
                <c:pt idx="22">
                  <c:v>44.830000000000005</c:v>
                </c:pt>
                <c:pt idx="23">
                  <c:v>43.575000000000003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3-4369-A55B-D16ED476742E}"/>
            </c:ext>
          </c:extLst>
        </c:ser>
        <c:ser>
          <c:idx val="2"/>
          <c:order val="2"/>
          <c:tx>
            <c:strRef>
              <c:f>Chart!$D$3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Chart!$D$4:$D$28</c:f>
              <c:numCache>
                <c:formatCode>General</c:formatCode>
                <c:ptCount val="24"/>
                <c:pt idx="0">
                  <c:v>611.75250000000005</c:v>
                </c:pt>
                <c:pt idx="1">
                  <c:v>701.02250000000004</c:v>
                </c:pt>
                <c:pt idx="2">
                  <c:v>520.84</c:v>
                </c:pt>
                <c:pt idx="3">
                  <c:v>630.26499999999999</c:v>
                </c:pt>
                <c:pt idx="4">
                  <c:v>554.77750000000003</c:v>
                </c:pt>
                <c:pt idx="5">
                  <c:v>695.8175</c:v>
                </c:pt>
                <c:pt idx="6">
                  <c:v>642.26499999999999</c:v>
                </c:pt>
                <c:pt idx="7">
                  <c:v>557.35750000000007</c:v>
                </c:pt>
                <c:pt idx="8">
                  <c:v>536.46500000000003</c:v>
                </c:pt>
                <c:pt idx="9">
                  <c:v>520.35249999999996</c:v>
                </c:pt>
                <c:pt idx="10">
                  <c:v>639.65</c:v>
                </c:pt>
                <c:pt idx="11">
                  <c:v>629.40499999999997</c:v>
                </c:pt>
                <c:pt idx="12">
                  <c:v>554.99</c:v>
                </c:pt>
                <c:pt idx="13">
                  <c:v>550.32249999999999</c:v>
                </c:pt>
                <c:pt idx="14">
                  <c:v>574.32749999999999</c:v>
                </c:pt>
                <c:pt idx="15">
                  <c:v>581.02250000000004</c:v>
                </c:pt>
                <c:pt idx="16">
                  <c:v>533.40499999999997</c:v>
                </c:pt>
                <c:pt idx="17">
                  <c:v>694.11249999999995</c:v>
                </c:pt>
                <c:pt idx="18">
                  <c:v>612.75</c:v>
                </c:pt>
                <c:pt idx="19">
                  <c:v>582.45749999999998</c:v>
                </c:pt>
                <c:pt idx="20">
                  <c:v>513.78499999999997</c:v>
                </c:pt>
                <c:pt idx="21">
                  <c:v>537.125</c:v>
                </c:pt>
                <c:pt idx="22">
                  <c:v>606.83500000000004</c:v>
                </c:pt>
                <c:pt idx="23">
                  <c:v>554.90250000000003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3-4369-A55B-D16ED476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889144"/>
        <c:axId val="982890224"/>
      </c:barChart>
      <c:catAx>
        <c:axId val="9828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90224"/>
        <c:crosses val="autoZero"/>
        <c:auto val="1"/>
        <c:lblAlgn val="ctr"/>
        <c:lblOffset val="100"/>
        <c:noMultiLvlLbl val="0"/>
      </c:catAx>
      <c:valAx>
        <c:axId val="9828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8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4</xdr:row>
      <xdr:rowOff>158750</xdr:rowOff>
    </xdr:from>
    <xdr:to>
      <xdr:col>15</xdr:col>
      <xdr:colOff>311150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A8EE2-4A27-68E7-FA5E-AD20CECD8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7.809524305558" createdVersion="8" refreshedVersion="8" minRefreshableVersion="3" recordCount="34" xr:uid="{66867C48-B9EF-40E5-93ED-02140AFF13AB}">
  <cacheSource type="worksheet">
    <worksheetSource ref="A1:F35" sheet="Past Demand and Production"/>
  </cacheSource>
  <cacheFields count="6">
    <cacheField name="year" numFmtId="0">
      <sharedItems containsSemiMixedTypes="0" containsString="0" containsNumber="1" containsInteger="1" minValue="2000" maxValue="2008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396.62" maxValue="701.53"/>
    </cacheField>
    <cacheField name="demand" numFmtId="0">
      <sharedItems containsSemiMixedTypes="0" containsString="0" containsNumber="1" minValue="258.33" maxValue="1224.79"/>
    </cacheField>
    <cacheField name="Safety Stock" numFmtId="0">
      <sharedItems containsSemiMixedTypes="0" containsString="0" containsNumber="1" minValue="25.832999999999998" maxValue="122.479"/>
    </cacheField>
    <cacheField name="production_cost" numFmtId="0">
      <sharedItems containsSemiMixedTypes="0" containsString="0" containsNumber="1" minValue="39.03" maxValue="76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7.820334259261" createdVersion="8" refreshedVersion="8" minRefreshableVersion="3" recordCount="96" xr:uid="{F4E9F804-0890-4A4D-8D61-798A1EDDC534}">
  <cacheSource type="worksheet">
    <worksheetSource ref="A1:F97" sheet="Past Demand and Production"/>
  </cacheSource>
  <cacheFields count="6">
    <cacheField name="year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ntainsSemiMixedTypes="0" containsString="0" containsNumber="1" containsInteger="1" minValue="1" maxValue="4"/>
    </cacheField>
    <cacheField name="capacity" numFmtId="0">
      <sharedItems containsSemiMixedTypes="0" containsString="0" containsNumber="1" minValue="312.27" maxValue="701.53"/>
    </cacheField>
    <cacheField name="demand" numFmtId="0">
      <sharedItems containsSemiMixedTypes="0" containsString="0" containsNumber="1" minValue="228.72" maxValue="1224.79"/>
    </cacheField>
    <cacheField name="Safety Stock" numFmtId="0">
      <sharedItems containsSemiMixedTypes="0" containsString="0" containsNumber="1" minValue="22.872" maxValue="122.479"/>
    </cacheField>
    <cacheField name="production_cost" numFmtId="0">
      <sharedItems containsSemiMixedTypes="0" containsString="0" containsNumber="1" minValue="27.31" maxValue="76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000"/>
    <x v="0"/>
    <n v="565.72"/>
    <n v="425.94"/>
    <n v="42.594000000000001"/>
    <n v="57.91"/>
  </r>
  <r>
    <n v="2000"/>
    <x v="1"/>
    <n v="560.24"/>
    <n v="278.44"/>
    <n v="27.844000000000001"/>
    <n v="67.180000000000007"/>
  </r>
  <r>
    <n v="2000"/>
    <x v="2"/>
    <n v="404.21"/>
    <n v="940.34"/>
    <n v="94.034000000000006"/>
    <n v="43.1"/>
  </r>
  <r>
    <n v="2000"/>
    <x v="3"/>
    <n v="541.44000000000005"/>
    <n v="802.29"/>
    <n v="80.228999999999999"/>
    <n v="61.38"/>
  </r>
  <r>
    <n v="2001"/>
    <x v="0"/>
    <n v="535.65"/>
    <n v="547.98"/>
    <n v="54.798000000000002"/>
    <n v="62.06"/>
  </r>
  <r>
    <n v="2001"/>
    <x v="1"/>
    <n v="588.15"/>
    <n v="291.7"/>
    <n v="29.17"/>
    <n v="76.150000000000006"/>
  </r>
  <r>
    <n v="2001"/>
    <x v="2"/>
    <n v="396.62"/>
    <n v="1224.79"/>
    <n v="122.479"/>
    <n v="41.84"/>
  </r>
  <r>
    <n v="2001"/>
    <x v="3"/>
    <n v="538.91"/>
    <n v="739.62"/>
    <n v="73.962000000000003"/>
    <n v="76.42"/>
  </r>
  <r>
    <n v="2002"/>
    <x v="0"/>
    <n v="701.53"/>
    <n v="495.04"/>
    <n v="49.504000000000005"/>
    <n v="59.62"/>
  </r>
  <r>
    <n v="2002"/>
    <x v="1"/>
    <n v="597.83000000000004"/>
    <n v="288.8"/>
    <n v="28.880000000000003"/>
    <n v="55.78"/>
  </r>
  <r>
    <n v="2002"/>
    <x v="2"/>
    <n v="460.49"/>
    <n v="693.6"/>
    <n v="69.36"/>
    <n v="44.09"/>
  </r>
  <r>
    <n v="2002"/>
    <x v="3"/>
    <n v="608.6"/>
    <n v="605.91999999999996"/>
    <n v="60.591999999999999"/>
    <n v="74.12"/>
  </r>
  <r>
    <n v="2003"/>
    <x v="0"/>
    <n v="692.64"/>
    <n v="586.13"/>
    <n v="58.613"/>
    <n v="53.92"/>
  </r>
  <r>
    <n v="2003"/>
    <x v="1"/>
    <n v="593.63"/>
    <n v="316.08"/>
    <n v="31.608000000000001"/>
    <n v="52.37"/>
  </r>
  <r>
    <n v="2003"/>
    <x v="2"/>
    <n v="440.46"/>
    <n v="915.87"/>
    <n v="91.587000000000003"/>
    <n v="42.13"/>
  </r>
  <r>
    <n v="2003"/>
    <x v="3"/>
    <n v="524.54999999999995"/>
    <n v="702.98"/>
    <n v="70.298000000000002"/>
    <n v="66.650000000000006"/>
  </r>
  <r>
    <n v="2004"/>
    <x v="0"/>
    <n v="551.17999999999995"/>
    <n v="400.76"/>
    <n v="40.076000000000001"/>
    <n v="50.32"/>
  </r>
  <r>
    <n v="2004"/>
    <x v="1"/>
    <n v="502.79"/>
    <n v="359.28"/>
    <n v="35.927999999999997"/>
    <n v="50.83"/>
  </r>
  <r>
    <n v="2004"/>
    <x v="2"/>
    <n v="403.24"/>
    <n v="463.38"/>
    <n v="46.338000000000001"/>
    <n v="39.03"/>
  </r>
  <r>
    <n v="2004"/>
    <x v="3"/>
    <n v="479.96"/>
    <n v="995.69"/>
    <n v="99.569000000000017"/>
    <n v="57.14"/>
  </r>
  <r>
    <n v="2005"/>
    <x v="0"/>
    <n v="565.17999999999995"/>
    <n v="480.37"/>
    <n v="48.037000000000006"/>
    <n v="56.28"/>
  </r>
  <r>
    <n v="2005"/>
    <x v="1"/>
    <n v="611.27"/>
    <n v="258.33"/>
    <n v="25.832999999999998"/>
    <n v="58.54"/>
  </r>
  <r>
    <n v="2005"/>
    <x v="2"/>
    <n v="422.58"/>
    <n v="1170.3900000000001"/>
    <n v="117.03900000000002"/>
    <n v="42.81"/>
  </r>
  <r>
    <n v="2005"/>
    <x v="3"/>
    <n v="503.69"/>
    <n v="874.18"/>
    <n v="87.418000000000006"/>
    <n v="47.98"/>
  </r>
  <r>
    <n v="2006"/>
    <x v="0"/>
    <n v="542.37"/>
    <n v="437.82"/>
    <n v="43.782000000000004"/>
    <n v="58.88"/>
  </r>
  <r>
    <n v="2006"/>
    <x v="1"/>
    <n v="580.39"/>
    <n v="386.65"/>
    <n v="38.664999999999999"/>
    <n v="54.93"/>
  </r>
  <r>
    <n v="2006"/>
    <x v="2"/>
    <n v="448.34"/>
    <n v="1165.79"/>
    <n v="116.57900000000001"/>
    <n v="52.22"/>
  </r>
  <r>
    <n v="2006"/>
    <x v="3"/>
    <n v="531.41"/>
    <n v="578.79999999999995"/>
    <n v="57.879999999999995"/>
    <n v="62.62"/>
  </r>
  <r>
    <n v="2007"/>
    <x v="0"/>
    <n v="499.77"/>
    <n v="474.5"/>
    <n v="47.45"/>
    <n v="48.17"/>
  </r>
  <r>
    <n v="2007"/>
    <x v="1"/>
    <n v="408.52"/>
    <n v="274.95999999999998"/>
    <n v="27.495999999999999"/>
    <n v="52.46"/>
  </r>
  <r>
    <n v="2007"/>
    <x v="2"/>
    <n v="479.36"/>
    <n v="952.23"/>
    <n v="95.223000000000013"/>
    <n v="56.07"/>
  </r>
  <r>
    <n v="2007"/>
    <x v="3"/>
    <n v="443.46"/>
    <n v="527.74"/>
    <n v="52.774000000000001"/>
    <n v="57.94"/>
  </r>
  <r>
    <n v="2008"/>
    <x v="0"/>
    <n v="502.62"/>
    <n v="309.7"/>
    <n v="30.97"/>
    <n v="47.59"/>
  </r>
  <r>
    <n v="2008"/>
    <x v="1"/>
    <n v="593.41999999999996"/>
    <n v="323.64999999999998"/>
    <n v="32.365000000000002"/>
    <n v="63.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n v="565.72"/>
    <n v="425.94"/>
    <n v="42.594000000000001"/>
    <n v="57.91"/>
  </r>
  <r>
    <x v="0"/>
    <n v="2"/>
    <n v="560.24"/>
    <n v="278.44"/>
    <n v="27.844000000000001"/>
    <n v="67.180000000000007"/>
  </r>
  <r>
    <x v="0"/>
    <n v="3"/>
    <n v="404.21"/>
    <n v="940.34"/>
    <n v="94.034000000000006"/>
    <n v="43.1"/>
  </r>
  <r>
    <x v="0"/>
    <n v="4"/>
    <n v="541.44000000000005"/>
    <n v="802.29"/>
    <n v="80.228999999999999"/>
    <n v="61.38"/>
  </r>
  <r>
    <x v="1"/>
    <n v="1"/>
    <n v="535.65"/>
    <n v="547.98"/>
    <n v="54.798000000000002"/>
    <n v="62.06"/>
  </r>
  <r>
    <x v="1"/>
    <n v="2"/>
    <n v="588.15"/>
    <n v="291.7"/>
    <n v="29.17"/>
    <n v="76.150000000000006"/>
  </r>
  <r>
    <x v="1"/>
    <n v="3"/>
    <n v="396.62"/>
    <n v="1224.79"/>
    <n v="122.479"/>
    <n v="41.84"/>
  </r>
  <r>
    <x v="1"/>
    <n v="4"/>
    <n v="538.91"/>
    <n v="739.62"/>
    <n v="73.962000000000003"/>
    <n v="76.42"/>
  </r>
  <r>
    <x v="2"/>
    <n v="1"/>
    <n v="701.53"/>
    <n v="495.04"/>
    <n v="49.504000000000005"/>
    <n v="59.62"/>
  </r>
  <r>
    <x v="2"/>
    <n v="2"/>
    <n v="597.83000000000004"/>
    <n v="288.8"/>
    <n v="28.880000000000003"/>
    <n v="55.78"/>
  </r>
  <r>
    <x v="2"/>
    <n v="3"/>
    <n v="460.49"/>
    <n v="693.6"/>
    <n v="69.36"/>
    <n v="44.09"/>
  </r>
  <r>
    <x v="2"/>
    <n v="4"/>
    <n v="608.6"/>
    <n v="605.91999999999996"/>
    <n v="60.591999999999999"/>
    <n v="74.12"/>
  </r>
  <r>
    <x v="3"/>
    <n v="1"/>
    <n v="692.64"/>
    <n v="586.13"/>
    <n v="58.613"/>
    <n v="53.92"/>
  </r>
  <r>
    <x v="3"/>
    <n v="2"/>
    <n v="593.63"/>
    <n v="316.08"/>
    <n v="31.608000000000001"/>
    <n v="52.37"/>
  </r>
  <r>
    <x v="3"/>
    <n v="3"/>
    <n v="440.46"/>
    <n v="915.87"/>
    <n v="91.587000000000003"/>
    <n v="42.13"/>
  </r>
  <r>
    <x v="3"/>
    <n v="4"/>
    <n v="524.54999999999995"/>
    <n v="702.98"/>
    <n v="70.298000000000002"/>
    <n v="66.650000000000006"/>
  </r>
  <r>
    <x v="4"/>
    <n v="1"/>
    <n v="551.17999999999995"/>
    <n v="400.76"/>
    <n v="40.076000000000001"/>
    <n v="50.32"/>
  </r>
  <r>
    <x v="4"/>
    <n v="2"/>
    <n v="502.79"/>
    <n v="359.28"/>
    <n v="35.927999999999997"/>
    <n v="50.83"/>
  </r>
  <r>
    <x v="4"/>
    <n v="3"/>
    <n v="403.24"/>
    <n v="463.38"/>
    <n v="46.338000000000001"/>
    <n v="39.03"/>
  </r>
  <r>
    <x v="4"/>
    <n v="4"/>
    <n v="479.96"/>
    <n v="995.69"/>
    <n v="99.569000000000017"/>
    <n v="57.14"/>
  </r>
  <r>
    <x v="5"/>
    <n v="1"/>
    <n v="565.17999999999995"/>
    <n v="480.37"/>
    <n v="48.037000000000006"/>
    <n v="56.28"/>
  </r>
  <r>
    <x v="5"/>
    <n v="2"/>
    <n v="611.27"/>
    <n v="258.33"/>
    <n v="25.832999999999998"/>
    <n v="58.54"/>
  </r>
  <r>
    <x v="5"/>
    <n v="3"/>
    <n v="422.58"/>
    <n v="1170.3900000000001"/>
    <n v="117.03900000000002"/>
    <n v="42.81"/>
  </r>
  <r>
    <x v="5"/>
    <n v="4"/>
    <n v="503.69"/>
    <n v="874.18"/>
    <n v="87.418000000000006"/>
    <n v="47.98"/>
  </r>
  <r>
    <x v="6"/>
    <n v="1"/>
    <n v="542.37"/>
    <n v="437.82"/>
    <n v="43.782000000000004"/>
    <n v="58.88"/>
  </r>
  <r>
    <x v="6"/>
    <n v="2"/>
    <n v="580.39"/>
    <n v="386.65"/>
    <n v="38.664999999999999"/>
    <n v="54.93"/>
  </r>
  <r>
    <x v="6"/>
    <n v="3"/>
    <n v="448.34"/>
    <n v="1165.79"/>
    <n v="116.57900000000001"/>
    <n v="52.22"/>
  </r>
  <r>
    <x v="6"/>
    <n v="4"/>
    <n v="531.41"/>
    <n v="578.79999999999995"/>
    <n v="57.879999999999995"/>
    <n v="62.62"/>
  </r>
  <r>
    <x v="7"/>
    <n v="1"/>
    <n v="499.77"/>
    <n v="474.5"/>
    <n v="47.45"/>
    <n v="48.17"/>
  </r>
  <r>
    <x v="7"/>
    <n v="2"/>
    <n v="408.52"/>
    <n v="274.95999999999998"/>
    <n v="27.495999999999999"/>
    <n v="52.46"/>
  </r>
  <r>
    <x v="7"/>
    <n v="3"/>
    <n v="479.36"/>
    <n v="952.23"/>
    <n v="95.223000000000013"/>
    <n v="56.07"/>
  </r>
  <r>
    <x v="7"/>
    <n v="4"/>
    <n v="443.46"/>
    <n v="527.74"/>
    <n v="52.774000000000001"/>
    <n v="57.94"/>
  </r>
  <r>
    <x v="8"/>
    <n v="1"/>
    <n v="502.62"/>
    <n v="309.7"/>
    <n v="30.97"/>
    <n v="47.59"/>
  </r>
  <r>
    <x v="8"/>
    <n v="2"/>
    <n v="593.41999999999996"/>
    <n v="323.64999999999998"/>
    <n v="32.365000000000002"/>
    <n v="63.89"/>
  </r>
  <r>
    <x v="8"/>
    <n v="3"/>
    <n v="495.35"/>
    <n v="757.42"/>
    <n v="75.742000000000004"/>
    <n v="52.48"/>
  </r>
  <r>
    <x v="8"/>
    <n v="4"/>
    <n v="521.25"/>
    <n v="755.09"/>
    <n v="75.509"/>
    <n v="50.81"/>
  </r>
  <r>
    <x v="9"/>
    <n v="1"/>
    <n v="510.55"/>
    <n v="507.12"/>
    <n v="50.712000000000003"/>
    <n v="54.05"/>
  </r>
  <r>
    <x v="9"/>
    <n v="2"/>
    <n v="632.52"/>
    <n v="316.33999999999997"/>
    <n v="31.634"/>
    <n v="56.59"/>
  </r>
  <r>
    <x v="9"/>
    <n v="3"/>
    <n v="479.28"/>
    <n v="590.55999999999995"/>
    <n v="59.055999999999997"/>
    <n v="51.93"/>
  </r>
  <r>
    <x v="9"/>
    <n v="4"/>
    <n v="485.59"/>
    <n v="667.39"/>
    <n v="66.739000000000004"/>
    <n v="53.55"/>
  </r>
  <r>
    <x v="10"/>
    <n v="1"/>
    <n v="558.34"/>
    <n v="424.91"/>
    <n v="42.491000000000007"/>
    <n v="42.86"/>
  </r>
  <r>
    <x v="10"/>
    <n v="2"/>
    <n v="504.77"/>
    <n v="362.46"/>
    <n v="36.246000000000002"/>
    <n v="56.62"/>
  </r>
  <r>
    <x v="10"/>
    <n v="3"/>
    <n v="418.92"/>
    <n v="874.46"/>
    <n v="87.446000000000012"/>
    <n v="49.69"/>
  </r>
  <r>
    <x v="10"/>
    <n v="4"/>
    <n v="507.39"/>
    <n v="896.77"/>
    <n v="89.677000000000007"/>
    <n v="51.45"/>
  </r>
  <r>
    <x v="11"/>
    <n v="1"/>
    <n v="516.70000000000005"/>
    <n v="335.88"/>
    <n v="33.588000000000001"/>
    <n v="45.73"/>
  </r>
  <r>
    <x v="11"/>
    <n v="2"/>
    <n v="470.59"/>
    <n v="357.86"/>
    <n v="35.786000000000001"/>
    <n v="48.89"/>
  </r>
  <r>
    <x v="11"/>
    <n v="3"/>
    <n v="430.05"/>
    <n v="642.9"/>
    <n v="64.290000000000006"/>
    <n v="51.66"/>
  </r>
  <r>
    <x v="11"/>
    <n v="4"/>
    <n v="507.95"/>
    <n v="1180.98"/>
    <n v="118.09800000000001"/>
    <n v="50.08"/>
  </r>
  <r>
    <x v="12"/>
    <n v="1"/>
    <n v="470.52"/>
    <n v="526.27"/>
    <n v="52.627000000000002"/>
    <n v="51.87"/>
  </r>
  <r>
    <x v="12"/>
    <n v="2"/>
    <n v="575.17999999999995"/>
    <n v="235.64"/>
    <n v="23.564"/>
    <n v="46.36"/>
  </r>
  <r>
    <x v="12"/>
    <n v="3"/>
    <n v="561.14"/>
    <n v="543.07000000000005"/>
    <n v="54.307000000000009"/>
    <n v="57.97"/>
  </r>
  <r>
    <x v="12"/>
    <n v="4"/>
    <n v="555.73"/>
    <n v="914.98"/>
    <n v="91.498000000000005"/>
    <n v="48"/>
  </r>
  <r>
    <x v="13"/>
    <n v="1"/>
    <n v="453.86"/>
    <n v="315.56"/>
    <n v="31.556000000000001"/>
    <n v="53.43"/>
  </r>
  <r>
    <x v="13"/>
    <n v="2"/>
    <n v="498.21"/>
    <n v="362.72"/>
    <n v="36.272000000000006"/>
    <n v="36.36"/>
  </r>
  <r>
    <x v="13"/>
    <n v="3"/>
    <n v="481.65"/>
    <n v="851.23"/>
    <n v="85.123000000000005"/>
    <n v="45.55"/>
  </r>
  <r>
    <x v="13"/>
    <n v="4"/>
    <n v="412.89"/>
    <n v="671.78"/>
    <n v="67.177999999999997"/>
    <n v="47.48"/>
  </r>
  <r>
    <x v="14"/>
    <n v="1"/>
    <n v="509.14"/>
    <n v="415.69"/>
    <n v="41.569000000000003"/>
    <n v="54.32"/>
  </r>
  <r>
    <x v="14"/>
    <n v="2"/>
    <n v="437.57"/>
    <n v="262.44"/>
    <n v="26.244"/>
    <n v="36.67"/>
  </r>
  <r>
    <x v="14"/>
    <n v="3"/>
    <n v="614.13"/>
    <n v="833.51"/>
    <n v="83.350999999999999"/>
    <n v="54.42"/>
  </r>
  <r>
    <x v="14"/>
    <n v="4"/>
    <n v="456.57"/>
    <n v="785.67"/>
    <n v="78.567000000000007"/>
    <n v="52.02"/>
  </r>
  <r>
    <x v="15"/>
    <n v="1"/>
    <n v="484.76"/>
    <n v="414.86"/>
    <n v="41.486000000000004"/>
    <n v="51.09"/>
  </r>
  <r>
    <x v="15"/>
    <n v="2"/>
    <n v="496.8"/>
    <n v="326.39999999999998"/>
    <n v="32.64"/>
    <n v="53.76"/>
  </r>
  <r>
    <x v="15"/>
    <n v="3"/>
    <n v="473"/>
    <n v="816.13"/>
    <n v="81.613"/>
    <n v="57.09"/>
  </r>
  <r>
    <x v="15"/>
    <n v="4"/>
    <n v="399.71"/>
    <n v="766.7"/>
    <n v="76.67"/>
    <n v="51.06"/>
  </r>
  <r>
    <x v="16"/>
    <n v="1"/>
    <n v="365.25"/>
    <n v="324.93"/>
    <n v="32.493000000000002"/>
    <n v="50.14"/>
  </r>
  <r>
    <x v="16"/>
    <n v="2"/>
    <n v="437.32"/>
    <n v="376.59"/>
    <n v="37.658999999999999"/>
    <n v="49.29"/>
  </r>
  <r>
    <x v="16"/>
    <n v="3"/>
    <n v="601.26"/>
    <n v="595.58000000000004"/>
    <n v="59.558000000000007"/>
    <n v="47.61"/>
  </r>
  <r>
    <x v="16"/>
    <n v="4"/>
    <n v="475.09"/>
    <n v="836.52"/>
    <n v="83.652000000000001"/>
    <n v="45.23"/>
  </r>
  <r>
    <x v="17"/>
    <n v="1"/>
    <n v="375.98"/>
    <n v="441.52"/>
    <n v="44.152000000000001"/>
    <n v="48.75"/>
  </r>
  <r>
    <x v="17"/>
    <n v="2"/>
    <n v="491.24"/>
    <n v="511.24"/>
    <n v="51.124000000000002"/>
    <n v="37.380000000000003"/>
  </r>
  <r>
    <x v="17"/>
    <n v="3"/>
    <n v="547.91"/>
    <n v="918.05"/>
    <n v="91.805000000000007"/>
    <n v="55.02"/>
  </r>
  <r>
    <x v="17"/>
    <n v="4"/>
    <n v="388.3"/>
    <n v="905.64"/>
    <n v="90.564000000000007"/>
    <n v="43.71"/>
  </r>
  <r>
    <x v="18"/>
    <n v="1"/>
    <n v="448.68"/>
    <n v="228.72"/>
    <n v="22.872"/>
    <n v="41.29"/>
  </r>
  <r>
    <x v="18"/>
    <n v="2"/>
    <n v="414.59"/>
    <n v="379.26"/>
    <n v="37.926000000000002"/>
    <n v="43.69"/>
  </r>
  <r>
    <x v="18"/>
    <n v="3"/>
    <n v="576.66999999999996"/>
    <n v="764.91"/>
    <n v="76.491"/>
    <n v="60.21"/>
  </r>
  <r>
    <x v="18"/>
    <n v="4"/>
    <n v="538.27"/>
    <n v="1078.1099999999999"/>
    <n v="107.81099999999999"/>
    <n v="40.98"/>
  </r>
  <r>
    <x v="19"/>
    <n v="1"/>
    <n v="447.35"/>
    <n v="374.4"/>
    <n v="37.44"/>
    <n v="44"/>
  </r>
  <r>
    <x v="19"/>
    <n v="2"/>
    <n v="439.14"/>
    <n v="461.91"/>
    <n v="46.191000000000003"/>
    <n v="41.19"/>
  </r>
  <r>
    <x v="19"/>
    <n v="3"/>
    <n v="536.11"/>
    <n v="741.28"/>
    <n v="74.128"/>
    <n v="59.12"/>
  </r>
  <r>
    <x v="19"/>
    <n v="4"/>
    <n v="322.16000000000003"/>
    <n v="752.24"/>
    <n v="75.224000000000004"/>
    <n v="32.21"/>
  </r>
  <r>
    <x v="20"/>
    <n v="1"/>
    <n v="433.54"/>
    <n v="269.73"/>
    <n v="26.973000000000003"/>
    <n v="46.06"/>
  </r>
  <r>
    <x v="20"/>
    <n v="2"/>
    <n v="482.81"/>
    <n v="284.11"/>
    <n v="28.411000000000001"/>
    <n v="43.21"/>
  </r>
  <r>
    <x v="20"/>
    <n v="3"/>
    <n v="575.29999999999995"/>
    <n v="642.13"/>
    <n v="64.213000000000008"/>
    <n v="61.33"/>
  </r>
  <r>
    <x v="20"/>
    <n v="4"/>
    <n v="437.94"/>
    <n v="859.17"/>
    <n v="85.917000000000002"/>
    <n v="46.81"/>
  </r>
  <r>
    <x v="21"/>
    <n v="1"/>
    <n v="322.38"/>
    <n v="317.43"/>
    <n v="31.743000000000002"/>
    <n v="35.01"/>
  </r>
  <r>
    <x v="21"/>
    <n v="2"/>
    <n v="401.48"/>
    <n v="534.14"/>
    <n v="53.414000000000001"/>
    <n v="45.08"/>
  </r>
  <r>
    <x v="21"/>
    <n v="3"/>
    <n v="579.30999999999995"/>
    <n v="550.41999999999996"/>
    <n v="55.042000000000002"/>
    <n v="64.95"/>
  </r>
  <r>
    <x v="21"/>
    <n v="4"/>
    <n v="405.57"/>
    <n v="746.51"/>
    <n v="74.650999999999996"/>
    <n v="40.65"/>
  </r>
  <r>
    <x v="22"/>
    <n v="1"/>
    <n v="370.04"/>
    <n v="315.36"/>
    <n v="31.536000000000001"/>
    <n v="38.47"/>
  </r>
  <r>
    <x v="22"/>
    <n v="2"/>
    <n v="491.22"/>
    <n v="437.41"/>
    <n v="43.741000000000007"/>
    <n v="32.49"/>
  </r>
  <r>
    <x v="22"/>
    <n v="3"/>
    <n v="587.39"/>
    <n v="779.17"/>
    <n v="77.917000000000002"/>
    <n v="72.95"/>
  </r>
  <r>
    <x v="22"/>
    <n v="4"/>
    <n v="362.27"/>
    <n v="895.4"/>
    <n v="89.54"/>
    <n v="35.409999999999997"/>
  </r>
  <r>
    <x v="23"/>
    <n v="1"/>
    <n v="312.27"/>
    <n v="253.39"/>
    <n v="25.338999999999999"/>
    <n v="27.31"/>
  </r>
  <r>
    <x v="23"/>
    <n v="2"/>
    <n v="454.32"/>
    <n v="437.62"/>
    <n v="43.762"/>
    <n v="40.520000000000003"/>
  </r>
  <r>
    <x v="23"/>
    <n v="3"/>
    <n v="587.21"/>
    <n v="700.78"/>
    <n v="70.078000000000003"/>
    <n v="66.58"/>
  </r>
  <r>
    <x v="23"/>
    <n v="4"/>
    <n v="331.3"/>
    <n v="827.82"/>
    <n v="82.782000000000011"/>
    <n v="39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1C3FA-8596-4A6A-8718-CEE104EE31F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D28" firstHeaderRow="0" firstDataRow="1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0" baseItem="0"/>
    <dataField name="Average of production_cost" fld="5" subtotal="average" baseField="0" baseItem="0"/>
    <dataField name="Average of demand" fld="3" subtotal="average" baseField="0" baseItem="0"/>
  </dataFields>
  <chartFormats count="3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FF2A8-E29E-4564-8E26-E1D85253F05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3:E8" firstHeaderRow="0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apacity" fld="2" subtotal="average" baseField="1" baseItem="0"/>
    <dataField name="Average of demand" fld="3" subtotal="average" baseField="1" baseItem="0"/>
    <dataField name="Average of Safety Stock" fld="4" subtotal="average" baseField="1" baseItem="0"/>
    <dataField name="Average of production_cost" fld="5" subtotal="average" baseField="1" baseItem="0"/>
  </dataFields>
  <formats count="9">
    <format dxfId="17">
      <pivotArea collapsedLevelsAreSubtotals="1" fieldPosition="0">
        <references count="1">
          <reference field="1" count="0"/>
        </references>
      </pivotArea>
    </format>
    <format dxfId="16">
      <pivotArea grandRow="1" outline="0" collapsedLevelsAreSubtotals="1" fieldPosition="0"/>
    </format>
    <format dxfId="15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4">
    <conditionalFormat priority="5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72C0B-40B6-495A-924C-E8ECF03A670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3:E8" firstHeaderRow="0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apacity" fld="2" subtotal="average" baseField="1" baseItem="0"/>
    <dataField name="Average of demand" fld="3" subtotal="average" baseField="1" baseItem="0"/>
    <dataField name="Average of Safety Stock" fld="4" subtotal="average" baseField="1" baseItem="0"/>
    <dataField name="Average of production_cost" fld="5" subtotal="average" baseField="1" baseItem="0"/>
  </dataFields>
  <formats count="9">
    <format dxfId="0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  <format dxfId="2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2F2B-581E-439B-A253-4EB93C2752A9}">
  <dimension ref="A3:D28"/>
  <sheetViews>
    <sheetView topLeftCell="A2" workbookViewId="0">
      <selection activeCell="D30" sqref="D30"/>
    </sheetView>
  </sheetViews>
  <sheetFormatPr defaultRowHeight="14.5" x14ac:dyDescent="0.35"/>
  <cols>
    <col min="1" max="1" width="12.453125" bestFit="1" customWidth="1"/>
    <col min="2" max="2" width="17.08984375" bestFit="1" customWidth="1"/>
    <col min="3" max="3" width="23.54296875" bestFit="1" customWidth="1"/>
    <col min="4" max="4" width="16.7265625" bestFit="1" customWidth="1"/>
  </cols>
  <sheetData>
    <row r="3" spans="1:4" x14ac:dyDescent="0.35">
      <c r="A3" s="1" t="s">
        <v>11</v>
      </c>
      <c r="B3" t="s">
        <v>12</v>
      </c>
      <c r="C3" t="s">
        <v>13</v>
      </c>
      <c r="D3" t="s">
        <v>14</v>
      </c>
    </row>
    <row r="4" spans="1:4" x14ac:dyDescent="0.35">
      <c r="A4" s="2">
        <v>2000</v>
      </c>
      <c r="B4">
        <v>517.90250000000003</v>
      </c>
      <c r="C4">
        <v>57.392499999999998</v>
      </c>
      <c r="D4">
        <v>611.75250000000005</v>
      </c>
    </row>
    <row r="5" spans="1:4" x14ac:dyDescent="0.35">
      <c r="A5" s="2">
        <v>2001</v>
      </c>
      <c r="B5">
        <v>514.83249999999998</v>
      </c>
      <c r="C5">
        <v>64.117500000000007</v>
      </c>
      <c r="D5">
        <v>701.02250000000004</v>
      </c>
    </row>
    <row r="6" spans="1:4" x14ac:dyDescent="0.35">
      <c r="A6" s="2">
        <v>2002</v>
      </c>
      <c r="B6">
        <v>592.11250000000007</v>
      </c>
      <c r="C6">
        <v>58.402500000000003</v>
      </c>
      <c r="D6">
        <v>520.84</v>
      </c>
    </row>
    <row r="7" spans="1:4" x14ac:dyDescent="0.35">
      <c r="A7" s="2">
        <v>2003</v>
      </c>
      <c r="B7">
        <v>562.81999999999994</v>
      </c>
      <c r="C7">
        <v>53.767499999999998</v>
      </c>
      <c r="D7">
        <v>630.26499999999999</v>
      </c>
    </row>
    <row r="8" spans="1:4" x14ac:dyDescent="0.35">
      <c r="A8" s="2">
        <v>2004</v>
      </c>
      <c r="B8">
        <v>484.29250000000002</v>
      </c>
      <c r="C8">
        <v>49.33</v>
      </c>
      <c r="D8">
        <v>554.77750000000003</v>
      </c>
    </row>
    <row r="9" spans="1:4" x14ac:dyDescent="0.35">
      <c r="A9" s="2">
        <v>2005</v>
      </c>
      <c r="B9">
        <v>525.67999999999995</v>
      </c>
      <c r="C9">
        <v>51.402499999999996</v>
      </c>
      <c r="D9">
        <v>695.8175</v>
      </c>
    </row>
    <row r="10" spans="1:4" x14ac:dyDescent="0.35">
      <c r="A10" s="2">
        <v>2006</v>
      </c>
      <c r="B10">
        <v>525.62749999999994</v>
      </c>
      <c r="C10">
        <v>57.162500000000001</v>
      </c>
      <c r="D10">
        <v>642.26499999999999</v>
      </c>
    </row>
    <row r="11" spans="1:4" x14ac:dyDescent="0.35">
      <c r="A11" s="2">
        <v>2007</v>
      </c>
      <c r="B11">
        <v>457.77750000000003</v>
      </c>
      <c r="C11">
        <v>53.66</v>
      </c>
      <c r="D11">
        <v>557.35750000000007</v>
      </c>
    </row>
    <row r="12" spans="1:4" x14ac:dyDescent="0.35">
      <c r="A12" s="2">
        <v>2008</v>
      </c>
      <c r="B12">
        <v>528.16</v>
      </c>
      <c r="C12">
        <v>53.692500000000003</v>
      </c>
      <c r="D12">
        <v>536.46500000000003</v>
      </c>
    </row>
    <row r="13" spans="1:4" x14ac:dyDescent="0.35">
      <c r="A13" s="2">
        <v>2009</v>
      </c>
      <c r="B13">
        <v>526.98500000000001</v>
      </c>
      <c r="C13">
        <v>54.03</v>
      </c>
      <c r="D13">
        <v>520.35249999999996</v>
      </c>
    </row>
    <row r="14" spans="1:4" x14ac:dyDescent="0.35">
      <c r="A14" s="2">
        <v>2010</v>
      </c>
      <c r="B14">
        <v>497.35500000000002</v>
      </c>
      <c r="C14">
        <v>50.155000000000001</v>
      </c>
      <c r="D14">
        <v>639.65</v>
      </c>
    </row>
    <row r="15" spans="1:4" x14ac:dyDescent="0.35">
      <c r="A15" s="2">
        <v>2011</v>
      </c>
      <c r="B15">
        <v>481.32249999999999</v>
      </c>
      <c r="C15">
        <v>49.09</v>
      </c>
      <c r="D15">
        <v>629.40499999999997</v>
      </c>
    </row>
    <row r="16" spans="1:4" x14ac:dyDescent="0.35">
      <c r="A16" s="2">
        <v>2012</v>
      </c>
      <c r="B16">
        <v>540.64249999999993</v>
      </c>
      <c r="C16">
        <v>51.05</v>
      </c>
      <c r="D16">
        <v>554.99</v>
      </c>
    </row>
    <row r="17" spans="1:4" x14ac:dyDescent="0.35">
      <c r="A17" s="2">
        <v>2013</v>
      </c>
      <c r="B17">
        <v>461.65249999999992</v>
      </c>
      <c r="C17">
        <v>45.704999999999991</v>
      </c>
      <c r="D17">
        <v>550.32249999999999</v>
      </c>
    </row>
    <row r="18" spans="1:4" x14ac:dyDescent="0.35">
      <c r="A18" s="2">
        <v>2014</v>
      </c>
      <c r="B18">
        <v>504.35250000000002</v>
      </c>
      <c r="C18">
        <v>49.357500000000009</v>
      </c>
      <c r="D18">
        <v>574.32749999999999</v>
      </c>
    </row>
    <row r="19" spans="1:4" x14ac:dyDescent="0.35">
      <c r="A19" s="2">
        <v>2015</v>
      </c>
      <c r="B19">
        <v>463.5675</v>
      </c>
      <c r="C19">
        <v>53.25</v>
      </c>
      <c r="D19">
        <v>581.02250000000004</v>
      </c>
    </row>
    <row r="20" spans="1:4" x14ac:dyDescent="0.35">
      <c r="A20" s="2">
        <v>2016</v>
      </c>
      <c r="B20">
        <v>469.72999999999996</v>
      </c>
      <c r="C20">
        <v>48.067500000000003</v>
      </c>
      <c r="D20">
        <v>533.40499999999997</v>
      </c>
    </row>
    <row r="21" spans="1:4" x14ac:dyDescent="0.35">
      <c r="A21" s="2">
        <v>2017</v>
      </c>
      <c r="B21">
        <v>450.85750000000002</v>
      </c>
      <c r="C21">
        <v>46.215000000000003</v>
      </c>
      <c r="D21">
        <v>694.11249999999995</v>
      </c>
    </row>
    <row r="22" spans="1:4" x14ac:dyDescent="0.35">
      <c r="A22" s="2">
        <v>2018</v>
      </c>
      <c r="B22">
        <v>494.55250000000001</v>
      </c>
      <c r="C22">
        <v>46.542499999999997</v>
      </c>
      <c r="D22">
        <v>612.75</v>
      </c>
    </row>
    <row r="23" spans="1:4" x14ac:dyDescent="0.35">
      <c r="A23" s="2">
        <v>2019</v>
      </c>
      <c r="B23">
        <v>436.19</v>
      </c>
      <c r="C23">
        <v>44.13</v>
      </c>
      <c r="D23">
        <v>582.45749999999998</v>
      </c>
    </row>
    <row r="24" spans="1:4" x14ac:dyDescent="0.35">
      <c r="A24" s="2">
        <v>2020</v>
      </c>
      <c r="B24">
        <v>482.39750000000004</v>
      </c>
      <c r="C24">
        <v>49.352500000000006</v>
      </c>
      <c r="D24">
        <v>513.78499999999997</v>
      </c>
    </row>
    <row r="25" spans="1:4" x14ac:dyDescent="0.35">
      <c r="A25" s="2">
        <v>2021</v>
      </c>
      <c r="B25">
        <v>427.185</v>
      </c>
      <c r="C25">
        <v>46.422500000000007</v>
      </c>
      <c r="D25">
        <v>537.125</v>
      </c>
    </row>
    <row r="26" spans="1:4" x14ac:dyDescent="0.35">
      <c r="A26" s="2">
        <v>2022</v>
      </c>
      <c r="B26">
        <v>452.73</v>
      </c>
      <c r="C26">
        <v>44.830000000000005</v>
      </c>
      <c r="D26">
        <v>606.83500000000004</v>
      </c>
    </row>
    <row r="27" spans="1:4" x14ac:dyDescent="0.35">
      <c r="A27" s="2">
        <v>2023</v>
      </c>
      <c r="B27">
        <v>421.27499999999998</v>
      </c>
      <c r="C27">
        <v>43.575000000000003</v>
      </c>
      <c r="D27">
        <v>554.90250000000003</v>
      </c>
    </row>
    <row r="28" spans="1:4" x14ac:dyDescent="0.35">
      <c r="A28" s="2" t="s">
        <v>10</v>
      </c>
      <c r="B28">
        <v>492.49999999999994</v>
      </c>
      <c r="C28">
        <v>50.862500000000018</v>
      </c>
      <c r="D28">
        <v>589.00020833333349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1478-F0B8-41DB-96CA-6C146C366FF1}">
  <dimension ref="A1:F97"/>
  <sheetViews>
    <sheetView workbookViewId="0">
      <selection activeCell="H17" sqref="H17"/>
    </sheetView>
  </sheetViews>
  <sheetFormatPr defaultRowHeight="14.5" x14ac:dyDescent="0.35"/>
  <cols>
    <col min="5" max="5" width="10.7265625" bestFit="1" customWidth="1"/>
    <col min="6" max="6" width="14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</row>
    <row r="2" spans="1:6" x14ac:dyDescent="0.35">
      <c r="A2">
        <v>2000</v>
      </c>
      <c r="B2">
        <v>1</v>
      </c>
      <c r="C2">
        <v>565.72</v>
      </c>
      <c r="D2">
        <v>425.94</v>
      </c>
      <c r="E2">
        <f>D2*0.1</f>
        <v>42.594000000000001</v>
      </c>
      <c r="F2">
        <v>57.91</v>
      </c>
    </row>
    <row r="3" spans="1:6" x14ac:dyDescent="0.35">
      <c r="A3">
        <v>2000</v>
      </c>
      <c r="B3">
        <v>2</v>
      </c>
      <c r="C3">
        <v>560.24</v>
      </c>
      <c r="D3">
        <v>278.44</v>
      </c>
      <c r="E3">
        <f t="shared" ref="E3:E66" si="0">D3*0.1</f>
        <v>27.844000000000001</v>
      </c>
      <c r="F3">
        <v>67.180000000000007</v>
      </c>
    </row>
    <row r="4" spans="1:6" x14ac:dyDescent="0.35">
      <c r="A4">
        <v>2000</v>
      </c>
      <c r="B4">
        <v>3</v>
      </c>
      <c r="C4">
        <v>404.21</v>
      </c>
      <c r="D4">
        <v>940.34</v>
      </c>
      <c r="E4">
        <f t="shared" si="0"/>
        <v>94.034000000000006</v>
      </c>
      <c r="F4">
        <v>43.1</v>
      </c>
    </row>
    <row r="5" spans="1:6" x14ac:dyDescent="0.35">
      <c r="A5">
        <v>2000</v>
      </c>
      <c r="B5">
        <v>4</v>
      </c>
      <c r="C5">
        <v>541.44000000000005</v>
      </c>
      <c r="D5">
        <v>802.29</v>
      </c>
      <c r="E5">
        <f t="shared" si="0"/>
        <v>80.228999999999999</v>
      </c>
      <c r="F5">
        <v>61.38</v>
      </c>
    </row>
    <row r="6" spans="1:6" x14ac:dyDescent="0.35">
      <c r="A6">
        <v>2001</v>
      </c>
      <c r="B6">
        <v>1</v>
      </c>
      <c r="C6">
        <v>535.65</v>
      </c>
      <c r="D6">
        <v>547.98</v>
      </c>
      <c r="E6">
        <f t="shared" si="0"/>
        <v>54.798000000000002</v>
      </c>
      <c r="F6">
        <v>62.06</v>
      </c>
    </row>
    <row r="7" spans="1:6" x14ac:dyDescent="0.35">
      <c r="A7">
        <v>2001</v>
      </c>
      <c r="B7">
        <v>2</v>
      </c>
      <c r="C7">
        <v>588.15</v>
      </c>
      <c r="D7">
        <v>291.7</v>
      </c>
      <c r="E7">
        <f t="shared" si="0"/>
        <v>29.17</v>
      </c>
      <c r="F7">
        <v>76.150000000000006</v>
      </c>
    </row>
    <row r="8" spans="1:6" x14ac:dyDescent="0.35">
      <c r="A8">
        <v>2001</v>
      </c>
      <c r="B8">
        <v>3</v>
      </c>
      <c r="C8">
        <v>396.62</v>
      </c>
      <c r="D8">
        <v>1224.79</v>
      </c>
      <c r="E8">
        <f t="shared" si="0"/>
        <v>122.479</v>
      </c>
      <c r="F8">
        <v>41.84</v>
      </c>
    </row>
    <row r="9" spans="1:6" x14ac:dyDescent="0.35">
      <c r="A9">
        <v>2001</v>
      </c>
      <c r="B9">
        <v>4</v>
      </c>
      <c r="C9">
        <v>538.91</v>
      </c>
      <c r="D9">
        <v>739.62</v>
      </c>
      <c r="E9">
        <f t="shared" si="0"/>
        <v>73.962000000000003</v>
      </c>
      <c r="F9">
        <v>76.42</v>
      </c>
    </row>
    <row r="10" spans="1:6" x14ac:dyDescent="0.35">
      <c r="A10">
        <v>2002</v>
      </c>
      <c r="B10">
        <v>1</v>
      </c>
      <c r="C10">
        <v>701.53</v>
      </c>
      <c r="D10">
        <v>495.04</v>
      </c>
      <c r="E10">
        <f t="shared" si="0"/>
        <v>49.504000000000005</v>
      </c>
      <c r="F10">
        <v>59.62</v>
      </c>
    </row>
    <row r="11" spans="1:6" x14ac:dyDescent="0.35">
      <c r="A11">
        <v>2002</v>
      </c>
      <c r="B11">
        <v>2</v>
      </c>
      <c r="C11">
        <v>597.83000000000004</v>
      </c>
      <c r="D11">
        <v>288.8</v>
      </c>
      <c r="E11">
        <f t="shared" si="0"/>
        <v>28.880000000000003</v>
      </c>
      <c r="F11">
        <v>55.78</v>
      </c>
    </row>
    <row r="12" spans="1:6" x14ac:dyDescent="0.35">
      <c r="A12">
        <v>2002</v>
      </c>
      <c r="B12">
        <v>3</v>
      </c>
      <c r="C12">
        <v>460.49</v>
      </c>
      <c r="D12">
        <v>693.6</v>
      </c>
      <c r="E12">
        <f t="shared" si="0"/>
        <v>69.36</v>
      </c>
      <c r="F12">
        <v>44.09</v>
      </c>
    </row>
    <row r="13" spans="1:6" x14ac:dyDescent="0.35">
      <c r="A13">
        <v>2002</v>
      </c>
      <c r="B13">
        <v>4</v>
      </c>
      <c r="C13">
        <v>608.6</v>
      </c>
      <c r="D13">
        <v>605.91999999999996</v>
      </c>
      <c r="E13">
        <f t="shared" si="0"/>
        <v>60.591999999999999</v>
      </c>
      <c r="F13">
        <v>74.12</v>
      </c>
    </row>
    <row r="14" spans="1:6" x14ac:dyDescent="0.35">
      <c r="A14">
        <v>2003</v>
      </c>
      <c r="B14">
        <v>1</v>
      </c>
      <c r="C14">
        <v>692.64</v>
      </c>
      <c r="D14">
        <v>586.13</v>
      </c>
      <c r="E14">
        <f t="shared" si="0"/>
        <v>58.613</v>
      </c>
      <c r="F14">
        <v>53.92</v>
      </c>
    </row>
    <row r="15" spans="1:6" x14ac:dyDescent="0.35">
      <c r="A15">
        <v>2003</v>
      </c>
      <c r="B15">
        <v>2</v>
      </c>
      <c r="C15">
        <v>593.63</v>
      </c>
      <c r="D15">
        <v>316.08</v>
      </c>
      <c r="E15">
        <f t="shared" si="0"/>
        <v>31.608000000000001</v>
      </c>
      <c r="F15">
        <v>52.37</v>
      </c>
    </row>
    <row r="16" spans="1:6" x14ac:dyDescent="0.35">
      <c r="A16">
        <v>2003</v>
      </c>
      <c r="B16">
        <v>3</v>
      </c>
      <c r="C16">
        <v>440.46</v>
      </c>
      <c r="D16">
        <v>915.87</v>
      </c>
      <c r="E16">
        <f t="shared" si="0"/>
        <v>91.587000000000003</v>
      </c>
      <c r="F16">
        <v>42.13</v>
      </c>
    </row>
    <row r="17" spans="1:6" x14ac:dyDescent="0.35">
      <c r="A17">
        <v>2003</v>
      </c>
      <c r="B17">
        <v>4</v>
      </c>
      <c r="C17">
        <v>524.54999999999995</v>
      </c>
      <c r="D17">
        <v>702.98</v>
      </c>
      <c r="E17">
        <f t="shared" si="0"/>
        <v>70.298000000000002</v>
      </c>
      <c r="F17">
        <v>66.650000000000006</v>
      </c>
    </row>
    <row r="18" spans="1:6" x14ac:dyDescent="0.35">
      <c r="A18">
        <v>2004</v>
      </c>
      <c r="B18">
        <v>1</v>
      </c>
      <c r="C18">
        <v>551.17999999999995</v>
      </c>
      <c r="D18">
        <v>400.76</v>
      </c>
      <c r="E18">
        <f t="shared" si="0"/>
        <v>40.076000000000001</v>
      </c>
      <c r="F18">
        <v>50.32</v>
      </c>
    </row>
    <row r="19" spans="1:6" x14ac:dyDescent="0.35">
      <c r="A19">
        <v>2004</v>
      </c>
      <c r="B19">
        <v>2</v>
      </c>
      <c r="C19">
        <v>502.79</v>
      </c>
      <c r="D19">
        <v>359.28</v>
      </c>
      <c r="E19">
        <f t="shared" si="0"/>
        <v>35.927999999999997</v>
      </c>
      <c r="F19">
        <v>50.83</v>
      </c>
    </row>
    <row r="20" spans="1:6" x14ac:dyDescent="0.35">
      <c r="A20">
        <v>2004</v>
      </c>
      <c r="B20">
        <v>3</v>
      </c>
      <c r="C20">
        <v>403.24</v>
      </c>
      <c r="D20">
        <v>463.38</v>
      </c>
      <c r="E20">
        <f t="shared" si="0"/>
        <v>46.338000000000001</v>
      </c>
      <c r="F20">
        <v>39.03</v>
      </c>
    </row>
    <row r="21" spans="1:6" x14ac:dyDescent="0.35">
      <c r="A21">
        <v>2004</v>
      </c>
      <c r="B21">
        <v>4</v>
      </c>
      <c r="C21">
        <v>479.96</v>
      </c>
      <c r="D21">
        <v>995.69</v>
      </c>
      <c r="E21">
        <f t="shared" si="0"/>
        <v>99.569000000000017</v>
      </c>
      <c r="F21">
        <v>57.14</v>
      </c>
    </row>
    <row r="22" spans="1:6" x14ac:dyDescent="0.35">
      <c r="A22">
        <v>2005</v>
      </c>
      <c r="B22">
        <v>1</v>
      </c>
      <c r="C22">
        <v>565.17999999999995</v>
      </c>
      <c r="D22">
        <v>480.37</v>
      </c>
      <c r="E22">
        <f t="shared" si="0"/>
        <v>48.037000000000006</v>
      </c>
      <c r="F22">
        <v>56.28</v>
      </c>
    </row>
    <row r="23" spans="1:6" x14ac:dyDescent="0.35">
      <c r="A23">
        <v>2005</v>
      </c>
      <c r="B23">
        <v>2</v>
      </c>
      <c r="C23">
        <v>611.27</v>
      </c>
      <c r="D23">
        <v>258.33</v>
      </c>
      <c r="E23">
        <f t="shared" si="0"/>
        <v>25.832999999999998</v>
      </c>
      <c r="F23">
        <v>58.54</v>
      </c>
    </row>
    <row r="24" spans="1:6" x14ac:dyDescent="0.35">
      <c r="A24">
        <v>2005</v>
      </c>
      <c r="B24">
        <v>3</v>
      </c>
      <c r="C24">
        <v>422.58</v>
      </c>
      <c r="D24">
        <v>1170.3900000000001</v>
      </c>
      <c r="E24">
        <f t="shared" si="0"/>
        <v>117.03900000000002</v>
      </c>
      <c r="F24">
        <v>42.81</v>
      </c>
    </row>
    <row r="25" spans="1:6" x14ac:dyDescent="0.35">
      <c r="A25">
        <v>2005</v>
      </c>
      <c r="B25">
        <v>4</v>
      </c>
      <c r="C25">
        <v>503.69</v>
      </c>
      <c r="D25">
        <v>874.18</v>
      </c>
      <c r="E25">
        <f t="shared" si="0"/>
        <v>87.418000000000006</v>
      </c>
      <c r="F25">
        <v>47.98</v>
      </c>
    </row>
    <row r="26" spans="1:6" x14ac:dyDescent="0.35">
      <c r="A26">
        <v>2006</v>
      </c>
      <c r="B26">
        <v>1</v>
      </c>
      <c r="C26">
        <v>542.37</v>
      </c>
      <c r="D26">
        <v>437.82</v>
      </c>
      <c r="E26">
        <f t="shared" si="0"/>
        <v>43.782000000000004</v>
      </c>
      <c r="F26">
        <v>58.88</v>
      </c>
    </row>
    <row r="27" spans="1:6" x14ac:dyDescent="0.35">
      <c r="A27">
        <v>2006</v>
      </c>
      <c r="B27">
        <v>2</v>
      </c>
      <c r="C27">
        <v>580.39</v>
      </c>
      <c r="D27">
        <v>386.65</v>
      </c>
      <c r="E27">
        <f t="shared" si="0"/>
        <v>38.664999999999999</v>
      </c>
      <c r="F27">
        <v>54.93</v>
      </c>
    </row>
    <row r="28" spans="1:6" x14ac:dyDescent="0.35">
      <c r="A28">
        <v>2006</v>
      </c>
      <c r="B28">
        <v>3</v>
      </c>
      <c r="C28">
        <v>448.34</v>
      </c>
      <c r="D28">
        <v>1165.79</v>
      </c>
      <c r="E28">
        <f t="shared" si="0"/>
        <v>116.57900000000001</v>
      </c>
      <c r="F28">
        <v>52.22</v>
      </c>
    </row>
    <row r="29" spans="1:6" x14ac:dyDescent="0.35">
      <c r="A29">
        <v>2006</v>
      </c>
      <c r="B29">
        <v>4</v>
      </c>
      <c r="C29">
        <v>531.41</v>
      </c>
      <c r="D29">
        <v>578.79999999999995</v>
      </c>
      <c r="E29">
        <f t="shared" si="0"/>
        <v>57.879999999999995</v>
      </c>
      <c r="F29">
        <v>62.62</v>
      </c>
    </row>
    <row r="30" spans="1:6" x14ac:dyDescent="0.35">
      <c r="A30">
        <v>2007</v>
      </c>
      <c r="B30">
        <v>1</v>
      </c>
      <c r="C30">
        <v>499.77</v>
      </c>
      <c r="D30">
        <v>474.5</v>
      </c>
      <c r="E30">
        <f t="shared" si="0"/>
        <v>47.45</v>
      </c>
      <c r="F30">
        <v>48.17</v>
      </c>
    </row>
    <row r="31" spans="1:6" x14ac:dyDescent="0.35">
      <c r="A31">
        <v>2007</v>
      </c>
      <c r="B31">
        <v>2</v>
      </c>
      <c r="C31">
        <v>408.52</v>
      </c>
      <c r="D31">
        <v>274.95999999999998</v>
      </c>
      <c r="E31">
        <f t="shared" si="0"/>
        <v>27.495999999999999</v>
      </c>
      <c r="F31">
        <v>52.46</v>
      </c>
    </row>
    <row r="32" spans="1:6" x14ac:dyDescent="0.35">
      <c r="A32">
        <v>2007</v>
      </c>
      <c r="B32">
        <v>3</v>
      </c>
      <c r="C32">
        <v>479.36</v>
      </c>
      <c r="D32">
        <v>952.23</v>
      </c>
      <c r="E32">
        <f t="shared" si="0"/>
        <v>95.223000000000013</v>
      </c>
      <c r="F32">
        <v>56.07</v>
      </c>
    </row>
    <row r="33" spans="1:6" x14ac:dyDescent="0.35">
      <c r="A33">
        <v>2007</v>
      </c>
      <c r="B33">
        <v>4</v>
      </c>
      <c r="C33">
        <v>443.46</v>
      </c>
      <c r="D33">
        <v>527.74</v>
      </c>
      <c r="E33">
        <f t="shared" si="0"/>
        <v>52.774000000000001</v>
      </c>
      <c r="F33">
        <v>57.94</v>
      </c>
    </row>
    <row r="34" spans="1:6" x14ac:dyDescent="0.35">
      <c r="A34">
        <v>2008</v>
      </c>
      <c r="B34">
        <v>1</v>
      </c>
      <c r="C34">
        <v>502.62</v>
      </c>
      <c r="D34">
        <v>309.7</v>
      </c>
      <c r="E34">
        <f t="shared" si="0"/>
        <v>30.97</v>
      </c>
      <c r="F34">
        <v>47.59</v>
      </c>
    </row>
    <row r="35" spans="1:6" x14ac:dyDescent="0.35">
      <c r="A35">
        <v>2008</v>
      </c>
      <c r="B35">
        <v>2</v>
      </c>
      <c r="C35">
        <v>593.41999999999996</v>
      </c>
      <c r="D35">
        <v>323.64999999999998</v>
      </c>
      <c r="E35">
        <f t="shared" si="0"/>
        <v>32.365000000000002</v>
      </c>
      <c r="F35">
        <v>63.89</v>
      </c>
    </row>
    <row r="36" spans="1:6" x14ac:dyDescent="0.35">
      <c r="A36">
        <v>2008</v>
      </c>
      <c r="B36">
        <v>3</v>
      </c>
      <c r="C36">
        <v>495.35</v>
      </c>
      <c r="D36">
        <v>757.42</v>
      </c>
      <c r="E36">
        <f t="shared" si="0"/>
        <v>75.742000000000004</v>
      </c>
      <c r="F36">
        <v>52.48</v>
      </c>
    </row>
    <row r="37" spans="1:6" x14ac:dyDescent="0.35">
      <c r="A37">
        <v>2008</v>
      </c>
      <c r="B37">
        <v>4</v>
      </c>
      <c r="C37">
        <v>521.25</v>
      </c>
      <c r="D37">
        <v>755.09</v>
      </c>
      <c r="E37">
        <f t="shared" si="0"/>
        <v>75.509</v>
      </c>
      <c r="F37">
        <v>50.81</v>
      </c>
    </row>
    <row r="38" spans="1:6" x14ac:dyDescent="0.35">
      <c r="A38">
        <v>2009</v>
      </c>
      <c r="B38">
        <v>1</v>
      </c>
      <c r="C38">
        <v>510.55</v>
      </c>
      <c r="D38">
        <v>507.12</v>
      </c>
      <c r="E38">
        <f t="shared" si="0"/>
        <v>50.712000000000003</v>
      </c>
      <c r="F38">
        <v>54.05</v>
      </c>
    </row>
    <row r="39" spans="1:6" x14ac:dyDescent="0.35">
      <c r="A39">
        <v>2009</v>
      </c>
      <c r="B39">
        <v>2</v>
      </c>
      <c r="C39">
        <v>632.52</v>
      </c>
      <c r="D39">
        <v>316.33999999999997</v>
      </c>
      <c r="E39">
        <f t="shared" si="0"/>
        <v>31.634</v>
      </c>
      <c r="F39">
        <v>56.59</v>
      </c>
    </row>
    <row r="40" spans="1:6" x14ac:dyDescent="0.35">
      <c r="A40">
        <v>2009</v>
      </c>
      <c r="B40">
        <v>3</v>
      </c>
      <c r="C40">
        <v>479.28</v>
      </c>
      <c r="D40">
        <v>590.55999999999995</v>
      </c>
      <c r="E40">
        <f t="shared" si="0"/>
        <v>59.055999999999997</v>
      </c>
      <c r="F40">
        <v>51.93</v>
      </c>
    </row>
    <row r="41" spans="1:6" x14ac:dyDescent="0.35">
      <c r="A41">
        <v>2009</v>
      </c>
      <c r="B41">
        <v>4</v>
      </c>
      <c r="C41">
        <v>485.59</v>
      </c>
      <c r="D41">
        <v>667.39</v>
      </c>
      <c r="E41">
        <f t="shared" si="0"/>
        <v>66.739000000000004</v>
      </c>
      <c r="F41">
        <v>53.55</v>
      </c>
    </row>
    <row r="42" spans="1:6" x14ac:dyDescent="0.35">
      <c r="A42">
        <v>2010</v>
      </c>
      <c r="B42">
        <v>1</v>
      </c>
      <c r="C42">
        <v>558.34</v>
      </c>
      <c r="D42">
        <v>424.91</v>
      </c>
      <c r="E42">
        <f t="shared" si="0"/>
        <v>42.491000000000007</v>
      </c>
      <c r="F42">
        <v>42.86</v>
      </c>
    </row>
    <row r="43" spans="1:6" x14ac:dyDescent="0.35">
      <c r="A43">
        <v>2010</v>
      </c>
      <c r="B43">
        <v>2</v>
      </c>
      <c r="C43">
        <v>504.77</v>
      </c>
      <c r="D43">
        <v>362.46</v>
      </c>
      <c r="E43">
        <f t="shared" si="0"/>
        <v>36.246000000000002</v>
      </c>
      <c r="F43">
        <v>56.62</v>
      </c>
    </row>
    <row r="44" spans="1:6" x14ac:dyDescent="0.35">
      <c r="A44">
        <v>2010</v>
      </c>
      <c r="B44">
        <v>3</v>
      </c>
      <c r="C44">
        <v>418.92</v>
      </c>
      <c r="D44">
        <v>874.46</v>
      </c>
      <c r="E44">
        <f t="shared" si="0"/>
        <v>87.446000000000012</v>
      </c>
      <c r="F44">
        <v>49.69</v>
      </c>
    </row>
    <row r="45" spans="1:6" x14ac:dyDescent="0.35">
      <c r="A45">
        <v>2010</v>
      </c>
      <c r="B45">
        <v>4</v>
      </c>
      <c r="C45">
        <v>507.39</v>
      </c>
      <c r="D45">
        <v>896.77</v>
      </c>
      <c r="E45">
        <f t="shared" si="0"/>
        <v>89.677000000000007</v>
      </c>
      <c r="F45">
        <v>51.45</v>
      </c>
    </row>
    <row r="46" spans="1:6" x14ac:dyDescent="0.35">
      <c r="A46">
        <v>2011</v>
      </c>
      <c r="B46">
        <v>1</v>
      </c>
      <c r="C46">
        <v>516.70000000000005</v>
      </c>
      <c r="D46">
        <v>335.88</v>
      </c>
      <c r="E46">
        <f t="shared" si="0"/>
        <v>33.588000000000001</v>
      </c>
      <c r="F46">
        <v>45.73</v>
      </c>
    </row>
    <row r="47" spans="1:6" x14ac:dyDescent="0.35">
      <c r="A47">
        <v>2011</v>
      </c>
      <c r="B47">
        <v>2</v>
      </c>
      <c r="C47">
        <v>470.59</v>
      </c>
      <c r="D47">
        <v>357.86</v>
      </c>
      <c r="E47">
        <f t="shared" si="0"/>
        <v>35.786000000000001</v>
      </c>
      <c r="F47">
        <v>48.89</v>
      </c>
    </row>
    <row r="48" spans="1:6" x14ac:dyDescent="0.35">
      <c r="A48">
        <v>2011</v>
      </c>
      <c r="B48">
        <v>3</v>
      </c>
      <c r="C48">
        <v>430.05</v>
      </c>
      <c r="D48">
        <v>642.9</v>
      </c>
      <c r="E48">
        <f t="shared" si="0"/>
        <v>64.290000000000006</v>
      </c>
      <c r="F48">
        <v>51.66</v>
      </c>
    </row>
    <row r="49" spans="1:6" x14ac:dyDescent="0.35">
      <c r="A49">
        <v>2011</v>
      </c>
      <c r="B49">
        <v>4</v>
      </c>
      <c r="C49">
        <v>507.95</v>
      </c>
      <c r="D49">
        <v>1180.98</v>
      </c>
      <c r="E49">
        <f t="shared" si="0"/>
        <v>118.09800000000001</v>
      </c>
      <c r="F49">
        <v>50.08</v>
      </c>
    </row>
    <row r="50" spans="1:6" x14ac:dyDescent="0.35">
      <c r="A50">
        <v>2012</v>
      </c>
      <c r="B50">
        <v>1</v>
      </c>
      <c r="C50">
        <v>470.52</v>
      </c>
      <c r="D50">
        <v>526.27</v>
      </c>
      <c r="E50">
        <f t="shared" si="0"/>
        <v>52.627000000000002</v>
      </c>
      <c r="F50">
        <v>51.87</v>
      </c>
    </row>
    <row r="51" spans="1:6" x14ac:dyDescent="0.35">
      <c r="A51">
        <v>2012</v>
      </c>
      <c r="B51">
        <v>2</v>
      </c>
      <c r="C51">
        <v>575.17999999999995</v>
      </c>
      <c r="D51">
        <v>235.64</v>
      </c>
      <c r="E51">
        <f t="shared" si="0"/>
        <v>23.564</v>
      </c>
      <c r="F51">
        <v>46.36</v>
      </c>
    </row>
    <row r="52" spans="1:6" x14ac:dyDescent="0.35">
      <c r="A52">
        <v>2012</v>
      </c>
      <c r="B52">
        <v>3</v>
      </c>
      <c r="C52">
        <v>561.14</v>
      </c>
      <c r="D52">
        <v>543.07000000000005</v>
      </c>
      <c r="E52">
        <f t="shared" si="0"/>
        <v>54.307000000000009</v>
      </c>
      <c r="F52">
        <v>57.97</v>
      </c>
    </row>
    <row r="53" spans="1:6" x14ac:dyDescent="0.35">
      <c r="A53">
        <v>2012</v>
      </c>
      <c r="B53">
        <v>4</v>
      </c>
      <c r="C53">
        <v>555.73</v>
      </c>
      <c r="D53">
        <v>914.98</v>
      </c>
      <c r="E53">
        <f t="shared" si="0"/>
        <v>91.498000000000005</v>
      </c>
      <c r="F53">
        <v>48</v>
      </c>
    </row>
    <row r="54" spans="1:6" x14ac:dyDescent="0.35">
      <c r="A54">
        <v>2013</v>
      </c>
      <c r="B54">
        <v>1</v>
      </c>
      <c r="C54">
        <v>453.86</v>
      </c>
      <c r="D54">
        <v>315.56</v>
      </c>
      <c r="E54">
        <f t="shared" si="0"/>
        <v>31.556000000000001</v>
      </c>
      <c r="F54">
        <v>53.43</v>
      </c>
    </row>
    <row r="55" spans="1:6" x14ac:dyDescent="0.35">
      <c r="A55">
        <v>2013</v>
      </c>
      <c r="B55">
        <v>2</v>
      </c>
      <c r="C55">
        <v>498.21</v>
      </c>
      <c r="D55">
        <v>362.72</v>
      </c>
      <c r="E55">
        <f t="shared" si="0"/>
        <v>36.272000000000006</v>
      </c>
      <c r="F55">
        <v>36.36</v>
      </c>
    </row>
    <row r="56" spans="1:6" x14ac:dyDescent="0.35">
      <c r="A56">
        <v>2013</v>
      </c>
      <c r="B56">
        <v>3</v>
      </c>
      <c r="C56">
        <v>481.65</v>
      </c>
      <c r="D56">
        <v>851.23</v>
      </c>
      <c r="E56">
        <f t="shared" si="0"/>
        <v>85.123000000000005</v>
      </c>
      <c r="F56">
        <v>45.55</v>
      </c>
    </row>
    <row r="57" spans="1:6" x14ac:dyDescent="0.35">
      <c r="A57">
        <v>2013</v>
      </c>
      <c r="B57">
        <v>4</v>
      </c>
      <c r="C57">
        <v>412.89</v>
      </c>
      <c r="D57">
        <v>671.78</v>
      </c>
      <c r="E57">
        <f t="shared" si="0"/>
        <v>67.177999999999997</v>
      </c>
      <c r="F57">
        <v>47.48</v>
      </c>
    </row>
    <row r="58" spans="1:6" x14ac:dyDescent="0.35">
      <c r="A58">
        <v>2014</v>
      </c>
      <c r="B58">
        <v>1</v>
      </c>
      <c r="C58">
        <v>509.14</v>
      </c>
      <c r="D58">
        <v>415.69</v>
      </c>
      <c r="E58">
        <f t="shared" si="0"/>
        <v>41.569000000000003</v>
      </c>
      <c r="F58">
        <v>54.32</v>
      </c>
    </row>
    <row r="59" spans="1:6" x14ac:dyDescent="0.35">
      <c r="A59">
        <v>2014</v>
      </c>
      <c r="B59">
        <v>2</v>
      </c>
      <c r="C59">
        <v>437.57</v>
      </c>
      <c r="D59">
        <v>262.44</v>
      </c>
      <c r="E59">
        <f t="shared" si="0"/>
        <v>26.244</v>
      </c>
      <c r="F59">
        <v>36.67</v>
      </c>
    </row>
    <row r="60" spans="1:6" x14ac:dyDescent="0.35">
      <c r="A60">
        <v>2014</v>
      </c>
      <c r="B60">
        <v>3</v>
      </c>
      <c r="C60">
        <v>614.13</v>
      </c>
      <c r="D60">
        <v>833.51</v>
      </c>
      <c r="E60">
        <f t="shared" si="0"/>
        <v>83.350999999999999</v>
      </c>
      <c r="F60">
        <v>54.42</v>
      </c>
    </row>
    <row r="61" spans="1:6" x14ac:dyDescent="0.35">
      <c r="A61">
        <v>2014</v>
      </c>
      <c r="B61">
        <v>4</v>
      </c>
      <c r="C61">
        <v>456.57</v>
      </c>
      <c r="D61">
        <v>785.67</v>
      </c>
      <c r="E61">
        <f t="shared" si="0"/>
        <v>78.567000000000007</v>
      </c>
      <c r="F61">
        <v>52.02</v>
      </c>
    </row>
    <row r="62" spans="1:6" x14ac:dyDescent="0.35">
      <c r="A62">
        <v>2015</v>
      </c>
      <c r="B62">
        <v>1</v>
      </c>
      <c r="C62">
        <v>484.76</v>
      </c>
      <c r="D62">
        <v>414.86</v>
      </c>
      <c r="E62">
        <f t="shared" si="0"/>
        <v>41.486000000000004</v>
      </c>
      <c r="F62">
        <v>51.09</v>
      </c>
    </row>
    <row r="63" spans="1:6" x14ac:dyDescent="0.35">
      <c r="A63">
        <v>2015</v>
      </c>
      <c r="B63">
        <v>2</v>
      </c>
      <c r="C63">
        <v>496.8</v>
      </c>
      <c r="D63">
        <v>326.39999999999998</v>
      </c>
      <c r="E63">
        <f t="shared" si="0"/>
        <v>32.64</v>
      </c>
      <c r="F63">
        <v>53.76</v>
      </c>
    </row>
    <row r="64" spans="1:6" x14ac:dyDescent="0.35">
      <c r="A64">
        <v>2015</v>
      </c>
      <c r="B64">
        <v>3</v>
      </c>
      <c r="C64">
        <v>473</v>
      </c>
      <c r="D64">
        <v>816.13</v>
      </c>
      <c r="E64">
        <f t="shared" si="0"/>
        <v>81.613</v>
      </c>
      <c r="F64">
        <v>57.09</v>
      </c>
    </row>
    <row r="65" spans="1:6" x14ac:dyDescent="0.35">
      <c r="A65">
        <v>2015</v>
      </c>
      <c r="B65">
        <v>4</v>
      </c>
      <c r="C65">
        <v>399.71</v>
      </c>
      <c r="D65">
        <v>766.7</v>
      </c>
      <c r="E65">
        <f t="shared" si="0"/>
        <v>76.67</v>
      </c>
      <c r="F65">
        <v>51.06</v>
      </c>
    </row>
    <row r="66" spans="1:6" x14ac:dyDescent="0.35">
      <c r="A66">
        <v>2016</v>
      </c>
      <c r="B66">
        <v>1</v>
      </c>
      <c r="C66">
        <v>365.25</v>
      </c>
      <c r="D66">
        <v>324.93</v>
      </c>
      <c r="E66">
        <f t="shared" si="0"/>
        <v>32.493000000000002</v>
      </c>
      <c r="F66">
        <v>50.14</v>
      </c>
    </row>
    <row r="67" spans="1:6" x14ac:dyDescent="0.35">
      <c r="A67">
        <v>2016</v>
      </c>
      <c r="B67">
        <v>2</v>
      </c>
      <c r="C67">
        <v>437.32</v>
      </c>
      <c r="D67">
        <v>376.59</v>
      </c>
      <c r="E67">
        <f t="shared" ref="E67:E97" si="1">D67*0.1</f>
        <v>37.658999999999999</v>
      </c>
      <c r="F67">
        <v>49.29</v>
      </c>
    </row>
    <row r="68" spans="1:6" x14ac:dyDescent="0.35">
      <c r="A68">
        <v>2016</v>
      </c>
      <c r="B68">
        <v>3</v>
      </c>
      <c r="C68">
        <v>601.26</v>
      </c>
      <c r="D68">
        <v>595.58000000000004</v>
      </c>
      <c r="E68">
        <f t="shared" si="1"/>
        <v>59.558000000000007</v>
      </c>
      <c r="F68">
        <v>47.61</v>
      </c>
    </row>
    <row r="69" spans="1:6" x14ac:dyDescent="0.35">
      <c r="A69">
        <v>2016</v>
      </c>
      <c r="B69">
        <v>4</v>
      </c>
      <c r="C69">
        <v>475.09</v>
      </c>
      <c r="D69">
        <v>836.52</v>
      </c>
      <c r="E69">
        <f t="shared" si="1"/>
        <v>83.652000000000001</v>
      </c>
      <c r="F69">
        <v>45.23</v>
      </c>
    </row>
    <row r="70" spans="1:6" x14ac:dyDescent="0.35">
      <c r="A70">
        <v>2017</v>
      </c>
      <c r="B70">
        <v>1</v>
      </c>
      <c r="C70">
        <v>375.98</v>
      </c>
      <c r="D70">
        <v>441.52</v>
      </c>
      <c r="E70">
        <f t="shared" si="1"/>
        <v>44.152000000000001</v>
      </c>
      <c r="F70">
        <v>48.75</v>
      </c>
    </row>
    <row r="71" spans="1:6" x14ac:dyDescent="0.35">
      <c r="A71">
        <v>2017</v>
      </c>
      <c r="B71">
        <v>2</v>
      </c>
      <c r="C71">
        <v>491.24</v>
      </c>
      <c r="D71">
        <v>511.24</v>
      </c>
      <c r="E71">
        <f t="shared" si="1"/>
        <v>51.124000000000002</v>
      </c>
      <c r="F71">
        <v>37.380000000000003</v>
      </c>
    </row>
    <row r="72" spans="1:6" x14ac:dyDescent="0.35">
      <c r="A72">
        <v>2017</v>
      </c>
      <c r="B72">
        <v>3</v>
      </c>
      <c r="C72">
        <v>547.91</v>
      </c>
      <c r="D72">
        <v>918.05</v>
      </c>
      <c r="E72">
        <f t="shared" si="1"/>
        <v>91.805000000000007</v>
      </c>
      <c r="F72">
        <v>55.02</v>
      </c>
    </row>
    <row r="73" spans="1:6" x14ac:dyDescent="0.35">
      <c r="A73">
        <v>2017</v>
      </c>
      <c r="B73">
        <v>4</v>
      </c>
      <c r="C73">
        <v>388.3</v>
      </c>
      <c r="D73">
        <v>905.64</v>
      </c>
      <c r="E73">
        <f t="shared" si="1"/>
        <v>90.564000000000007</v>
      </c>
      <c r="F73">
        <v>43.71</v>
      </c>
    </row>
    <row r="74" spans="1:6" x14ac:dyDescent="0.35">
      <c r="A74">
        <v>2018</v>
      </c>
      <c r="B74">
        <v>1</v>
      </c>
      <c r="C74">
        <v>448.68</v>
      </c>
      <c r="D74">
        <v>228.72</v>
      </c>
      <c r="E74">
        <f t="shared" si="1"/>
        <v>22.872</v>
      </c>
      <c r="F74">
        <v>41.29</v>
      </c>
    </row>
    <row r="75" spans="1:6" x14ac:dyDescent="0.35">
      <c r="A75">
        <v>2018</v>
      </c>
      <c r="B75">
        <v>2</v>
      </c>
      <c r="C75">
        <v>414.59</v>
      </c>
      <c r="D75">
        <v>379.26</v>
      </c>
      <c r="E75">
        <f t="shared" si="1"/>
        <v>37.926000000000002</v>
      </c>
      <c r="F75">
        <v>43.69</v>
      </c>
    </row>
    <row r="76" spans="1:6" x14ac:dyDescent="0.35">
      <c r="A76">
        <v>2018</v>
      </c>
      <c r="B76">
        <v>3</v>
      </c>
      <c r="C76">
        <v>576.66999999999996</v>
      </c>
      <c r="D76">
        <v>764.91</v>
      </c>
      <c r="E76">
        <f t="shared" si="1"/>
        <v>76.491</v>
      </c>
      <c r="F76">
        <v>60.21</v>
      </c>
    </row>
    <row r="77" spans="1:6" x14ac:dyDescent="0.35">
      <c r="A77">
        <v>2018</v>
      </c>
      <c r="B77">
        <v>4</v>
      </c>
      <c r="C77">
        <v>538.27</v>
      </c>
      <c r="D77">
        <v>1078.1099999999999</v>
      </c>
      <c r="E77">
        <f t="shared" si="1"/>
        <v>107.81099999999999</v>
      </c>
      <c r="F77">
        <v>40.98</v>
      </c>
    </row>
    <row r="78" spans="1:6" x14ac:dyDescent="0.35">
      <c r="A78">
        <v>2019</v>
      </c>
      <c r="B78">
        <v>1</v>
      </c>
      <c r="C78">
        <v>447.35</v>
      </c>
      <c r="D78">
        <v>374.4</v>
      </c>
      <c r="E78">
        <f t="shared" si="1"/>
        <v>37.44</v>
      </c>
      <c r="F78">
        <v>44</v>
      </c>
    </row>
    <row r="79" spans="1:6" x14ac:dyDescent="0.35">
      <c r="A79">
        <v>2019</v>
      </c>
      <c r="B79">
        <v>2</v>
      </c>
      <c r="C79">
        <v>439.14</v>
      </c>
      <c r="D79">
        <v>461.91</v>
      </c>
      <c r="E79">
        <f t="shared" si="1"/>
        <v>46.191000000000003</v>
      </c>
      <c r="F79">
        <v>41.19</v>
      </c>
    </row>
    <row r="80" spans="1:6" x14ac:dyDescent="0.35">
      <c r="A80">
        <v>2019</v>
      </c>
      <c r="B80">
        <v>3</v>
      </c>
      <c r="C80">
        <v>536.11</v>
      </c>
      <c r="D80">
        <v>741.28</v>
      </c>
      <c r="E80">
        <f t="shared" si="1"/>
        <v>74.128</v>
      </c>
      <c r="F80">
        <v>59.12</v>
      </c>
    </row>
    <row r="81" spans="1:6" x14ac:dyDescent="0.35">
      <c r="A81">
        <v>2019</v>
      </c>
      <c r="B81">
        <v>4</v>
      </c>
      <c r="C81">
        <v>322.16000000000003</v>
      </c>
      <c r="D81">
        <v>752.24</v>
      </c>
      <c r="E81">
        <f t="shared" si="1"/>
        <v>75.224000000000004</v>
      </c>
      <c r="F81">
        <v>32.21</v>
      </c>
    </row>
    <row r="82" spans="1:6" x14ac:dyDescent="0.35">
      <c r="A82">
        <v>2020</v>
      </c>
      <c r="B82">
        <v>1</v>
      </c>
      <c r="C82">
        <v>433.54</v>
      </c>
      <c r="D82">
        <v>269.73</v>
      </c>
      <c r="E82">
        <f t="shared" si="1"/>
        <v>26.973000000000003</v>
      </c>
      <c r="F82">
        <v>46.06</v>
      </c>
    </row>
    <row r="83" spans="1:6" x14ac:dyDescent="0.35">
      <c r="A83">
        <v>2020</v>
      </c>
      <c r="B83">
        <v>2</v>
      </c>
      <c r="C83">
        <v>482.81</v>
      </c>
      <c r="D83">
        <v>284.11</v>
      </c>
      <c r="E83">
        <f t="shared" si="1"/>
        <v>28.411000000000001</v>
      </c>
      <c r="F83">
        <v>43.21</v>
      </c>
    </row>
    <row r="84" spans="1:6" x14ac:dyDescent="0.35">
      <c r="A84">
        <v>2020</v>
      </c>
      <c r="B84">
        <v>3</v>
      </c>
      <c r="C84">
        <v>575.29999999999995</v>
      </c>
      <c r="D84">
        <v>642.13</v>
      </c>
      <c r="E84">
        <f t="shared" si="1"/>
        <v>64.213000000000008</v>
      </c>
      <c r="F84">
        <v>61.33</v>
      </c>
    </row>
    <row r="85" spans="1:6" x14ac:dyDescent="0.35">
      <c r="A85">
        <v>2020</v>
      </c>
      <c r="B85">
        <v>4</v>
      </c>
      <c r="C85">
        <v>437.94</v>
      </c>
      <c r="D85">
        <v>859.17</v>
      </c>
      <c r="E85">
        <f t="shared" si="1"/>
        <v>85.917000000000002</v>
      </c>
      <c r="F85">
        <v>46.81</v>
      </c>
    </row>
    <row r="86" spans="1:6" x14ac:dyDescent="0.35">
      <c r="A86">
        <v>2021</v>
      </c>
      <c r="B86">
        <v>1</v>
      </c>
      <c r="C86">
        <v>322.38</v>
      </c>
      <c r="D86">
        <v>317.43</v>
      </c>
      <c r="E86">
        <f t="shared" si="1"/>
        <v>31.743000000000002</v>
      </c>
      <c r="F86">
        <v>35.01</v>
      </c>
    </row>
    <row r="87" spans="1:6" x14ac:dyDescent="0.35">
      <c r="A87">
        <v>2021</v>
      </c>
      <c r="B87">
        <v>2</v>
      </c>
      <c r="C87">
        <v>401.48</v>
      </c>
      <c r="D87">
        <v>534.14</v>
      </c>
      <c r="E87">
        <f t="shared" si="1"/>
        <v>53.414000000000001</v>
      </c>
      <c r="F87">
        <v>45.08</v>
      </c>
    </row>
    <row r="88" spans="1:6" x14ac:dyDescent="0.35">
      <c r="A88">
        <v>2021</v>
      </c>
      <c r="B88">
        <v>3</v>
      </c>
      <c r="C88">
        <v>579.30999999999995</v>
      </c>
      <c r="D88">
        <v>550.41999999999996</v>
      </c>
      <c r="E88">
        <f t="shared" si="1"/>
        <v>55.042000000000002</v>
      </c>
      <c r="F88">
        <v>64.95</v>
      </c>
    </row>
    <row r="89" spans="1:6" x14ac:dyDescent="0.35">
      <c r="A89">
        <v>2021</v>
      </c>
      <c r="B89">
        <v>4</v>
      </c>
      <c r="C89">
        <v>405.57</v>
      </c>
      <c r="D89">
        <v>746.51</v>
      </c>
      <c r="E89">
        <f t="shared" si="1"/>
        <v>74.650999999999996</v>
      </c>
      <c r="F89">
        <v>40.65</v>
      </c>
    </row>
    <row r="90" spans="1:6" x14ac:dyDescent="0.35">
      <c r="A90">
        <v>2022</v>
      </c>
      <c r="B90">
        <v>1</v>
      </c>
      <c r="C90">
        <v>370.04</v>
      </c>
      <c r="D90">
        <v>315.36</v>
      </c>
      <c r="E90">
        <f t="shared" si="1"/>
        <v>31.536000000000001</v>
      </c>
      <c r="F90">
        <v>38.47</v>
      </c>
    </row>
    <row r="91" spans="1:6" x14ac:dyDescent="0.35">
      <c r="A91">
        <v>2022</v>
      </c>
      <c r="B91">
        <v>2</v>
      </c>
      <c r="C91">
        <v>491.22</v>
      </c>
      <c r="D91">
        <v>437.41</v>
      </c>
      <c r="E91">
        <f t="shared" si="1"/>
        <v>43.741000000000007</v>
      </c>
      <c r="F91">
        <v>32.49</v>
      </c>
    </row>
    <row r="92" spans="1:6" x14ac:dyDescent="0.35">
      <c r="A92">
        <v>2022</v>
      </c>
      <c r="B92">
        <v>3</v>
      </c>
      <c r="C92">
        <v>587.39</v>
      </c>
      <c r="D92">
        <v>779.17</v>
      </c>
      <c r="E92">
        <f t="shared" si="1"/>
        <v>77.917000000000002</v>
      </c>
      <c r="F92">
        <v>72.95</v>
      </c>
    </row>
    <row r="93" spans="1:6" x14ac:dyDescent="0.35">
      <c r="A93">
        <v>2022</v>
      </c>
      <c r="B93">
        <v>4</v>
      </c>
      <c r="C93">
        <v>362.27</v>
      </c>
      <c r="D93">
        <v>895.4</v>
      </c>
      <c r="E93">
        <f t="shared" si="1"/>
        <v>89.54</v>
      </c>
      <c r="F93">
        <v>35.409999999999997</v>
      </c>
    </row>
    <row r="94" spans="1:6" x14ac:dyDescent="0.35">
      <c r="A94">
        <v>2023</v>
      </c>
      <c r="B94">
        <v>1</v>
      </c>
      <c r="C94">
        <v>312.27</v>
      </c>
      <c r="D94">
        <v>253.39</v>
      </c>
      <c r="E94">
        <f t="shared" si="1"/>
        <v>25.338999999999999</v>
      </c>
      <c r="F94">
        <v>27.31</v>
      </c>
    </row>
    <row r="95" spans="1:6" x14ac:dyDescent="0.35">
      <c r="A95">
        <v>2023</v>
      </c>
      <c r="B95">
        <v>2</v>
      </c>
      <c r="C95">
        <v>454.32</v>
      </c>
      <c r="D95">
        <v>437.62</v>
      </c>
      <c r="E95">
        <f t="shared" si="1"/>
        <v>43.762</v>
      </c>
      <c r="F95">
        <v>40.520000000000003</v>
      </c>
    </row>
    <row r="96" spans="1:6" x14ac:dyDescent="0.35">
      <c r="A96">
        <v>2023</v>
      </c>
      <c r="B96">
        <v>3</v>
      </c>
      <c r="C96">
        <v>587.21</v>
      </c>
      <c r="D96">
        <v>700.78</v>
      </c>
      <c r="E96">
        <f t="shared" si="1"/>
        <v>70.078000000000003</v>
      </c>
      <c r="F96">
        <v>66.58</v>
      </c>
    </row>
    <row r="97" spans="1:6" x14ac:dyDescent="0.35">
      <c r="A97">
        <v>2023</v>
      </c>
      <c r="B97">
        <v>4</v>
      </c>
      <c r="C97">
        <v>331.3</v>
      </c>
      <c r="D97">
        <v>827.82</v>
      </c>
      <c r="E97">
        <f t="shared" si="1"/>
        <v>82.782000000000011</v>
      </c>
      <c r="F97">
        <v>39.89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2113-C5C7-4ABB-9C89-5D15CE92E6D2}">
  <dimension ref="A1:C2"/>
  <sheetViews>
    <sheetView workbookViewId="0">
      <selection activeCell="B1" sqref="B1"/>
    </sheetView>
  </sheetViews>
  <sheetFormatPr defaultRowHeight="14.5" x14ac:dyDescent="0.35"/>
  <cols>
    <col min="1" max="1" width="15.26953125" bestFit="1" customWidth="1"/>
    <col min="2" max="2" width="9.26953125" bestFit="1" customWidth="1"/>
    <col min="3" max="3" width="14.54296875" bestFit="1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500</v>
      </c>
      <c r="B2">
        <v>1.17</v>
      </c>
      <c r="C2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07D0-A6AA-49B9-8174-3054D288D9F5}">
  <dimension ref="A3:L32"/>
  <sheetViews>
    <sheetView topLeftCell="A11" workbookViewId="0">
      <selection activeCell="G30" sqref="G30"/>
    </sheetView>
  </sheetViews>
  <sheetFormatPr defaultRowHeight="14.5" x14ac:dyDescent="0.35"/>
  <cols>
    <col min="1" max="1" width="22.54296875" bestFit="1" customWidth="1"/>
    <col min="2" max="2" width="17.08984375" bestFit="1" customWidth="1"/>
    <col min="3" max="3" width="16.7265625" bestFit="1" customWidth="1"/>
    <col min="4" max="4" width="20.26953125" bestFit="1" customWidth="1"/>
    <col min="5" max="5" width="23.54296875" bestFit="1" customWidth="1"/>
    <col min="6" max="20" width="20.7265625" bestFit="1" customWidth="1"/>
    <col min="21" max="21" width="18.81640625" bestFit="1" customWidth="1"/>
    <col min="22" max="22" width="15.08984375" bestFit="1" customWidth="1"/>
    <col min="23" max="23" width="18.54296875" bestFit="1" customWidth="1"/>
    <col min="24" max="24" width="22.08984375" bestFit="1" customWidth="1"/>
    <col min="25" max="25" width="25.36328125" bestFit="1" customWidth="1"/>
  </cols>
  <sheetData>
    <row r="3" spans="1:12" x14ac:dyDescent="0.35">
      <c r="A3" s="3" t="s">
        <v>27</v>
      </c>
      <c r="B3" s="4" t="s">
        <v>12</v>
      </c>
      <c r="C3" s="4" t="s">
        <v>14</v>
      </c>
      <c r="D3" s="4" t="s">
        <v>15</v>
      </c>
      <c r="E3" s="4" t="s">
        <v>13</v>
      </c>
    </row>
    <row r="4" spans="1:12" x14ac:dyDescent="0.35">
      <c r="A4" s="5">
        <v>1</v>
      </c>
      <c r="B4" s="6">
        <v>572.96222222222207</v>
      </c>
      <c r="C4" s="6">
        <v>462.02666666666676</v>
      </c>
      <c r="D4" s="6">
        <v>46.202666666666659</v>
      </c>
      <c r="E4" s="6">
        <v>54.972222222222221</v>
      </c>
    </row>
    <row r="5" spans="1:12" x14ac:dyDescent="0.35">
      <c r="A5" s="5">
        <v>2</v>
      </c>
      <c r="B5" s="6">
        <v>559.58222222222219</v>
      </c>
      <c r="C5" s="6">
        <v>308.65444444444444</v>
      </c>
      <c r="D5" s="6">
        <v>30.865444444444442</v>
      </c>
      <c r="E5" s="6">
        <v>59.125555555555557</v>
      </c>
    </row>
    <row r="6" spans="1:12" x14ac:dyDescent="0.35">
      <c r="A6" s="5">
        <v>3</v>
      </c>
      <c r="B6" s="6">
        <v>431.91250000000002</v>
      </c>
      <c r="C6" s="6">
        <v>940.79874999999993</v>
      </c>
      <c r="D6" s="6">
        <v>94.079874999999987</v>
      </c>
      <c r="E6" s="6">
        <v>45.161250000000003</v>
      </c>
      <c r="L6" t="s">
        <v>9</v>
      </c>
    </row>
    <row r="7" spans="1:12" x14ac:dyDescent="0.35">
      <c r="A7" s="5">
        <v>4</v>
      </c>
      <c r="B7" s="6">
        <v>521.50249999999994</v>
      </c>
      <c r="C7" s="6">
        <v>728.40250000000003</v>
      </c>
      <c r="D7" s="6">
        <v>72.840250000000012</v>
      </c>
      <c r="E7" s="6">
        <v>63.031250000000007</v>
      </c>
    </row>
    <row r="8" spans="1:12" x14ac:dyDescent="0.35">
      <c r="A8" s="5" t="s">
        <v>10</v>
      </c>
      <c r="B8" s="7">
        <v>524.1241176470586</v>
      </c>
      <c r="C8" s="7">
        <v>596.75705882352941</v>
      </c>
      <c r="D8" s="7">
        <v>59.675705882352929</v>
      </c>
      <c r="E8" s="7">
        <v>55.659411764705894</v>
      </c>
    </row>
    <row r="9" spans="1:12" x14ac:dyDescent="0.35">
      <c r="A9" s="4"/>
      <c r="B9" s="4"/>
      <c r="C9" s="4"/>
      <c r="D9" s="4"/>
      <c r="E9" s="4"/>
    </row>
    <row r="14" spans="1:12" x14ac:dyDescent="0.35">
      <c r="A14" s="20"/>
      <c r="B14" s="20"/>
      <c r="C14" s="21">
        <v>1</v>
      </c>
      <c r="D14" s="21">
        <v>2</v>
      </c>
      <c r="E14" s="21">
        <v>3</v>
      </c>
      <c r="F14" s="21">
        <v>4</v>
      </c>
    </row>
    <row r="15" spans="1:12" x14ac:dyDescent="0.35">
      <c r="A15" s="22" t="s">
        <v>16</v>
      </c>
      <c r="B15" s="10"/>
      <c r="C15" s="11">
        <v>500</v>
      </c>
      <c r="D15" s="8">
        <f>C18</f>
        <v>610.9355555555552</v>
      </c>
      <c r="E15" s="12">
        <f>D18</f>
        <v>861.863333333333</v>
      </c>
      <c r="F15" s="12">
        <f>E18</f>
        <v>352.97708333333321</v>
      </c>
    </row>
    <row r="16" spans="1:12" x14ac:dyDescent="0.35">
      <c r="A16" s="22" t="s">
        <v>17</v>
      </c>
      <c r="B16" s="10"/>
      <c r="C16" s="13">
        <v>572.96222222222207</v>
      </c>
      <c r="D16" s="13">
        <v>559.58222222222219</v>
      </c>
      <c r="E16" s="13">
        <v>431.91250000000002</v>
      </c>
      <c r="F16" s="13">
        <v>448.26566666666668</v>
      </c>
    </row>
    <row r="17" spans="1:6" x14ac:dyDescent="0.35">
      <c r="A17" s="22" t="s">
        <v>18</v>
      </c>
      <c r="B17" s="10"/>
      <c r="C17" s="11">
        <f>GETPIVOTDATA("Average of demand",$A$3,"quarter",1)</f>
        <v>462.02666666666676</v>
      </c>
      <c r="D17" s="11">
        <f>GETPIVOTDATA("Average of demand",$A$3,"quarter",2)</f>
        <v>308.65444444444444</v>
      </c>
      <c r="E17" s="11">
        <f>GETPIVOTDATA("Average of demand",$A$3,"quarter",3)</f>
        <v>940.79874999999993</v>
      </c>
      <c r="F17" s="11">
        <f>GETPIVOTDATA("Average of demand",$A$3,"quarter",4)</f>
        <v>728.40250000000003</v>
      </c>
    </row>
    <row r="18" spans="1:6" x14ac:dyDescent="0.35">
      <c r="A18" s="22" t="s">
        <v>19</v>
      </c>
      <c r="B18" s="10"/>
      <c r="C18" s="8">
        <f>C15+C16-C17</f>
        <v>610.9355555555552</v>
      </c>
      <c r="D18" s="8">
        <f>D15+D16-D17</f>
        <v>861.863333333333</v>
      </c>
      <c r="E18" s="8">
        <f>E15+E16-E17</f>
        <v>352.97708333333321</v>
      </c>
      <c r="F18" s="8">
        <f>F15+F16-F17</f>
        <v>72.840249999999855</v>
      </c>
    </row>
    <row r="19" spans="1:6" x14ac:dyDescent="0.35">
      <c r="A19" s="20"/>
      <c r="B19" s="9"/>
      <c r="C19" s="14"/>
      <c r="D19" s="14"/>
      <c r="E19" s="14"/>
      <c r="F19" s="14"/>
    </row>
    <row r="20" spans="1:6" x14ac:dyDescent="0.35">
      <c r="A20" s="22" t="s">
        <v>20</v>
      </c>
      <c r="B20" s="10"/>
      <c r="C20" s="11">
        <f>GETPIVOTDATA("Average of capacity",$A$3,"quarter",1)</f>
        <v>572.96222222222207</v>
      </c>
      <c r="D20" s="11">
        <f>GETPIVOTDATA("Average of capacity",$A$3,"quarter",2)</f>
        <v>559.58222222222219</v>
      </c>
      <c r="E20" s="11">
        <f>GETPIVOTDATA("Average of capacity",$A$3,"quarter",3)</f>
        <v>431.91250000000002</v>
      </c>
      <c r="F20" s="11">
        <f>GETPIVOTDATA("Average of capacity",$A$3,"quarter",4)</f>
        <v>521.50249999999994</v>
      </c>
    </row>
    <row r="21" spans="1:6" x14ac:dyDescent="0.35">
      <c r="A21" s="23"/>
      <c r="B21" s="4"/>
      <c r="C21" s="4"/>
      <c r="D21" s="4"/>
      <c r="E21" s="4"/>
      <c r="F21" s="4"/>
    </row>
    <row r="22" spans="1:6" x14ac:dyDescent="0.35">
      <c r="A22" s="22" t="s">
        <v>21</v>
      </c>
      <c r="B22" s="10"/>
      <c r="C22" s="12">
        <f>GETPIVOTDATA("Average of Safety Stock",$A$3,"quarter",1)</f>
        <v>46.202666666666659</v>
      </c>
      <c r="D22" s="12">
        <f>GETPIVOTDATA("Average of Safety Stock",$A$3,"quarter",2)</f>
        <v>30.865444444444442</v>
      </c>
      <c r="E22" s="12">
        <f>GETPIVOTDATA("Average of Safety Stock",$A$3,"quarter",3)</f>
        <v>94.079874999999987</v>
      </c>
      <c r="F22" s="12">
        <f>GETPIVOTDATA("Average of Safety Stock",$A$3,"quarter",4)</f>
        <v>72.840250000000012</v>
      </c>
    </row>
    <row r="23" spans="1:6" x14ac:dyDescent="0.35">
      <c r="A23" s="22"/>
      <c r="B23" s="10"/>
      <c r="C23" s="12"/>
      <c r="D23" s="12"/>
      <c r="E23" s="12"/>
      <c r="F23" s="12"/>
    </row>
    <row r="24" spans="1:6" x14ac:dyDescent="0.35">
      <c r="A24" s="22" t="s">
        <v>22</v>
      </c>
      <c r="B24" s="4"/>
      <c r="C24" s="12">
        <f>(C15+C18)/2</f>
        <v>555.46777777777766</v>
      </c>
      <c r="D24" s="12">
        <f t="shared" ref="D24:F24" si="0">(D15+D18)/2</f>
        <v>736.39944444444404</v>
      </c>
      <c r="E24" s="12">
        <f t="shared" si="0"/>
        <v>607.42020833333311</v>
      </c>
      <c r="F24" s="12">
        <f t="shared" si="0"/>
        <v>212.90866666666653</v>
      </c>
    </row>
    <row r="25" spans="1:6" x14ac:dyDescent="0.35">
      <c r="A25" s="23"/>
      <c r="B25" s="4"/>
      <c r="C25" s="4"/>
      <c r="D25" s="4"/>
      <c r="E25" s="4"/>
      <c r="F25" s="4"/>
    </row>
    <row r="26" spans="1:6" x14ac:dyDescent="0.35">
      <c r="A26" s="22" t="s">
        <v>23</v>
      </c>
      <c r="B26" s="10"/>
      <c r="C26" s="15">
        <f>GETPIVOTDATA("Average of production_cost",$A$3,"quarter",1)</f>
        <v>54.972222222222221</v>
      </c>
      <c r="D26" s="15">
        <f>GETPIVOTDATA("Average of production_cost",$A$3,"quarter",2)</f>
        <v>59.125555555555557</v>
      </c>
      <c r="E26" s="15">
        <f>GETPIVOTDATA("Average of production_cost",$A$3,"quarter",3)</f>
        <v>45.161250000000003</v>
      </c>
      <c r="F26" s="15">
        <f>GETPIVOTDATA("Average of production_cost",$A$3,"quarter",4)</f>
        <v>63.031250000000007</v>
      </c>
    </row>
    <row r="27" spans="1:6" x14ac:dyDescent="0.35">
      <c r="A27" s="22" t="s">
        <v>24</v>
      </c>
      <c r="B27" s="19"/>
      <c r="C27" s="16">
        <v>1.17</v>
      </c>
      <c r="D27" s="16">
        <v>1.17</v>
      </c>
      <c r="E27" s="16">
        <v>1.17</v>
      </c>
      <c r="F27" s="16">
        <v>1.17</v>
      </c>
    </row>
    <row r="28" spans="1:6" x14ac:dyDescent="0.35">
      <c r="A28" s="24"/>
      <c r="B28" s="17"/>
      <c r="C28" s="12"/>
      <c r="D28" s="12"/>
      <c r="E28" s="12"/>
      <c r="F28" s="12"/>
    </row>
    <row r="29" spans="1:6" x14ac:dyDescent="0.35">
      <c r="A29" s="24" t="s">
        <v>25</v>
      </c>
      <c r="B29" s="17"/>
      <c r="C29" s="18">
        <f>C26*C16</f>
        <v>31497.006604938262</v>
      </c>
      <c r="D29" s="18">
        <f>D26*D16</f>
        <v>33085.609767901231</v>
      </c>
      <c r="E29" s="18">
        <f>E26*E16</f>
        <v>19505.708390625001</v>
      </c>
      <c r="F29" s="18">
        <f>F26*F16</f>
        <v>28254.745302083338</v>
      </c>
    </row>
    <row r="30" spans="1:6" x14ac:dyDescent="0.35">
      <c r="A30" s="24" t="s">
        <v>26</v>
      </c>
      <c r="B30" s="17"/>
      <c r="C30" s="18">
        <f>C27*C24</f>
        <v>649.89729999999986</v>
      </c>
      <c r="D30" s="18">
        <f t="shared" ref="D30:F30" si="1">D27*D24</f>
        <v>861.58734999999945</v>
      </c>
      <c r="E30" s="18">
        <f t="shared" si="1"/>
        <v>710.68164374999969</v>
      </c>
      <c r="F30" s="18">
        <f t="shared" si="1"/>
        <v>249.10313999999983</v>
      </c>
    </row>
    <row r="32" spans="1:6" x14ac:dyDescent="0.35">
      <c r="F32" s="25">
        <f>SUM(C29:F30)</f>
        <v>114814.33949929783</v>
      </c>
    </row>
  </sheetData>
  <conditionalFormatting pivot="1" sqref="B4:B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1D2D198-6859-46CE-89CA-F532331071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PivotTable!B4:B7</xm:f>
              <xm:sqref>B9</xm:sqref>
            </x14:sparkline>
            <x14:sparkline>
              <xm:f>PivotTable!C4:C7</xm:f>
              <xm:sqref>C9</xm:sqref>
            </x14:sparkline>
            <x14:sparkline>
              <xm:f>PivotTable!D4:D7</xm:f>
              <xm:sqref>D9</xm:sqref>
            </x14:sparkline>
            <x14:sparkline>
              <xm:f>PivotTable!E4:E7</xm:f>
              <xm:sqref>E9</xm:sqref>
            </x14:sparkline>
          </x14:sparklines>
        </x14:sparklineGroup>
        <x14:sparklineGroup displayEmptyCellsAs="gap" xr2:uid="{AE7575EE-981E-4B6C-BCFB-8B6A0CEFAA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PivotTable!G13:G16</xm:f>
              <xm:sqref>G18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7639-B765-4CBF-A55C-1E806F9644EA}">
  <dimension ref="A3:L32"/>
  <sheetViews>
    <sheetView tabSelected="1" topLeftCell="A12" workbookViewId="0">
      <selection activeCell="A13" sqref="A13:F32"/>
    </sheetView>
  </sheetViews>
  <sheetFormatPr defaultRowHeight="14.5" x14ac:dyDescent="0.35"/>
  <cols>
    <col min="1" max="1" width="22.54296875" bestFit="1" customWidth="1"/>
    <col min="2" max="2" width="17.08984375" bestFit="1" customWidth="1"/>
    <col min="3" max="3" width="16.7265625" bestFit="1" customWidth="1"/>
    <col min="4" max="4" width="20.26953125" bestFit="1" customWidth="1"/>
    <col min="5" max="5" width="23.54296875" bestFit="1" customWidth="1"/>
    <col min="6" max="20" width="20.7265625" bestFit="1" customWidth="1"/>
    <col min="21" max="21" width="18.81640625" bestFit="1" customWidth="1"/>
    <col min="22" max="22" width="15.08984375" bestFit="1" customWidth="1"/>
    <col min="23" max="23" width="18.54296875" bestFit="1" customWidth="1"/>
    <col min="24" max="24" width="22.08984375" bestFit="1" customWidth="1"/>
    <col min="25" max="25" width="25.36328125" bestFit="1" customWidth="1"/>
  </cols>
  <sheetData>
    <row r="3" spans="1:12" x14ac:dyDescent="0.35">
      <c r="A3" s="4" t="s">
        <v>27</v>
      </c>
      <c r="B3" s="4" t="s">
        <v>12</v>
      </c>
      <c r="C3" s="4" t="s">
        <v>14</v>
      </c>
      <c r="D3" s="4" t="s">
        <v>15</v>
      </c>
      <c r="E3" s="4" t="s">
        <v>13</v>
      </c>
    </row>
    <row r="4" spans="1:12" x14ac:dyDescent="0.35">
      <c r="A4" s="5">
        <v>1</v>
      </c>
      <c r="B4" s="6">
        <v>572.96222222222207</v>
      </c>
      <c r="C4" s="6">
        <v>462.02666666666676</v>
      </c>
      <c r="D4" s="6">
        <v>46.202666666666659</v>
      </c>
      <c r="E4" s="6">
        <v>54.972222222222221</v>
      </c>
    </row>
    <row r="5" spans="1:12" x14ac:dyDescent="0.35">
      <c r="A5" s="5">
        <v>2</v>
      </c>
      <c r="B5" s="6">
        <v>559.58222222222219</v>
      </c>
      <c r="C5" s="6">
        <v>308.65444444444444</v>
      </c>
      <c r="D5" s="6">
        <v>30.865444444444442</v>
      </c>
      <c r="E5" s="6">
        <v>59.125555555555557</v>
      </c>
    </row>
    <row r="6" spans="1:12" x14ac:dyDescent="0.35">
      <c r="A6" s="5">
        <v>3</v>
      </c>
      <c r="B6" s="6">
        <v>431.91250000000002</v>
      </c>
      <c r="C6" s="6">
        <v>940.79874999999993</v>
      </c>
      <c r="D6" s="6">
        <v>94.079874999999987</v>
      </c>
      <c r="E6" s="6">
        <v>45.161250000000003</v>
      </c>
      <c r="L6" t="s">
        <v>9</v>
      </c>
    </row>
    <row r="7" spans="1:12" x14ac:dyDescent="0.35">
      <c r="A7" s="5">
        <v>4</v>
      </c>
      <c r="B7" s="6">
        <v>521.50249999999994</v>
      </c>
      <c r="C7" s="6">
        <v>728.40250000000003</v>
      </c>
      <c r="D7" s="6">
        <v>72.840250000000012</v>
      </c>
      <c r="E7" s="6">
        <v>63.031250000000007</v>
      </c>
    </row>
    <row r="8" spans="1:12" x14ac:dyDescent="0.35">
      <c r="A8" s="5" t="s">
        <v>10</v>
      </c>
      <c r="B8" s="7">
        <v>524.1241176470586</v>
      </c>
      <c r="C8" s="7">
        <v>596.75705882352941</v>
      </c>
      <c r="D8" s="7">
        <v>59.675705882352929</v>
      </c>
      <c r="E8" s="7">
        <v>55.659411764705894</v>
      </c>
    </row>
    <row r="9" spans="1:12" x14ac:dyDescent="0.35">
      <c r="A9" s="4"/>
      <c r="B9" s="4"/>
      <c r="C9" s="4"/>
      <c r="D9" s="4"/>
      <c r="E9" s="4"/>
    </row>
    <row r="14" spans="1:12" x14ac:dyDescent="0.35">
      <c r="A14" s="20"/>
      <c r="B14" s="20"/>
      <c r="C14" s="21">
        <v>1</v>
      </c>
      <c r="D14" s="21">
        <v>2</v>
      </c>
      <c r="E14" s="21">
        <v>3</v>
      </c>
      <c r="F14" s="21">
        <v>4</v>
      </c>
    </row>
    <row r="15" spans="1:12" x14ac:dyDescent="0.35">
      <c r="A15" s="22" t="s">
        <v>16</v>
      </c>
      <c r="B15" s="10"/>
      <c r="C15" s="11">
        <v>500</v>
      </c>
      <c r="D15" s="8">
        <f>C18</f>
        <v>339.51988888888889</v>
      </c>
      <c r="E15" s="12">
        <f>D18</f>
        <v>30.865444444444449</v>
      </c>
      <c r="F15" s="12">
        <f>E18</f>
        <v>801.24274999999989</v>
      </c>
    </row>
    <row r="16" spans="1:12" x14ac:dyDescent="0.35">
      <c r="A16" s="22" t="s">
        <v>17</v>
      </c>
      <c r="B16" s="10"/>
      <c r="C16" s="13">
        <v>301.54655555555564</v>
      </c>
      <c r="D16" s="13">
        <v>0</v>
      </c>
      <c r="E16" s="13">
        <v>1711.1760555555554</v>
      </c>
      <c r="F16" s="13">
        <v>0</v>
      </c>
    </row>
    <row r="17" spans="1:6" x14ac:dyDescent="0.35">
      <c r="A17" s="22" t="s">
        <v>18</v>
      </c>
      <c r="B17" s="10"/>
      <c r="C17" s="11">
        <f>GETPIVOTDATA("Average of demand",$A$3,"quarter",1)</f>
        <v>462.02666666666676</v>
      </c>
      <c r="D17" s="11">
        <f>GETPIVOTDATA("Average of demand",$A$3,"quarter",2)</f>
        <v>308.65444444444444</v>
      </c>
      <c r="E17" s="11">
        <f>GETPIVOTDATA("Average of demand",$A$3,"quarter",3)</f>
        <v>940.79874999999993</v>
      </c>
      <c r="F17" s="11">
        <f>GETPIVOTDATA("Average of demand",$A$3,"quarter",4)</f>
        <v>728.40250000000003</v>
      </c>
    </row>
    <row r="18" spans="1:6" x14ac:dyDescent="0.35">
      <c r="A18" s="22" t="s">
        <v>19</v>
      </c>
      <c r="B18" s="10"/>
      <c r="C18" s="8">
        <f>C15+C16-C17</f>
        <v>339.51988888888889</v>
      </c>
      <c r="D18" s="8">
        <f>D15+D16-D17</f>
        <v>30.865444444444449</v>
      </c>
      <c r="E18" s="8">
        <f>E15+E16-E17</f>
        <v>801.24274999999989</v>
      </c>
      <c r="F18" s="8">
        <f>F15+F16-F17</f>
        <v>72.840249999999855</v>
      </c>
    </row>
    <row r="19" spans="1:6" x14ac:dyDescent="0.35">
      <c r="A19" s="20"/>
      <c r="B19" s="9"/>
      <c r="C19" s="14"/>
      <c r="D19" s="14"/>
      <c r="E19" s="14"/>
      <c r="F19" s="14"/>
    </row>
    <row r="20" spans="1:6" x14ac:dyDescent="0.35">
      <c r="A20" s="22" t="s">
        <v>20</v>
      </c>
      <c r="B20" s="10"/>
      <c r="C20" s="11">
        <f>GETPIVOTDATA("Average of capacity",$A$3,"quarter",1)</f>
        <v>572.96222222222207</v>
      </c>
      <c r="D20" s="11">
        <f>GETPIVOTDATA("Average of capacity",$A$3,"quarter",2)</f>
        <v>559.58222222222219</v>
      </c>
      <c r="E20" s="11">
        <f>GETPIVOTDATA("Average of capacity",$A$3,"quarter",3)</f>
        <v>431.91250000000002</v>
      </c>
      <c r="F20" s="11">
        <f>GETPIVOTDATA("Average of capacity",$A$3,"quarter",4)</f>
        <v>521.50249999999994</v>
      </c>
    </row>
    <row r="21" spans="1:6" x14ac:dyDescent="0.35">
      <c r="A21" s="23"/>
      <c r="B21" s="4"/>
      <c r="C21" s="4"/>
      <c r="D21" s="4"/>
      <c r="E21" s="4"/>
      <c r="F21" s="4"/>
    </row>
    <row r="22" spans="1:6" x14ac:dyDescent="0.35">
      <c r="A22" s="22" t="s">
        <v>21</v>
      </c>
      <c r="B22" s="10"/>
      <c r="C22" s="12">
        <f>GETPIVOTDATA("Average of Safety Stock",$A$3,"quarter",1)</f>
        <v>46.202666666666659</v>
      </c>
      <c r="D22" s="12">
        <f>GETPIVOTDATA("Average of Safety Stock",$A$3,"quarter",2)</f>
        <v>30.865444444444442</v>
      </c>
      <c r="E22" s="12">
        <f>GETPIVOTDATA("Average of Safety Stock",$A$3,"quarter",3)</f>
        <v>94.079874999999987</v>
      </c>
      <c r="F22" s="12">
        <f>GETPIVOTDATA("Average of Safety Stock",$A$3,"quarter",4)</f>
        <v>72.840250000000012</v>
      </c>
    </row>
    <row r="23" spans="1:6" x14ac:dyDescent="0.35">
      <c r="A23" s="22"/>
      <c r="B23" s="10"/>
      <c r="C23" s="12"/>
      <c r="D23" s="12"/>
      <c r="E23" s="12"/>
      <c r="F23" s="12"/>
    </row>
    <row r="24" spans="1:6" x14ac:dyDescent="0.35">
      <c r="A24" s="22" t="s">
        <v>22</v>
      </c>
      <c r="B24" s="4"/>
      <c r="C24" s="12">
        <f>(C15+C18)/2</f>
        <v>419.75994444444444</v>
      </c>
      <c r="D24" s="12">
        <f t="shared" ref="D24:F24" si="0">(D15+D18)/2</f>
        <v>185.19266666666667</v>
      </c>
      <c r="E24" s="12">
        <f t="shared" si="0"/>
        <v>416.05409722222214</v>
      </c>
      <c r="F24" s="12">
        <f t="shared" si="0"/>
        <v>437.04149999999987</v>
      </c>
    </row>
    <row r="25" spans="1:6" x14ac:dyDescent="0.35">
      <c r="A25" s="23"/>
      <c r="B25" s="4"/>
      <c r="C25" s="4"/>
      <c r="D25" s="4"/>
      <c r="E25" s="4"/>
      <c r="F25" s="4"/>
    </row>
    <row r="26" spans="1:6" x14ac:dyDescent="0.35">
      <c r="A26" s="22" t="s">
        <v>23</v>
      </c>
      <c r="B26" s="10"/>
      <c r="C26" s="15">
        <f>GETPIVOTDATA("Average of production_cost",$A$3,"quarter",1)</f>
        <v>54.972222222222221</v>
      </c>
      <c r="D26" s="15">
        <f>GETPIVOTDATA("Average of production_cost",$A$3,"quarter",2)</f>
        <v>59.125555555555557</v>
      </c>
      <c r="E26" s="15">
        <f>GETPIVOTDATA("Average of production_cost",$A$3,"quarter",3)</f>
        <v>45.161250000000003</v>
      </c>
      <c r="F26" s="15">
        <f>GETPIVOTDATA("Average of production_cost",$A$3,"quarter",4)</f>
        <v>63.031250000000007</v>
      </c>
    </row>
    <row r="27" spans="1:6" x14ac:dyDescent="0.35">
      <c r="A27" s="22" t="s">
        <v>24</v>
      </c>
      <c r="B27" s="19"/>
      <c r="C27" s="16">
        <v>0</v>
      </c>
      <c r="D27" s="16">
        <v>0</v>
      </c>
      <c r="E27" s="16">
        <v>0</v>
      </c>
      <c r="F27" s="16">
        <v>0</v>
      </c>
    </row>
    <row r="28" spans="1:6" x14ac:dyDescent="0.35">
      <c r="A28" s="24"/>
      <c r="B28" s="17"/>
      <c r="C28" s="12"/>
      <c r="D28" s="12"/>
      <c r="E28" s="12"/>
      <c r="F28" s="12"/>
    </row>
    <row r="29" spans="1:6" x14ac:dyDescent="0.35">
      <c r="A29" s="24" t="s">
        <v>25</v>
      </c>
      <c r="B29" s="17"/>
      <c r="C29" s="18">
        <f>C26*C16</f>
        <v>16576.684262345683</v>
      </c>
      <c r="D29" s="18">
        <f>D26*D16</f>
        <v>0</v>
      </c>
      <c r="E29" s="18">
        <f>E26*E16</f>
        <v>77278.849638958331</v>
      </c>
      <c r="F29" s="18">
        <f>F26*F16</f>
        <v>0</v>
      </c>
    </row>
    <row r="30" spans="1:6" x14ac:dyDescent="0.35">
      <c r="A30" s="24" t="s">
        <v>26</v>
      </c>
      <c r="B30" s="17"/>
      <c r="C30" s="18">
        <f>C27*C24</f>
        <v>0</v>
      </c>
      <c r="D30" s="18">
        <f t="shared" ref="D30:F30" si="1">D27*D24</f>
        <v>0</v>
      </c>
      <c r="E30" s="18">
        <f t="shared" si="1"/>
        <v>0</v>
      </c>
      <c r="F30" s="18">
        <f t="shared" si="1"/>
        <v>0</v>
      </c>
    </row>
    <row r="32" spans="1:6" x14ac:dyDescent="0.35">
      <c r="F32" s="25">
        <f>SUM(C29:F30)</f>
        <v>93855.533901304007</v>
      </c>
    </row>
  </sheetData>
  <conditionalFormatting pivot="1" sqref="B4:B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99BBA1D-3F14-441A-AF58-7B1EBCCE21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'PivotTable (2)'!G13:G16</xm:f>
              <xm:sqref>G18</xm:sqref>
            </x14:sparkline>
          </x14:sparklines>
        </x14:sparklineGroup>
        <x14:sparklineGroup displayEmptyCellsAs="gap" xr2:uid="{84F20300-A3C7-4CCD-96F7-111C8C1758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'PivotTable (2)'!B4:B7</xm:f>
              <xm:sqref>B9</xm:sqref>
            </x14:sparkline>
            <x14:sparkline>
              <xm:f>'PivotTable (2)'!C4:C7</xm:f>
              <xm:sqref>C9</xm:sqref>
            </x14:sparkline>
            <x14:sparkline>
              <xm:f>'PivotTable (2)'!D4:D7</xm:f>
              <xm:sqref>D9</xm:sqref>
            </x14:sparkline>
            <x14:sparkline>
              <xm:f>'PivotTable (2)'!E4:E7</xm:f>
              <xm:sqref>E9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E7ED6A31E68943B6760AE64C20EE32" ma:contentTypeVersion="13" ma:contentTypeDescription="Create a new document." ma:contentTypeScope="" ma:versionID="98b00eda3bae0bc0dd3dedc11aeccb8e">
  <xsd:schema xmlns:xsd="http://www.w3.org/2001/XMLSchema" xmlns:xs="http://www.w3.org/2001/XMLSchema" xmlns:p="http://schemas.microsoft.com/office/2006/metadata/properties" xmlns:ns3="d6c709f8-2985-4fa4-82e2-60efa68dfdca" xmlns:ns4="53260887-8d8e-4892-808b-78d7f57b1382" targetNamespace="http://schemas.microsoft.com/office/2006/metadata/properties" ma:root="true" ma:fieldsID="8770509aad491fd78f3c8932feb8118a" ns3:_="" ns4:_="">
    <xsd:import namespace="d6c709f8-2985-4fa4-82e2-60efa68dfdca"/>
    <xsd:import namespace="53260887-8d8e-4892-808b-78d7f57b1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9f8-2985-4fa4-82e2-60efa68df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60887-8d8e-4892-808b-78d7f57b1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c709f8-2985-4fa4-82e2-60efa68dfdca" xsi:nil="true"/>
  </documentManagement>
</p:properties>
</file>

<file path=customXml/itemProps1.xml><?xml version="1.0" encoding="utf-8"?>
<ds:datastoreItem xmlns:ds="http://schemas.openxmlformats.org/officeDocument/2006/customXml" ds:itemID="{CC0A37EB-7382-4958-A6A6-BAC9790FE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9f8-2985-4fa4-82e2-60efa68dfdca"/>
    <ds:schemaRef ds:uri="53260887-8d8e-4892-808b-78d7f57b1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08CCDA-81DD-426E-B577-D0B129F80E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0EF29E-9D2A-44AB-AB8F-21C8F87DF74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3260887-8d8e-4892-808b-78d7f57b1382"/>
    <ds:schemaRef ds:uri="http://purl.org/dc/terms/"/>
    <ds:schemaRef ds:uri="http://schemas.openxmlformats.org/package/2006/metadata/core-properties"/>
    <ds:schemaRef ds:uri="d6c709f8-2985-4fa4-82e2-60efa68dfdc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</vt:lpstr>
      <vt:lpstr>Past Demand and Production</vt:lpstr>
      <vt:lpstr>Constraints </vt:lpstr>
      <vt:lpstr>PivotTable</vt:lpstr>
      <vt:lpstr>PivotTable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Santoni</dc:creator>
  <cp:lastModifiedBy>Valeria Santoni</cp:lastModifiedBy>
  <dcterms:created xsi:type="dcterms:W3CDTF">2025-02-20T00:13:39Z</dcterms:created>
  <dcterms:modified xsi:type="dcterms:W3CDTF">2025-02-27T01:48:48Z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0x01010092E7ED6A31E68943B6760AE64C20EE32</vt:lpwstr>
  </property>
</Properties>
</file>