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8EC358F4-B9E7-4431-ABDA-FE18F5320C7B}" xr6:coauthVersionLast="47" xr6:coauthVersionMax="47" xr10:uidLastSave="{00000000-0000-0000-0000-000000000000}"/>
  <bookViews>
    <workbookView xWindow="-110" yWindow="-110" windowWidth="19420" windowHeight="10300" activeTab="1" xr2:uid="{C3A1AADE-5B3A-4C42-A049-7F3865913B49}"/>
  </bookViews>
  <sheets>
    <sheet name="Data- Loc and connections" sheetId="1" r:id="rId1"/>
    <sheet name="Model" sheetId="3" r:id="rId2"/>
    <sheet name="Model w Stipulation" sheetId="4" r:id="rId3"/>
  </sheets>
  <definedNames>
    <definedName name="solver_adj" localSheetId="1" hidden="1">Model!$A$3:$A$26,Model!$Q$17</definedName>
    <definedName name="solver_adj" localSheetId="2" hidden="1">'Model w Stipulation'!$A$3:$A$26,'Model w Stipulation'!$Q$17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2</definedName>
    <definedName name="solver_eng" localSheetId="2" hidden="1">2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Model!$A$3:$A$26</definedName>
    <definedName name="solver_lhs1" localSheetId="2" hidden="1">'Model w Stipulation'!$A$3:$A$26</definedName>
    <definedName name="solver_lhs2" localSheetId="1" hidden="1">Model!$S$3:$S$9</definedName>
    <definedName name="solver_lhs2" localSheetId="2" hidden="1">'Model w Stipulation'!$S$3:$S$9</definedName>
    <definedName name="solver_lhs3" localSheetId="1" hidden="1">Model!$V$11:$V$14</definedName>
    <definedName name="solver_lhs3" localSheetId="2" hidden="1">'Model w Stipulation'!$V$11:$V$14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3</definedName>
    <definedName name="solver_num" localSheetId="2" hidden="1">3</definedName>
    <definedName name="solver_nwt" localSheetId="1" hidden="1">1</definedName>
    <definedName name="solver_nwt" localSheetId="2" hidden="1">1</definedName>
    <definedName name="solver_opt" localSheetId="1" hidden="1">Model!$Q$17</definedName>
    <definedName name="solver_opt" localSheetId="2" hidden="1">'Model w Stipulation'!$Q$17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3</definedName>
    <definedName name="solver_rel1" localSheetId="2" hidden="1">3</definedName>
    <definedName name="solver_rel2" localSheetId="1" hidden="1">1</definedName>
    <definedName name="solver_rel2" localSheetId="2" hidden="1">1</definedName>
    <definedName name="solver_rel3" localSheetId="1" hidden="1">1</definedName>
    <definedName name="solver_rel3" localSheetId="2" hidden="1">1</definedName>
    <definedName name="solver_rhs1" localSheetId="1" hidden="1">0</definedName>
    <definedName name="solver_rhs1" localSheetId="2" hidden="1">0</definedName>
    <definedName name="solver_rhs2" localSheetId="1" hidden="1">Model!$T$3:$T$9</definedName>
    <definedName name="solver_rhs2" localSheetId="2" hidden="1">'Model w Stipulation'!$T$3:$T$9</definedName>
    <definedName name="solver_rhs3" localSheetId="1" hidden="1">Model!$Q$17</definedName>
    <definedName name="solver_rhs3" localSheetId="2" hidden="1">'Model w Stipulation'!$Q$17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3" l="1"/>
  <c r="H26" i="3" s="1"/>
  <c r="Q12" i="3" s="1"/>
  <c r="G26" i="3"/>
  <c r="G19" i="4"/>
  <c r="G26" i="4"/>
  <c r="F26" i="4"/>
  <c r="H26" i="4" s="1"/>
  <c r="G25" i="4"/>
  <c r="F25" i="4"/>
  <c r="H25" i="4" s="1"/>
  <c r="G24" i="4"/>
  <c r="H24" i="4" s="1"/>
  <c r="F24" i="4"/>
  <c r="G23" i="4"/>
  <c r="F23" i="4"/>
  <c r="H23" i="4" s="1"/>
  <c r="G22" i="4"/>
  <c r="F22" i="4"/>
  <c r="H22" i="4" s="1"/>
  <c r="H21" i="4"/>
  <c r="G21" i="4"/>
  <c r="F21" i="4"/>
  <c r="G20" i="4"/>
  <c r="F20" i="4"/>
  <c r="H20" i="4" s="1"/>
  <c r="F19" i="4"/>
  <c r="G18" i="4"/>
  <c r="F18" i="4"/>
  <c r="H18" i="4" s="1"/>
  <c r="G17" i="4"/>
  <c r="F17" i="4"/>
  <c r="H17" i="4" s="1"/>
  <c r="G16" i="4"/>
  <c r="H16" i="4" s="1"/>
  <c r="F16" i="4"/>
  <c r="G15" i="4"/>
  <c r="F15" i="4"/>
  <c r="H15" i="4" s="1"/>
  <c r="Q14" i="4"/>
  <c r="S14" i="4" s="1"/>
  <c r="T14" i="4" s="1"/>
  <c r="V14" i="4" s="1"/>
  <c r="G14" i="4"/>
  <c r="F14" i="4"/>
  <c r="H14" i="4" s="1"/>
  <c r="Q13" i="4"/>
  <c r="S13" i="4" s="1"/>
  <c r="T13" i="4" s="1"/>
  <c r="V13" i="4" s="1"/>
  <c r="H13" i="4"/>
  <c r="G13" i="4"/>
  <c r="F13" i="4"/>
  <c r="G12" i="4"/>
  <c r="H12" i="4" s="1"/>
  <c r="F12" i="4"/>
  <c r="Q11" i="4"/>
  <c r="S11" i="4" s="1"/>
  <c r="T11" i="4" s="1"/>
  <c r="V11" i="4" s="1"/>
  <c r="G11" i="4"/>
  <c r="F11" i="4"/>
  <c r="H11" i="4" s="1"/>
  <c r="G10" i="4"/>
  <c r="F10" i="4"/>
  <c r="H10" i="4" s="1"/>
  <c r="R9" i="4"/>
  <c r="Q9" i="4"/>
  <c r="G9" i="4"/>
  <c r="H9" i="4" s="1"/>
  <c r="F9" i="4"/>
  <c r="R8" i="4"/>
  <c r="Q8" i="4"/>
  <c r="G8" i="4"/>
  <c r="F8" i="4"/>
  <c r="H8" i="4" s="1"/>
  <c r="R7" i="4"/>
  <c r="Q7" i="4"/>
  <c r="G7" i="4"/>
  <c r="F7" i="4"/>
  <c r="H7" i="4" s="1"/>
  <c r="R6" i="4"/>
  <c r="Q6" i="4"/>
  <c r="G6" i="4"/>
  <c r="F6" i="4"/>
  <c r="H6" i="4" s="1"/>
  <c r="R5" i="4"/>
  <c r="Q5" i="4"/>
  <c r="G5" i="4"/>
  <c r="H5" i="4" s="1"/>
  <c r="F5" i="4"/>
  <c r="R4" i="4"/>
  <c r="Q4" i="4"/>
  <c r="G4" i="4"/>
  <c r="F4" i="4"/>
  <c r="H4" i="4" s="1"/>
  <c r="R3" i="4"/>
  <c r="Q3" i="4"/>
  <c r="G3" i="4"/>
  <c r="F3" i="4"/>
  <c r="H3" i="4" s="1"/>
  <c r="Q14" i="3"/>
  <c r="S14" i="3" s="1"/>
  <c r="T14" i="3" s="1"/>
  <c r="V14" i="3" s="1"/>
  <c r="Q13" i="3"/>
  <c r="S13" i="3" s="1"/>
  <c r="T13" i="3" s="1"/>
  <c r="V13" i="3" s="1"/>
  <c r="Q11" i="3"/>
  <c r="S11" i="3" s="1"/>
  <c r="T11" i="3" s="1"/>
  <c r="V11" i="3" s="1"/>
  <c r="S7" i="4" l="1"/>
  <c r="S4" i="4"/>
  <c r="S6" i="4"/>
  <c r="S8" i="4"/>
  <c r="S3" i="4"/>
  <c r="S5" i="4"/>
  <c r="S9" i="4"/>
  <c r="H19" i="4"/>
  <c r="Q12" i="4"/>
  <c r="S12" i="4" s="1"/>
  <c r="T12" i="4" s="1"/>
  <c r="V12" i="4" s="1"/>
  <c r="R4" i="3" l="1"/>
  <c r="R5" i="3"/>
  <c r="R6" i="3"/>
  <c r="R7" i="3"/>
  <c r="R8" i="3"/>
  <c r="R9" i="3"/>
  <c r="R3" i="3"/>
  <c r="Q4" i="3"/>
  <c r="Q5" i="3"/>
  <c r="Q6" i="3"/>
  <c r="Q7" i="3"/>
  <c r="Q8" i="3"/>
  <c r="Q9" i="3"/>
  <c r="Q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10" i="3"/>
  <c r="F11" i="3"/>
  <c r="F12" i="3"/>
  <c r="H12" i="3" s="1"/>
  <c r="F13" i="3"/>
  <c r="H13" i="3" s="1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H22" i="3" s="1"/>
  <c r="F23" i="3"/>
  <c r="H23" i="3" s="1"/>
  <c r="F24" i="3"/>
  <c r="H24" i="3" s="1"/>
  <c r="F25" i="3"/>
  <c r="H25" i="3" s="1"/>
  <c r="G3" i="3"/>
  <c r="F3" i="3"/>
  <c r="H3" i="3" s="1"/>
  <c r="H11" i="3" l="1"/>
  <c r="S12" i="3" s="1"/>
  <c r="T12" i="3" s="1"/>
  <c r="V12" i="3" s="1"/>
  <c r="H10" i="3"/>
  <c r="S4" i="3"/>
  <c r="S3" i="3"/>
  <c r="S6" i="3"/>
  <c r="S8" i="3"/>
  <c r="S5" i="3"/>
  <c r="S9" i="3"/>
  <c r="S7" i="3"/>
</calcChain>
</file>

<file path=xl/sharedStrings.xml><?xml version="1.0" encoding="utf-8"?>
<sst xmlns="http://schemas.openxmlformats.org/spreadsheetml/2006/main" count="176" uniqueCount="61">
  <si>
    <t>location_id</t>
  </si>
  <si>
    <t>location_name</t>
  </si>
  <si>
    <t>latitude</t>
  </si>
  <si>
    <t>longitude</t>
  </si>
  <si>
    <t>supply</t>
  </si>
  <si>
    <t>demand</t>
  </si>
  <si>
    <t>Butter Pecan Bluff</t>
  </si>
  <si>
    <t>Candyfloss Countryside</t>
  </si>
  <si>
    <t>Coconut Cream Cove</t>
  </si>
  <si>
    <t>Honeycomb Highlands</t>
  </si>
  <si>
    <t>Lollipop Lagoon</t>
  </si>
  <si>
    <t>Marshmallow Meadows</t>
  </si>
  <si>
    <t>Pineapple Pop Paradise</t>
  </si>
  <si>
    <t>from</t>
  </si>
  <si>
    <t>to</t>
  </si>
  <si>
    <t>cost_per_unit_shipped</t>
  </si>
  <si>
    <t>transportation_method</t>
  </si>
  <si>
    <t>congestion_level</t>
  </si>
  <si>
    <t>Wind-powered Ships</t>
  </si>
  <si>
    <t>Diesel Rail</t>
  </si>
  <si>
    <t>Cargo Ships (Heavy Fuel Oil)</t>
  </si>
  <si>
    <t>Electric/Hybrid Trucks</t>
  </si>
  <si>
    <t>Electrified Rail</t>
  </si>
  <si>
    <t>Air Freight</t>
  </si>
  <si>
    <t>Diesel Trucks</t>
  </si>
  <si>
    <t>Slow Steaming Cargo Ships</t>
  </si>
  <si>
    <t>From</t>
  </si>
  <si>
    <t xml:space="preserve">Latitude </t>
  </si>
  <si>
    <t xml:space="preserve">Longitude </t>
  </si>
  <si>
    <t>Transpotation Method</t>
  </si>
  <si>
    <t>Cost per Unit Shipped</t>
  </si>
  <si>
    <t>Congestion Level</t>
  </si>
  <si>
    <t>Latitude</t>
  </si>
  <si>
    <t>Longitude</t>
  </si>
  <si>
    <t>To</t>
  </si>
  <si>
    <t>X1</t>
  </si>
  <si>
    <t>X2</t>
  </si>
  <si>
    <t>Y1</t>
  </si>
  <si>
    <t>Y2</t>
  </si>
  <si>
    <t xml:space="preserve">Euclidean Distance </t>
  </si>
  <si>
    <t xml:space="preserve">Nodes </t>
  </si>
  <si>
    <t>Inflow</t>
  </si>
  <si>
    <t>Outflow</t>
  </si>
  <si>
    <t>Net Flow</t>
  </si>
  <si>
    <t>Supply/demand</t>
  </si>
  <si>
    <t>Total Transportation Cost</t>
  </si>
  <si>
    <t>Units Shipped</t>
  </si>
  <si>
    <t>Distance</t>
  </si>
  <si>
    <t>Target value</t>
  </si>
  <si>
    <t xml:space="preserve">Total Distance Traveled </t>
  </si>
  <si>
    <t>Totals</t>
  </si>
  <si>
    <t>Deviation</t>
  </si>
  <si>
    <t xml:space="preserve">Objectives </t>
  </si>
  <si>
    <t>Binary</t>
  </si>
  <si>
    <t>% Deviation</t>
  </si>
  <si>
    <t xml:space="preserve">Eco- Friendliness </t>
  </si>
  <si>
    <t>Minimize Congestion</t>
  </si>
  <si>
    <t>Weight</t>
  </si>
  <si>
    <t>Weighted Deviation %</t>
  </si>
  <si>
    <t>Objective</t>
  </si>
  <si>
    <t>MiniMax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</si>
</sst>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"/>
    <numFmt numFmtId="165" formatCode="&quot;$&quot;#,##0"/>
    <numFmt numFmtId="171" formatCode="_(&quot;$&quot;* #,##0_);_(&quot;$&quot;* \(#,##0\);_(&quot;$&quot;* &quot;-&quot;??_);_(@_)"/>
    <numFmt numFmtId="178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2" borderId="1" xfId="0" applyFont="1" applyFill="1" applyBorder="1"/>
    <xf numFmtId="0" fontId="0" fillId="2" borderId="0" xfId="0" applyFill="1"/>
    <xf numFmtId="0" fontId="1" fillId="2" borderId="0" xfId="0" applyFont="1" applyFill="1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  <xf numFmtId="164" fontId="0" fillId="0" borderId="0" xfId="0" applyNumberFormat="1"/>
    <xf numFmtId="171" fontId="0" fillId="0" borderId="0" xfId="1" applyNumberFormat="1" applyFont="1"/>
    <xf numFmtId="171" fontId="0" fillId="0" borderId="0" xfId="0" applyNumberFormat="1"/>
    <xf numFmtId="178" fontId="0" fillId="0" borderId="0" xfId="2" applyNumberFormat="1" applyFont="1"/>
    <xf numFmtId="10" fontId="0" fillId="0" borderId="0" xfId="2" applyNumberFormat="1" applyFont="1"/>
    <xf numFmtId="0" fontId="1" fillId="3" borderId="0" xfId="0" applyFont="1" applyFill="1"/>
    <xf numFmtId="9" fontId="0" fillId="3" borderId="0" xfId="2" applyFont="1" applyFill="1"/>
    <xf numFmtId="0" fontId="0" fillId="2" borderId="1" xfId="0" applyFill="1" applyBorder="1"/>
    <xf numFmtId="0" fontId="1" fillId="0" borderId="1" xfId="0" applyFont="1" applyBorder="1"/>
    <xf numFmtId="165" fontId="1" fillId="0" borderId="1" xfId="0" applyNumberFormat="1" applyFont="1" applyBorder="1"/>
    <xf numFmtId="165" fontId="0" fillId="0" borderId="1" xfId="0" applyNumberFormat="1" applyBorder="1"/>
    <xf numFmtId="10" fontId="0" fillId="0" borderId="1" xfId="2" applyNumberFormat="1" applyFont="1" applyBorder="1"/>
    <xf numFmtId="178" fontId="0" fillId="0" borderId="1" xfId="2" applyNumberFormat="1" applyFont="1" applyBorder="1"/>
    <xf numFmtId="164" fontId="0" fillId="0" borderId="1" xfId="0" applyNumberFormat="1" applyBorder="1"/>
    <xf numFmtId="171" fontId="0" fillId="0" borderId="1" xfId="1" applyNumberFormat="1" applyFont="1" applyBorder="1"/>
    <xf numFmtId="171" fontId="0" fillId="0" borderId="1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BC83-AF81-4CE7-BF18-8D38CEEDA213}">
  <dimension ref="A1:M25"/>
  <sheetViews>
    <sheetView workbookViewId="0">
      <selection activeCell="C2" sqref="C2:D8"/>
    </sheetView>
  </sheetViews>
  <sheetFormatPr defaultRowHeight="14.5" x14ac:dyDescent="0.35"/>
  <cols>
    <col min="1" max="1" width="9.6328125" bestFit="1" customWidth="1"/>
    <col min="2" max="2" width="20" bestFit="1" customWidth="1"/>
    <col min="3" max="3" width="7" bestFit="1" customWidth="1"/>
    <col min="4" max="4" width="8.26953125" bestFit="1" customWidth="1"/>
    <col min="9" max="9" width="4.54296875" bestFit="1" customWidth="1"/>
    <col min="11" max="11" width="19.08984375" bestFit="1" customWidth="1"/>
    <col min="12" max="12" width="23.6328125" bestFit="1" customWidth="1"/>
    <col min="13" max="13" width="14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>
        <v>1</v>
      </c>
      <c r="B2" t="s">
        <v>6</v>
      </c>
      <c r="C2">
        <v>37.5</v>
      </c>
      <c r="D2">
        <v>-102.5</v>
      </c>
      <c r="E2">
        <v>9665</v>
      </c>
      <c r="I2">
        <v>1</v>
      </c>
      <c r="J2">
        <v>4</v>
      </c>
      <c r="K2">
        <v>14</v>
      </c>
      <c r="L2" t="s">
        <v>18</v>
      </c>
      <c r="M2">
        <v>81</v>
      </c>
    </row>
    <row r="3" spans="1:13" x14ac:dyDescent="0.35">
      <c r="A3">
        <v>2</v>
      </c>
      <c r="B3" t="s">
        <v>7</v>
      </c>
      <c r="C3">
        <v>44.03</v>
      </c>
      <c r="D3">
        <v>-117.68</v>
      </c>
      <c r="F3">
        <v>1245</v>
      </c>
      <c r="I3">
        <v>1</v>
      </c>
      <c r="J3">
        <v>6</v>
      </c>
      <c r="K3">
        <v>9</v>
      </c>
      <c r="L3" t="s">
        <v>19</v>
      </c>
      <c r="M3">
        <v>26</v>
      </c>
    </row>
    <row r="4" spans="1:13" x14ac:dyDescent="0.35">
      <c r="A4">
        <v>3</v>
      </c>
      <c r="B4" t="s">
        <v>8</v>
      </c>
      <c r="C4">
        <v>30.63</v>
      </c>
      <c r="D4">
        <v>-116.43</v>
      </c>
      <c r="F4">
        <v>1632</v>
      </c>
      <c r="I4">
        <v>1</v>
      </c>
      <c r="J4">
        <v>7</v>
      </c>
      <c r="K4">
        <v>7</v>
      </c>
      <c r="L4" t="s">
        <v>20</v>
      </c>
      <c r="M4">
        <v>83</v>
      </c>
    </row>
    <row r="5" spans="1:13" x14ac:dyDescent="0.35">
      <c r="A5">
        <v>4</v>
      </c>
      <c r="B5" t="s">
        <v>9</v>
      </c>
      <c r="C5">
        <v>39.79</v>
      </c>
      <c r="D5">
        <v>-101.09</v>
      </c>
      <c r="F5">
        <v>1279</v>
      </c>
      <c r="I5">
        <v>2</v>
      </c>
      <c r="J5">
        <v>5</v>
      </c>
      <c r="K5">
        <v>15</v>
      </c>
      <c r="L5" t="s">
        <v>19</v>
      </c>
      <c r="M5">
        <v>91</v>
      </c>
    </row>
    <row r="6" spans="1:13" x14ac:dyDescent="0.35">
      <c r="A6">
        <v>5</v>
      </c>
      <c r="B6" t="s">
        <v>10</v>
      </c>
      <c r="C6">
        <v>37.94</v>
      </c>
      <c r="D6">
        <v>-102.2</v>
      </c>
      <c r="F6">
        <v>1994</v>
      </c>
      <c r="I6">
        <v>2</v>
      </c>
      <c r="J6">
        <v>6</v>
      </c>
      <c r="K6">
        <v>7</v>
      </c>
      <c r="L6" t="s">
        <v>21</v>
      </c>
      <c r="M6">
        <v>89</v>
      </c>
    </row>
    <row r="7" spans="1:13" x14ac:dyDescent="0.35">
      <c r="A7">
        <v>6</v>
      </c>
      <c r="B7" t="s">
        <v>11</v>
      </c>
      <c r="C7">
        <v>41.57</v>
      </c>
      <c r="D7">
        <v>-89.35</v>
      </c>
      <c r="F7">
        <v>1990</v>
      </c>
      <c r="I7">
        <v>3</v>
      </c>
      <c r="J7">
        <v>1</v>
      </c>
      <c r="K7">
        <v>14</v>
      </c>
      <c r="L7" t="s">
        <v>20</v>
      </c>
      <c r="M7">
        <v>26</v>
      </c>
    </row>
    <row r="8" spans="1:13" x14ac:dyDescent="0.35">
      <c r="A8">
        <v>7</v>
      </c>
      <c r="B8" t="s">
        <v>12</v>
      </c>
      <c r="C8">
        <v>38.11</v>
      </c>
      <c r="D8">
        <v>-112.36</v>
      </c>
      <c r="F8">
        <v>1525</v>
      </c>
      <c r="I8">
        <v>3</v>
      </c>
      <c r="J8">
        <v>6</v>
      </c>
      <c r="K8">
        <v>6</v>
      </c>
      <c r="L8" t="s">
        <v>19</v>
      </c>
      <c r="M8">
        <v>76</v>
      </c>
    </row>
    <row r="9" spans="1:13" x14ac:dyDescent="0.35">
      <c r="I9">
        <v>3</v>
      </c>
      <c r="J9">
        <v>7</v>
      </c>
      <c r="K9">
        <v>17</v>
      </c>
      <c r="L9" t="s">
        <v>21</v>
      </c>
      <c r="M9">
        <v>89</v>
      </c>
    </row>
    <row r="10" spans="1:13" x14ac:dyDescent="0.35">
      <c r="I10">
        <v>4</v>
      </c>
      <c r="J10">
        <v>1</v>
      </c>
      <c r="K10">
        <v>20</v>
      </c>
      <c r="L10" t="s">
        <v>22</v>
      </c>
      <c r="M10">
        <v>95</v>
      </c>
    </row>
    <row r="11" spans="1:13" x14ac:dyDescent="0.35">
      <c r="I11">
        <v>4</v>
      </c>
      <c r="J11">
        <v>3</v>
      </c>
      <c r="K11">
        <v>10</v>
      </c>
      <c r="L11" t="s">
        <v>18</v>
      </c>
      <c r="M11">
        <v>78</v>
      </c>
    </row>
    <row r="12" spans="1:13" x14ac:dyDescent="0.35">
      <c r="I12">
        <v>4</v>
      </c>
      <c r="J12">
        <v>5</v>
      </c>
      <c r="K12">
        <v>19</v>
      </c>
      <c r="L12" t="s">
        <v>23</v>
      </c>
      <c r="M12">
        <v>78</v>
      </c>
    </row>
    <row r="13" spans="1:13" x14ac:dyDescent="0.35">
      <c r="I13">
        <v>5</v>
      </c>
      <c r="J13">
        <v>2</v>
      </c>
      <c r="K13">
        <v>13</v>
      </c>
      <c r="L13" t="s">
        <v>19</v>
      </c>
      <c r="M13">
        <v>92</v>
      </c>
    </row>
    <row r="14" spans="1:13" x14ac:dyDescent="0.35">
      <c r="I14">
        <v>5</v>
      </c>
      <c r="J14">
        <v>3</v>
      </c>
      <c r="K14">
        <v>18</v>
      </c>
      <c r="L14" t="s">
        <v>22</v>
      </c>
      <c r="M14">
        <v>73</v>
      </c>
    </row>
    <row r="15" spans="1:13" x14ac:dyDescent="0.35">
      <c r="I15">
        <v>5</v>
      </c>
      <c r="J15">
        <v>4</v>
      </c>
      <c r="K15">
        <v>8</v>
      </c>
      <c r="L15" t="s">
        <v>24</v>
      </c>
      <c r="M15">
        <v>80</v>
      </c>
    </row>
    <row r="16" spans="1:13" x14ac:dyDescent="0.35">
      <c r="I16">
        <v>5</v>
      </c>
      <c r="J16">
        <v>6</v>
      </c>
      <c r="K16">
        <v>10</v>
      </c>
      <c r="L16" t="s">
        <v>20</v>
      </c>
      <c r="M16">
        <v>95</v>
      </c>
    </row>
    <row r="17" spans="9:13" x14ac:dyDescent="0.35">
      <c r="I17">
        <v>6</v>
      </c>
      <c r="J17">
        <v>3</v>
      </c>
      <c r="K17">
        <v>23</v>
      </c>
      <c r="L17" t="s">
        <v>18</v>
      </c>
      <c r="M17">
        <v>100</v>
      </c>
    </row>
    <row r="18" spans="9:13" x14ac:dyDescent="0.35">
      <c r="I18">
        <v>6</v>
      </c>
      <c r="J18">
        <v>4</v>
      </c>
      <c r="K18">
        <v>14</v>
      </c>
      <c r="L18" t="s">
        <v>20</v>
      </c>
      <c r="M18">
        <v>105</v>
      </c>
    </row>
    <row r="19" spans="9:13" x14ac:dyDescent="0.35">
      <c r="I19">
        <v>6</v>
      </c>
      <c r="J19">
        <v>5</v>
      </c>
      <c r="K19">
        <v>20</v>
      </c>
      <c r="L19" t="s">
        <v>23</v>
      </c>
      <c r="M19">
        <v>101</v>
      </c>
    </row>
    <row r="20" spans="9:13" x14ac:dyDescent="0.35">
      <c r="I20">
        <v>6</v>
      </c>
      <c r="J20">
        <v>7</v>
      </c>
      <c r="K20">
        <v>21</v>
      </c>
      <c r="L20" t="s">
        <v>23</v>
      </c>
      <c r="M20">
        <v>36</v>
      </c>
    </row>
    <row r="21" spans="9:13" x14ac:dyDescent="0.35">
      <c r="I21">
        <v>7</v>
      </c>
      <c r="J21">
        <v>2</v>
      </c>
      <c r="K21">
        <v>19</v>
      </c>
      <c r="L21" t="s">
        <v>19</v>
      </c>
      <c r="M21">
        <v>101</v>
      </c>
    </row>
    <row r="22" spans="9:13" x14ac:dyDescent="0.35">
      <c r="I22">
        <v>7</v>
      </c>
      <c r="J22">
        <v>3</v>
      </c>
      <c r="K22">
        <v>11</v>
      </c>
      <c r="L22" t="s">
        <v>20</v>
      </c>
      <c r="M22">
        <v>86</v>
      </c>
    </row>
    <row r="23" spans="9:13" x14ac:dyDescent="0.35">
      <c r="I23">
        <v>7</v>
      </c>
      <c r="J23">
        <v>4</v>
      </c>
      <c r="K23">
        <v>22</v>
      </c>
      <c r="L23" t="s">
        <v>23</v>
      </c>
      <c r="M23">
        <v>95</v>
      </c>
    </row>
    <row r="24" spans="9:13" x14ac:dyDescent="0.35">
      <c r="I24">
        <v>7</v>
      </c>
      <c r="J24">
        <v>5</v>
      </c>
      <c r="K24">
        <v>13</v>
      </c>
      <c r="L24" t="s">
        <v>25</v>
      </c>
      <c r="M24">
        <v>103</v>
      </c>
    </row>
    <row r="25" spans="9:13" x14ac:dyDescent="0.35">
      <c r="I25">
        <v>7</v>
      </c>
      <c r="J25">
        <v>6</v>
      </c>
      <c r="K25">
        <v>23</v>
      </c>
      <c r="L25" t="s">
        <v>23</v>
      </c>
      <c r="M2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1FF0-4EB6-4AF8-B39D-BC8A939037BF}">
  <dimension ref="A1:V26"/>
  <sheetViews>
    <sheetView tabSelected="1" topLeftCell="I1" workbookViewId="0">
      <selection activeCell="R14" sqref="R14"/>
    </sheetView>
  </sheetViews>
  <sheetFormatPr defaultRowHeight="14.5" x14ac:dyDescent="0.35"/>
  <cols>
    <col min="1" max="1" width="12.6328125" bestFit="1" customWidth="1"/>
    <col min="2" max="2" width="5.08984375" bestFit="1" customWidth="1"/>
    <col min="5" max="5" width="2.7265625" bestFit="1" customWidth="1"/>
    <col min="6" max="6" width="8.08984375" bestFit="1" customWidth="1"/>
    <col min="8" max="8" width="17.54296875" bestFit="1" customWidth="1"/>
    <col min="9" max="9" width="23.6328125" bestFit="1" customWidth="1"/>
    <col min="10" max="10" width="6.08984375" bestFit="1" customWidth="1"/>
    <col min="11" max="11" width="15.08984375" bestFit="1" customWidth="1"/>
    <col min="12" max="12" width="6.08984375" bestFit="1" customWidth="1"/>
    <col min="13" max="13" width="19.1796875" bestFit="1" customWidth="1"/>
    <col min="16" max="16" width="21.453125" bestFit="1" customWidth="1"/>
    <col min="17" max="18" width="11.1796875" bestFit="1" customWidth="1"/>
    <col min="20" max="20" width="14.36328125" bestFit="1" customWidth="1"/>
    <col min="22" max="22" width="18.54296875" bestFit="1" customWidth="1"/>
  </cols>
  <sheetData>
    <row r="1" spans="1:22" x14ac:dyDescent="0.35">
      <c r="C1" s="4" t="s">
        <v>35</v>
      </c>
      <c r="D1" s="4" t="s">
        <v>36</v>
      </c>
      <c r="E1" s="4"/>
      <c r="F1" s="4" t="s">
        <v>37</v>
      </c>
      <c r="G1" s="4" t="s">
        <v>38</v>
      </c>
    </row>
    <row r="2" spans="1:22" x14ac:dyDescent="0.35">
      <c r="A2" s="3" t="s">
        <v>46</v>
      </c>
      <c r="B2" s="3" t="s">
        <v>26</v>
      </c>
      <c r="C2" s="3" t="s">
        <v>32</v>
      </c>
      <c r="D2" s="3" t="s">
        <v>33</v>
      </c>
      <c r="E2" s="3" t="s">
        <v>34</v>
      </c>
      <c r="F2" s="3" t="s">
        <v>27</v>
      </c>
      <c r="G2" s="3" t="s">
        <v>28</v>
      </c>
      <c r="H2" s="3" t="s">
        <v>39</v>
      </c>
      <c r="I2" s="3" t="s">
        <v>29</v>
      </c>
      <c r="J2" s="3" t="s">
        <v>53</v>
      </c>
      <c r="K2" s="3" t="s">
        <v>31</v>
      </c>
      <c r="L2" s="3" t="s">
        <v>53</v>
      </c>
      <c r="M2" s="3" t="s">
        <v>30</v>
      </c>
      <c r="P2" s="5" t="s">
        <v>40</v>
      </c>
      <c r="Q2" s="5" t="s">
        <v>41</v>
      </c>
      <c r="R2" s="5" t="s">
        <v>42</v>
      </c>
      <c r="S2" s="5" t="s">
        <v>43</v>
      </c>
      <c r="T2" s="5" t="s">
        <v>44</v>
      </c>
      <c r="U2" s="5" t="s">
        <v>47</v>
      </c>
    </row>
    <row r="3" spans="1:22" x14ac:dyDescent="0.35">
      <c r="A3" s="1">
        <v>5587.0554675117764</v>
      </c>
      <c r="B3" s="1">
        <v>1</v>
      </c>
      <c r="C3" s="1">
        <v>37.5</v>
      </c>
      <c r="D3" s="1">
        <v>-102.5</v>
      </c>
      <c r="E3" s="1">
        <v>4</v>
      </c>
      <c r="F3" s="1">
        <f>_xlfn.XLOOKUP(E3,'Data- Loc and connections'!$A$2:$A$8,'Data- Loc and connections'!$C$2:$C$8)</f>
        <v>39.79</v>
      </c>
      <c r="G3" s="1">
        <f>_xlfn.XLOOKUP(E3,'Data- Loc and connections'!$A$2:$A$8,'Data- Loc and connections'!$D$2:$D$8)</f>
        <v>-101.09</v>
      </c>
      <c r="H3" s="2">
        <f>SQRT(((F3-C3)^2)+((G3-D3)^2))</f>
        <v>2.6892749952357025</v>
      </c>
      <c r="I3" s="1" t="s">
        <v>18</v>
      </c>
      <c r="J3" s="1">
        <v>0</v>
      </c>
      <c r="K3" s="1">
        <v>81</v>
      </c>
      <c r="L3" s="1">
        <v>1</v>
      </c>
      <c r="M3" s="1">
        <v>14</v>
      </c>
      <c r="O3">
        <v>1</v>
      </c>
      <c r="P3" t="s">
        <v>6</v>
      </c>
      <c r="Q3">
        <f>SUMIF($E$3:$E$26,O3,$A$3:$A$26)</f>
        <v>0</v>
      </c>
      <c r="R3">
        <f>SUMIF($B$3:$B$26,O3,$A$3:$A$26)</f>
        <v>9664.9999999999982</v>
      </c>
      <c r="S3">
        <f>Q3-R3</f>
        <v>-9664.9999999999982</v>
      </c>
      <c r="T3">
        <v>-9665</v>
      </c>
    </row>
    <row r="4" spans="1:22" x14ac:dyDescent="0.35">
      <c r="A4" s="1">
        <v>1990</v>
      </c>
      <c r="B4" s="1">
        <v>1</v>
      </c>
      <c r="C4" s="1">
        <v>37.5</v>
      </c>
      <c r="D4" s="1">
        <v>-102.5</v>
      </c>
      <c r="E4" s="1">
        <v>6</v>
      </c>
      <c r="F4" s="1">
        <f>_xlfn.XLOOKUP(E4,'Data- Loc and connections'!$A$2:$A$8,'Data- Loc and connections'!$C$2:$C$8)</f>
        <v>41.57</v>
      </c>
      <c r="G4" s="1">
        <f>_xlfn.XLOOKUP(E4,'Data- Loc and connections'!$A$2:$A$8,'Data- Loc and connections'!$D$2:$D$8)</f>
        <v>-89.35</v>
      </c>
      <c r="H4" s="2">
        <f t="shared" ref="H4:H26" si="0">SQRT(((F4-C4)^2)+((G4-D4)^2))</f>
        <v>13.765442237719794</v>
      </c>
      <c r="I4" s="1" t="s">
        <v>19</v>
      </c>
      <c r="J4" s="1">
        <v>1</v>
      </c>
      <c r="K4" s="1">
        <v>26</v>
      </c>
      <c r="L4" s="1">
        <v>0</v>
      </c>
      <c r="M4" s="1">
        <v>9</v>
      </c>
      <c r="O4">
        <v>2</v>
      </c>
      <c r="P4" t="s">
        <v>7</v>
      </c>
      <c r="Q4">
        <f t="shared" ref="Q4:Q9" si="1">SUMIF($E$3:$E$26,O4,$A$3:$A$26)</f>
        <v>1244.9999999999991</v>
      </c>
      <c r="R4">
        <f t="shared" ref="R4:R9" si="2">SUMIF($B$3:$B$26,O4,$A$3:$A$26)</f>
        <v>0</v>
      </c>
      <c r="S4">
        <f t="shared" ref="S4:S9" si="3">Q4-R4</f>
        <v>1244.9999999999991</v>
      </c>
      <c r="T4">
        <v>1245</v>
      </c>
    </row>
    <row r="5" spans="1:22" x14ac:dyDescent="0.35">
      <c r="A5" s="1">
        <v>2087.9445324882222</v>
      </c>
      <c r="B5" s="1">
        <v>1</v>
      </c>
      <c r="C5" s="1">
        <v>37.5</v>
      </c>
      <c r="D5" s="1">
        <v>-102.5</v>
      </c>
      <c r="E5" s="1">
        <v>7</v>
      </c>
      <c r="F5" s="1">
        <f>_xlfn.XLOOKUP(E5,'Data- Loc and connections'!$A$2:$A$8,'Data- Loc and connections'!$C$2:$C$8)</f>
        <v>38.11</v>
      </c>
      <c r="G5" s="1">
        <f>_xlfn.XLOOKUP(E5,'Data- Loc and connections'!$A$2:$A$8,'Data- Loc and connections'!$D$2:$D$8)</f>
        <v>-112.36</v>
      </c>
      <c r="H5" s="2">
        <f t="shared" si="0"/>
        <v>9.8788511477802921</v>
      </c>
      <c r="I5" s="1" t="s">
        <v>20</v>
      </c>
      <c r="J5" s="1">
        <v>1</v>
      </c>
      <c r="K5" s="1">
        <v>83</v>
      </c>
      <c r="L5" s="1">
        <v>1</v>
      </c>
      <c r="M5" s="1">
        <v>7</v>
      </c>
      <c r="O5">
        <v>3</v>
      </c>
      <c r="P5" t="s">
        <v>8</v>
      </c>
      <c r="Q5">
        <f t="shared" si="1"/>
        <v>2314.0554675117769</v>
      </c>
      <c r="R5">
        <f t="shared" si="2"/>
        <v>682.05546751177701</v>
      </c>
      <c r="S5">
        <f t="shared" si="3"/>
        <v>1632</v>
      </c>
      <c r="T5">
        <v>1632</v>
      </c>
    </row>
    <row r="6" spans="1:22" x14ac:dyDescent="0.35">
      <c r="A6" s="1">
        <v>0</v>
      </c>
      <c r="B6" s="1">
        <v>2</v>
      </c>
      <c r="C6" s="1">
        <v>44.03</v>
      </c>
      <c r="D6" s="1">
        <v>-117.68</v>
      </c>
      <c r="E6" s="1">
        <v>5</v>
      </c>
      <c r="F6" s="1">
        <f>_xlfn.XLOOKUP(E6,'Data- Loc and connections'!$A$2:$A$8,'Data- Loc and connections'!$C$2:$C$8)</f>
        <v>37.94</v>
      </c>
      <c r="G6" s="1">
        <f>_xlfn.XLOOKUP(E6,'Data- Loc and connections'!$A$2:$A$8,'Data- Loc and connections'!$D$2:$D$8)</f>
        <v>-102.2</v>
      </c>
      <c r="H6" s="2">
        <f t="shared" si="0"/>
        <v>16.634857979556067</v>
      </c>
      <c r="I6" s="1" t="s">
        <v>19</v>
      </c>
      <c r="J6" s="1">
        <v>1</v>
      </c>
      <c r="K6" s="1">
        <v>91</v>
      </c>
      <c r="L6" s="1">
        <v>1</v>
      </c>
      <c r="M6" s="1">
        <v>15</v>
      </c>
      <c r="O6">
        <v>4</v>
      </c>
      <c r="P6" t="s">
        <v>9</v>
      </c>
      <c r="Q6">
        <f t="shared" si="1"/>
        <v>5587.0554675117764</v>
      </c>
      <c r="R6">
        <f t="shared" si="2"/>
        <v>4308.0554675117764</v>
      </c>
      <c r="S6">
        <f t="shared" si="3"/>
        <v>1279</v>
      </c>
      <c r="T6">
        <v>1279</v>
      </c>
    </row>
    <row r="7" spans="1:22" x14ac:dyDescent="0.35">
      <c r="A7" s="1">
        <v>0</v>
      </c>
      <c r="B7" s="1">
        <v>2</v>
      </c>
      <c r="C7" s="1">
        <v>44.03</v>
      </c>
      <c r="D7" s="1">
        <v>-117.68</v>
      </c>
      <c r="E7" s="1">
        <v>6</v>
      </c>
      <c r="F7" s="1">
        <f>_xlfn.XLOOKUP(E7,'Data- Loc and connections'!$A$2:$A$8,'Data- Loc and connections'!$C$2:$C$8)</f>
        <v>41.57</v>
      </c>
      <c r="G7" s="1">
        <f>_xlfn.XLOOKUP(E7,'Data- Loc and connections'!$A$2:$A$8,'Data- Loc and connections'!$D$2:$D$8)</f>
        <v>-89.35</v>
      </c>
      <c r="H7" s="2">
        <f t="shared" si="0"/>
        <v>28.43660493096883</v>
      </c>
      <c r="I7" s="1" t="s">
        <v>21</v>
      </c>
      <c r="J7" s="1">
        <v>0</v>
      </c>
      <c r="K7" s="1">
        <v>89</v>
      </c>
      <c r="L7" s="1">
        <v>1</v>
      </c>
      <c r="M7" s="1">
        <v>7</v>
      </c>
      <c r="O7">
        <v>5</v>
      </c>
      <c r="P7" t="s">
        <v>10</v>
      </c>
      <c r="Q7">
        <f t="shared" si="1"/>
        <v>1993.9999999999995</v>
      </c>
      <c r="R7">
        <f t="shared" si="2"/>
        <v>0</v>
      </c>
      <c r="S7">
        <f t="shared" si="3"/>
        <v>1993.9999999999995</v>
      </c>
      <c r="T7">
        <v>1994</v>
      </c>
    </row>
    <row r="8" spans="1:22" x14ac:dyDescent="0.35">
      <c r="A8" s="1">
        <v>0</v>
      </c>
      <c r="B8" s="1">
        <v>3</v>
      </c>
      <c r="C8" s="1">
        <v>30.63</v>
      </c>
      <c r="D8" s="1">
        <v>-116.43</v>
      </c>
      <c r="E8" s="1">
        <v>1</v>
      </c>
      <c r="F8" s="1">
        <f>_xlfn.XLOOKUP(E8,'Data- Loc and connections'!$A$2:$A$8,'Data- Loc and connections'!$C$2:$C$8)</f>
        <v>37.5</v>
      </c>
      <c r="G8" s="1">
        <f>_xlfn.XLOOKUP(E8,'Data- Loc and connections'!$A$2:$A$8,'Data- Loc and connections'!$D$2:$D$8)</f>
        <v>-102.5</v>
      </c>
      <c r="H8" s="2">
        <f t="shared" si="0"/>
        <v>15.531960597426204</v>
      </c>
      <c r="I8" s="1" t="s">
        <v>20</v>
      </c>
      <c r="J8" s="1">
        <v>1</v>
      </c>
      <c r="K8" s="1">
        <v>26</v>
      </c>
      <c r="L8" s="1">
        <v>0</v>
      </c>
      <c r="M8" s="1">
        <v>14</v>
      </c>
      <c r="O8">
        <v>6</v>
      </c>
      <c r="P8" t="s">
        <v>11</v>
      </c>
      <c r="Q8">
        <f t="shared" si="1"/>
        <v>1990</v>
      </c>
      <c r="R8">
        <f t="shared" si="2"/>
        <v>0</v>
      </c>
      <c r="S8">
        <f t="shared" si="3"/>
        <v>1990</v>
      </c>
      <c r="T8">
        <v>1990</v>
      </c>
    </row>
    <row r="9" spans="1:22" x14ac:dyDescent="0.35">
      <c r="A9" s="1">
        <v>0</v>
      </c>
      <c r="B9" s="1">
        <v>3</v>
      </c>
      <c r="C9" s="1">
        <v>30.63</v>
      </c>
      <c r="D9" s="1">
        <v>-116.43</v>
      </c>
      <c r="E9" s="1">
        <v>6</v>
      </c>
      <c r="F9" s="1">
        <f>_xlfn.XLOOKUP(E9,'Data- Loc and connections'!$A$2:$A$8,'Data- Loc and connections'!$C$2:$C$8)</f>
        <v>41.57</v>
      </c>
      <c r="G9" s="1">
        <f>_xlfn.XLOOKUP(E9,'Data- Loc and connections'!$A$2:$A$8,'Data- Loc and connections'!$D$2:$D$8)</f>
        <v>-89.35</v>
      </c>
      <c r="H9" s="2">
        <f t="shared" si="0"/>
        <v>29.206334929258084</v>
      </c>
      <c r="I9" s="1" t="s">
        <v>19</v>
      </c>
      <c r="J9" s="1">
        <v>1</v>
      </c>
      <c r="K9" s="1">
        <v>76</v>
      </c>
      <c r="L9" s="1">
        <v>1</v>
      </c>
      <c r="M9" s="1">
        <v>6</v>
      </c>
      <c r="O9">
        <v>7</v>
      </c>
      <c r="P9" t="s">
        <v>12</v>
      </c>
      <c r="Q9">
        <f t="shared" si="1"/>
        <v>2769.9999999999991</v>
      </c>
      <c r="R9">
        <f t="shared" si="2"/>
        <v>1244.9999999999991</v>
      </c>
      <c r="S9">
        <f t="shared" si="3"/>
        <v>1525</v>
      </c>
      <c r="T9">
        <v>1525</v>
      </c>
    </row>
    <row r="10" spans="1:22" x14ac:dyDescent="0.35">
      <c r="A10" s="1">
        <v>682.05546751177701</v>
      </c>
      <c r="B10" s="1">
        <v>3</v>
      </c>
      <c r="C10" s="1">
        <v>30.63</v>
      </c>
      <c r="D10" s="1">
        <v>-116.43</v>
      </c>
      <c r="E10" s="1">
        <v>7</v>
      </c>
      <c r="F10" s="1">
        <f>_xlfn.XLOOKUP(E10,'Data- Loc and connections'!$A$2:$A$8,'Data- Loc and connections'!$C$2:$C$8)</f>
        <v>38.11</v>
      </c>
      <c r="G10" s="1">
        <f>_xlfn.XLOOKUP(E10,'Data- Loc and connections'!$A$2:$A$8,'Data- Loc and connections'!$D$2:$D$8)</f>
        <v>-112.36</v>
      </c>
      <c r="H10" s="2">
        <f t="shared" si="0"/>
        <v>8.5155915825032427</v>
      </c>
      <c r="I10" s="1" t="s">
        <v>21</v>
      </c>
      <c r="J10" s="1">
        <v>0</v>
      </c>
      <c r="K10" s="1">
        <v>89</v>
      </c>
      <c r="L10" s="1">
        <v>1</v>
      </c>
      <c r="M10" s="1">
        <v>17</v>
      </c>
      <c r="P10" s="16" t="s">
        <v>52</v>
      </c>
      <c r="Q10" s="16" t="s">
        <v>50</v>
      </c>
      <c r="R10" s="16" t="s">
        <v>48</v>
      </c>
      <c r="S10" s="16" t="s">
        <v>51</v>
      </c>
      <c r="T10" s="16" t="s">
        <v>54</v>
      </c>
      <c r="U10" s="16" t="s">
        <v>57</v>
      </c>
      <c r="V10" s="16" t="s">
        <v>58</v>
      </c>
    </row>
    <row r="11" spans="1:22" x14ac:dyDescent="0.35">
      <c r="A11" s="1">
        <v>0</v>
      </c>
      <c r="B11" s="1">
        <v>4</v>
      </c>
      <c r="C11" s="1">
        <v>39.79</v>
      </c>
      <c r="D11" s="1">
        <v>-101.09</v>
      </c>
      <c r="E11" s="1">
        <v>1</v>
      </c>
      <c r="F11" s="1">
        <f>_xlfn.XLOOKUP(E11,'Data- Loc and connections'!$A$2:$A$8,'Data- Loc and connections'!$C$2:$C$8)</f>
        <v>37.5</v>
      </c>
      <c r="G11" s="1">
        <f>_xlfn.XLOOKUP(E11,'Data- Loc and connections'!$A$2:$A$8,'Data- Loc and connections'!$D$2:$D$8)</f>
        <v>-102.5</v>
      </c>
      <c r="H11" s="2">
        <f t="shared" si="0"/>
        <v>2.6892749952357025</v>
      </c>
      <c r="I11" s="1" t="s">
        <v>22</v>
      </c>
      <c r="J11" s="1">
        <v>0</v>
      </c>
      <c r="K11" s="1">
        <v>95</v>
      </c>
      <c r="L11" s="1">
        <v>1</v>
      </c>
      <c r="M11" s="1">
        <v>20</v>
      </c>
      <c r="P11" s="17" t="s">
        <v>45</v>
      </c>
      <c r="Q11" s="18">
        <f>SUMPRODUCT(A3:A26,M3:M26)</f>
        <v>207020.8858954004</v>
      </c>
      <c r="R11" s="19">
        <v>148117</v>
      </c>
      <c r="S11" s="19">
        <f>Q11-R11</f>
        <v>58903.885895400395</v>
      </c>
      <c r="T11" s="20">
        <f>S11/R11</f>
        <v>0.3976848430322002</v>
      </c>
      <c r="U11" s="1">
        <v>1</v>
      </c>
      <c r="V11" s="21">
        <f>T11*U11</f>
        <v>0.3976848430322002</v>
      </c>
    </row>
    <row r="12" spans="1:22" x14ac:dyDescent="0.35">
      <c r="A12" s="1">
        <v>2314.0554675117769</v>
      </c>
      <c r="B12" s="1">
        <v>4</v>
      </c>
      <c r="C12" s="1">
        <v>39.79</v>
      </c>
      <c r="D12" s="1">
        <v>-101.09</v>
      </c>
      <c r="E12" s="1">
        <v>3</v>
      </c>
      <c r="F12" s="1">
        <f>_xlfn.XLOOKUP(E12,'Data- Loc and connections'!$A$2:$A$8,'Data- Loc and connections'!$C$2:$C$8)</f>
        <v>30.63</v>
      </c>
      <c r="G12" s="1">
        <f>_xlfn.XLOOKUP(E12,'Data- Loc and connections'!$A$2:$A$8,'Data- Loc and connections'!$D$2:$D$8)</f>
        <v>-116.43</v>
      </c>
      <c r="H12" s="2">
        <f t="shared" si="0"/>
        <v>17.866762437554268</v>
      </c>
      <c r="I12" s="1" t="s">
        <v>18</v>
      </c>
      <c r="J12" s="1">
        <v>0</v>
      </c>
      <c r="K12" s="1">
        <v>78</v>
      </c>
      <c r="L12" s="1">
        <v>1</v>
      </c>
      <c r="M12" s="1">
        <v>10</v>
      </c>
      <c r="P12" s="17" t="s">
        <v>49</v>
      </c>
      <c r="Q12" s="22">
        <f>SUMPRODUCT(A3:A26,H3:H26)</f>
        <v>124408.79559680389</v>
      </c>
      <c r="R12" s="22">
        <v>107790.53396103719</v>
      </c>
      <c r="S12" s="19">
        <f>Q12-R12</f>
        <v>16618.261635766699</v>
      </c>
      <c r="T12" s="20">
        <f>S12/R12</f>
        <v>0.15417180920333567</v>
      </c>
      <c r="U12" s="1">
        <v>1</v>
      </c>
      <c r="V12" s="21">
        <f>T12*U12</f>
        <v>0.15417180920333567</v>
      </c>
    </row>
    <row r="13" spans="1:22" x14ac:dyDescent="0.35">
      <c r="A13" s="1">
        <v>1993.9999999999995</v>
      </c>
      <c r="B13" s="1">
        <v>4</v>
      </c>
      <c r="C13" s="1">
        <v>39.79</v>
      </c>
      <c r="D13" s="1">
        <v>-101.09</v>
      </c>
      <c r="E13" s="1">
        <v>5</v>
      </c>
      <c r="F13" s="1">
        <f>_xlfn.XLOOKUP(E13,'Data- Loc and connections'!$A$2:$A$8,'Data- Loc and connections'!$C$2:$C$8)</f>
        <v>37.94</v>
      </c>
      <c r="G13" s="1">
        <f>_xlfn.XLOOKUP(E13,'Data- Loc and connections'!$A$2:$A$8,'Data- Loc and connections'!$D$2:$D$8)</f>
        <v>-102.2</v>
      </c>
      <c r="H13" s="2">
        <f t="shared" si="0"/>
        <v>2.1574522010927621</v>
      </c>
      <c r="I13" s="1" t="s">
        <v>23</v>
      </c>
      <c r="J13" s="1">
        <v>1</v>
      </c>
      <c r="K13" s="1">
        <v>78</v>
      </c>
      <c r="L13" s="1">
        <v>1</v>
      </c>
      <c r="M13" s="1">
        <v>19</v>
      </c>
      <c r="P13" s="17" t="s">
        <v>55</v>
      </c>
      <c r="Q13" s="19">
        <f>SUMPRODUCT(A3:A26,J3:J26)</f>
        <v>7316.9445324882208</v>
      </c>
      <c r="R13" s="23">
        <v>3235</v>
      </c>
      <c r="S13" s="19">
        <f>Q13-R13</f>
        <v>4081.9445324882208</v>
      </c>
      <c r="T13" s="20">
        <f>S13/R13</f>
        <v>1.2618066561014594</v>
      </c>
      <c r="U13" s="1">
        <v>1</v>
      </c>
      <c r="V13" s="21">
        <f>T13*U13</f>
        <v>1.2618066561014594</v>
      </c>
    </row>
    <row r="14" spans="1:22" x14ac:dyDescent="0.35">
      <c r="A14" s="1">
        <v>0</v>
      </c>
      <c r="B14" s="1">
        <v>5</v>
      </c>
      <c r="C14" s="1">
        <v>37.94</v>
      </c>
      <c r="D14" s="1">
        <v>-102.2</v>
      </c>
      <c r="E14" s="1">
        <v>2</v>
      </c>
      <c r="F14" s="1">
        <f>_xlfn.XLOOKUP(E14,'Data- Loc and connections'!$A$2:$A$8,'Data- Loc and connections'!$C$2:$C$8)</f>
        <v>44.03</v>
      </c>
      <c r="G14" s="1">
        <f>_xlfn.XLOOKUP(E14,'Data- Loc and connections'!$A$2:$A$8,'Data- Loc and connections'!$D$2:$D$8)</f>
        <v>-117.68</v>
      </c>
      <c r="H14" s="2">
        <f t="shared" si="0"/>
        <v>16.634857979556067</v>
      </c>
      <c r="I14" s="1" t="s">
        <v>19</v>
      </c>
      <c r="J14" s="1">
        <v>1</v>
      </c>
      <c r="K14" s="1">
        <v>92</v>
      </c>
      <c r="L14" s="1">
        <v>1</v>
      </c>
      <c r="M14" s="1">
        <v>13</v>
      </c>
      <c r="P14" s="17" t="s">
        <v>56</v>
      </c>
      <c r="Q14" s="23">
        <f>SUMPRODUCT(A3:A26,L3:L26)</f>
        <v>13910.110935023549</v>
      </c>
      <c r="R14" s="1">
        <v>6150</v>
      </c>
      <c r="S14" s="24">
        <f>Q14-R14</f>
        <v>7760.1109350235492</v>
      </c>
      <c r="T14" s="20">
        <f>S14/R14</f>
        <v>1.2618066561013901</v>
      </c>
      <c r="U14" s="1">
        <v>1</v>
      </c>
      <c r="V14" s="21">
        <f>T14*U14</f>
        <v>1.2618066561013901</v>
      </c>
    </row>
    <row r="15" spans="1:22" x14ac:dyDescent="0.35">
      <c r="A15" s="1">
        <v>0</v>
      </c>
      <c r="B15" s="1">
        <v>5</v>
      </c>
      <c r="C15" s="1">
        <v>37.94</v>
      </c>
      <c r="D15" s="1">
        <v>-102.2</v>
      </c>
      <c r="E15" s="1">
        <v>3</v>
      </c>
      <c r="F15" s="1">
        <f>_xlfn.XLOOKUP(E15,'Data- Loc and connections'!$A$2:$A$8,'Data- Loc and connections'!$C$2:$C$8)</f>
        <v>30.63</v>
      </c>
      <c r="G15" s="1">
        <f>_xlfn.XLOOKUP(E15,'Data- Loc and connections'!$A$2:$A$8,'Data- Loc and connections'!$D$2:$D$8)</f>
        <v>-116.43</v>
      </c>
      <c r="H15" s="2">
        <f t="shared" si="0"/>
        <v>15.997781096139555</v>
      </c>
      <c r="I15" s="1" t="s">
        <v>22</v>
      </c>
      <c r="J15" s="1">
        <v>0</v>
      </c>
      <c r="K15" s="1">
        <v>73</v>
      </c>
      <c r="L15" s="1">
        <v>1</v>
      </c>
      <c r="M15" s="1">
        <v>18</v>
      </c>
    </row>
    <row r="16" spans="1:22" x14ac:dyDescent="0.35">
      <c r="A16" s="1">
        <v>0</v>
      </c>
      <c r="B16" s="1">
        <v>5</v>
      </c>
      <c r="C16" s="1">
        <v>37.94</v>
      </c>
      <c r="D16" s="1">
        <v>-102.2</v>
      </c>
      <c r="E16" s="1">
        <v>4</v>
      </c>
      <c r="F16" s="1">
        <f>_xlfn.XLOOKUP(E16,'Data- Loc and connections'!$A$2:$A$8,'Data- Loc and connections'!$C$2:$C$8)</f>
        <v>39.79</v>
      </c>
      <c r="G16" s="1">
        <f>_xlfn.XLOOKUP(E16,'Data- Loc and connections'!$A$2:$A$8,'Data- Loc and connections'!$D$2:$D$8)</f>
        <v>-101.09</v>
      </c>
      <c r="H16" s="2">
        <f t="shared" si="0"/>
        <v>2.1574522010927621</v>
      </c>
      <c r="I16" s="1" t="s">
        <v>24</v>
      </c>
      <c r="J16" s="1">
        <v>1</v>
      </c>
      <c r="K16" s="1">
        <v>80</v>
      </c>
      <c r="L16" s="1">
        <v>1</v>
      </c>
      <c r="M16" s="1">
        <v>8</v>
      </c>
      <c r="P16" s="7" t="s">
        <v>59</v>
      </c>
    </row>
    <row r="17" spans="1:17" x14ac:dyDescent="0.35">
      <c r="A17" s="1">
        <v>0</v>
      </c>
      <c r="B17" s="1">
        <v>5</v>
      </c>
      <c r="C17" s="1">
        <v>37.94</v>
      </c>
      <c r="D17" s="1">
        <v>-102.2</v>
      </c>
      <c r="E17" s="1">
        <v>6</v>
      </c>
      <c r="F17" s="1">
        <f>_xlfn.XLOOKUP(E17,'Data- Loc and connections'!$A$2:$A$8,'Data- Loc and connections'!$C$2:$C$8)</f>
        <v>41.57</v>
      </c>
      <c r="G17" s="1">
        <f>_xlfn.XLOOKUP(E17,'Data- Loc and connections'!$A$2:$A$8,'Data- Loc and connections'!$D$2:$D$8)</f>
        <v>-89.35</v>
      </c>
      <c r="H17" s="2">
        <f t="shared" si="0"/>
        <v>13.352879839195747</v>
      </c>
      <c r="I17" s="1" t="s">
        <v>20</v>
      </c>
      <c r="J17" s="1">
        <v>1</v>
      </c>
      <c r="K17" s="1">
        <v>95</v>
      </c>
      <c r="L17" s="1">
        <v>1</v>
      </c>
      <c r="M17" s="1">
        <v>10</v>
      </c>
      <c r="P17" s="14" t="s">
        <v>60</v>
      </c>
      <c r="Q17" s="15">
        <v>1.2618066561015051</v>
      </c>
    </row>
    <row r="18" spans="1:17" x14ac:dyDescent="0.35">
      <c r="A18" s="1">
        <v>0</v>
      </c>
      <c r="B18" s="1">
        <v>6</v>
      </c>
      <c r="C18" s="1">
        <v>41.57</v>
      </c>
      <c r="D18" s="1">
        <v>-89.35</v>
      </c>
      <c r="E18" s="1">
        <v>3</v>
      </c>
      <c r="F18" s="1">
        <f>_xlfn.XLOOKUP(E18,'Data- Loc and connections'!$A$2:$A$8,'Data- Loc and connections'!$C$2:$C$8)</f>
        <v>30.63</v>
      </c>
      <c r="G18" s="1">
        <f>_xlfn.XLOOKUP(E18,'Data- Loc and connections'!$A$2:$A$8,'Data- Loc and connections'!$D$2:$D$8)</f>
        <v>-116.43</v>
      </c>
      <c r="H18" s="2">
        <f t="shared" si="0"/>
        <v>29.206334929258084</v>
      </c>
      <c r="I18" s="1" t="s">
        <v>18</v>
      </c>
      <c r="J18" s="1">
        <v>0</v>
      </c>
      <c r="K18" s="1">
        <v>100</v>
      </c>
      <c r="L18" s="1">
        <v>1</v>
      </c>
      <c r="M18" s="1">
        <v>23</v>
      </c>
    </row>
    <row r="19" spans="1:17" x14ac:dyDescent="0.35">
      <c r="A19" s="1">
        <v>0</v>
      </c>
      <c r="B19" s="1">
        <v>6</v>
      </c>
      <c r="C19" s="1">
        <v>41.57</v>
      </c>
      <c r="D19" s="1">
        <v>-89.35</v>
      </c>
      <c r="E19" s="1">
        <v>4</v>
      </c>
      <c r="F19" s="1">
        <f>_xlfn.XLOOKUP(E19,'Data- Loc and connections'!$A$2:$A$8,'Data- Loc and connections'!$C$2:$C$8)</f>
        <v>39.79</v>
      </c>
      <c r="G19" s="1">
        <f>_xlfn.XLOOKUP(E19,'Data- Loc and connections'!$A$2:$A$8,'Data- Loc and connections'!$D$2:$D$8)</f>
        <v>-101.09</v>
      </c>
      <c r="H19" s="2">
        <f t="shared" si="0"/>
        <v>11.874173655459154</v>
      </c>
      <c r="I19" s="1" t="s">
        <v>20</v>
      </c>
      <c r="J19" s="1">
        <v>1</v>
      </c>
      <c r="K19" s="1">
        <v>105</v>
      </c>
      <c r="L19" s="1">
        <v>1</v>
      </c>
      <c r="M19" s="1">
        <v>14</v>
      </c>
    </row>
    <row r="20" spans="1:17" x14ac:dyDescent="0.35">
      <c r="A20" s="1">
        <v>0</v>
      </c>
      <c r="B20" s="1">
        <v>6</v>
      </c>
      <c r="C20" s="1">
        <v>41.57</v>
      </c>
      <c r="D20" s="1">
        <v>-89.35</v>
      </c>
      <c r="E20" s="1">
        <v>5</v>
      </c>
      <c r="F20" s="1">
        <f>_xlfn.XLOOKUP(E20,'Data- Loc and connections'!$A$2:$A$8,'Data- Loc and connections'!$C$2:$C$8)</f>
        <v>37.94</v>
      </c>
      <c r="G20" s="1">
        <f>_xlfn.XLOOKUP(E20,'Data- Loc and connections'!$A$2:$A$8,'Data- Loc and connections'!$D$2:$D$8)</f>
        <v>-102.2</v>
      </c>
      <c r="H20" s="2">
        <f t="shared" si="0"/>
        <v>13.352879839195747</v>
      </c>
      <c r="I20" s="1" t="s">
        <v>23</v>
      </c>
      <c r="J20" s="1">
        <v>1</v>
      </c>
      <c r="K20" s="1">
        <v>101</v>
      </c>
      <c r="L20" s="1">
        <v>1</v>
      </c>
      <c r="M20" s="1">
        <v>20</v>
      </c>
    </row>
    <row r="21" spans="1:17" x14ac:dyDescent="0.35">
      <c r="A21" s="1">
        <v>0</v>
      </c>
      <c r="B21" s="1">
        <v>6</v>
      </c>
      <c r="C21" s="1">
        <v>41.57</v>
      </c>
      <c r="D21" s="1">
        <v>-89.35</v>
      </c>
      <c r="E21" s="1">
        <v>7</v>
      </c>
      <c r="F21" s="1">
        <f>_xlfn.XLOOKUP(E21,'Data- Loc and connections'!$A$2:$A$8,'Data- Loc and connections'!$C$2:$C$8)</f>
        <v>38.11</v>
      </c>
      <c r="G21" s="1">
        <f>_xlfn.XLOOKUP(E21,'Data- Loc and connections'!$A$2:$A$8,'Data- Loc and connections'!$D$2:$D$8)</f>
        <v>-112.36</v>
      </c>
      <c r="H21" s="2">
        <f t="shared" si="0"/>
        <v>23.268684964991042</v>
      </c>
      <c r="I21" s="1" t="s">
        <v>23</v>
      </c>
      <c r="J21" s="1">
        <v>1</v>
      </c>
      <c r="K21" s="1">
        <v>36</v>
      </c>
      <c r="L21" s="1">
        <v>0</v>
      </c>
      <c r="M21" s="1">
        <v>21</v>
      </c>
    </row>
    <row r="22" spans="1:17" x14ac:dyDescent="0.35">
      <c r="A22" s="1">
        <v>1244.9999999999991</v>
      </c>
      <c r="B22" s="1">
        <v>7</v>
      </c>
      <c r="C22" s="1">
        <v>38.11</v>
      </c>
      <c r="D22" s="1">
        <v>-112.36</v>
      </c>
      <c r="E22" s="1">
        <v>2</v>
      </c>
      <c r="F22" s="1">
        <f>_xlfn.XLOOKUP(E22,'Data- Loc and connections'!$A$2:$A$8,'Data- Loc and connections'!$C$2:$C$8)</f>
        <v>44.03</v>
      </c>
      <c r="G22" s="1">
        <f>_xlfn.XLOOKUP(E22,'Data- Loc and connections'!$A$2:$A$8,'Data- Loc and connections'!$D$2:$D$8)</f>
        <v>-117.68</v>
      </c>
      <c r="H22" s="2">
        <f t="shared" si="0"/>
        <v>7.9591959392893514</v>
      </c>
      <c r="I22" s="1" t="s">
        <v>19</v>
      </c>
      <c r="J22" s="1">
        <v>1</v>
      </c>
      <c r="K22" s="1">
        <v>101</v>
      </c>
      <c r="L22" s="1">
        <v>1</v>
      </c>
      <c r="M22" s="1">
        <v>19</v>
      </c>
    </row>
    <row r="23" spans="1:17" x14ac:dyDescent="0.35">
      <c r="A23" s="1">
        <v>0</v>
      </c>
      <c r="B23" s="1">
        <v>7</v>
      </c>
      <c r="C23" s="1">
        <v>38.11</v>
      </c>
      <c r="D23" s="1">
        <v>-112.36</v>
      </c>
      <c r="E23" s="1">
        <v>3</v>
      </c>
      <c r="F23" s="1">
        <f>_xlfn.XLOOKUP(E23,'Data- Loc and connections'!$A$2:$A$8,'Data- Loc and connections'!$C$2:$C$8)</f>
        <v>30.63</v>
      </c>
      <c r="G23" s="1">
        <f>_xlfn.XLOOKUP(E23,'Data- Loc and connections'!$A$2:$A$8,'Data- Loc and connections'!$D$2:$D$8)</f>
        <v>-116.43</v>
      </c>
      <c r="H23" s="2">
        <f t="shared" si="0"/>
        <v>8.5155915825032427</v>
      </c>
      <c r="I23" s="1" t="s">
        <v>20</v>
      </c>
      <c r="J23" s="1">
        <v>1</v>
      </c>
      <c r="K23" s="1">
        <v>86</v>
      </c>
      <c r="L23" s="1">
        <v>1</v>
      </c>
      <c r="M23" s="1">
        <v>11</v>
      </c>
    </row>
    <row r="24" spans="1:17" x14ac:dyDescent="0.35">
      <c r="A24" s="1">
        <v>0</v>
      </c>
      <c r="B24" s="1">
        <v>7</v>
      </c>
      <c r="C24" s="1">
        <v>38.11</v>
      </c>
      <c r="D24" s="1">
        <v>-112.36</v>
      </c>
      <c r="E24" s="1">
        <v>4</v>
      </c>
      <c r="F24" s="1">
        <f>_xlfn.XLOOKUP(E24,'Data- Loc and connections'!$A$2:$A$8,'Data- Loc and connections'!$C$2:$C$8)</f>
        <v>39.79</v>
      </c>
      <c r="G24" s="1">
        <f>_xlfn.XLOOKUP(E24,'Data- Loc and connections'!$A$2:$A$8,'Data- Loc and connections'!$D$2:$D$8)</f>
        <v>-101.09</v>
      </c>
      <c r="H24" s="2">
        <f t="shared" si="0"/>
        <v>11.394529389141084</v>
      </c>
      <c r="I24" s="1" t="s">
        <v>23</v>
      </c>
      <c r="J24" s="1">
        <v>1</v>
      </c>
      <c r="K24" s="1">
        <v>95</v>
      </c>
      <c r="L24" s="1">
        <v>1</v>
      </c>
      <c r="M24" s="1">
        <v>22</v>
      </c>
    </row>
    <row r="25" spans="1:17" x14ac:dyDescent="0.35">
      <c r="A25" s="1">
        <v>0</v>
      </c>
      <c r="B25" s="1">
        <v>7</v>
      </c>
      <c r="C25" s="1">
        <v>38.11</v>
      </c>
      <c r="D25" s="1">
        <v>-112.36</v>
      </c>
      <c r="E25" s="1">
        <v>5</v>
      </c>
      <c r="F25" s="1">
        <f>_xlfn.XLOOKUP(E25,'Data- Loc and connections'!$A$2:$A$8,'Data- Loc and connections'!$C$2:$C$8)</f>
        <v>37.94</v>
      </c>
      <c r="G25" s="1">
        <f>_xlfn.XLOOKUP(E25,'Data- Loc and connections'!$A$2:$A$8,'Data- Loc and connections'!$D$2:$D$8)</f>
        <v>-102.2</v>
      </c>
      <c r="H25" s="2">
        <f t="shared" si="0"/>
        <v>10.161422144562243</v>
      </c>
      <c r="I25" s="1" t="s">
        <v>25</v>
      </c>
      <c r="J25" s="1">
        <v>0</v>
      </c>
      <c r="K25" s="1">
        <v>103</v>
      </c>
      <c r="L25" s="1">
        <v>1</v>
      </c>
      <c r="M25" s="1">
        <v>13</v>
      </c>
    </row>
    <row r="26" spans="1:17" x14ac:dyDescent="0.35">
      <c r="A26" s="1">
        <v>0</v>
      </c>
      <c r="B26" s="1">
        <v>7</v>
      </c>
      <c r="C26" s="1">
        <v>38.11</v>
      </c>
      <c r="D26" s="1">
        <v>-112.36</v>
      </c>
      <c r="E26" s="1">
        <v>6</v>
      </c>
      <c r="F26" s="1">
        <f>_xlfn.XLOOKUP(E26,'Data- Loc and connections'!$A$2:$A$8,'Data- Loc and connections'!$C$2:$C$8)</f>
        <v>41.57</v>
      </c>
      <c r="G26" s="1">
        <f>_xlfn.XLOOKUP(E26,'Data- Loc and connections'!$A$2:$A$8,'Data- Loc and connections'!$D$2:$D$8)</f>
        <v>-89.35</v>
      </c>
      <c r="H26" s="2">
        <f t="shared" si="0"/>
        <v>23.268684964991042</v>
      </c>
      <c r="I26" s="1" t="s">
        <v>23</v>
      </c>
      <c r="J26" s="1">
        <v>1</v>
      </c>
      <c r="K26" s="1">
        <v>30</v>
      </c>
      <c r="L26" s="1">
        <v>0</v>
      </c>
      <c r="M26" s="1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323A-CC5E-418E-B422-91E559D9E68F}">
  <dimension ref="A1:V26"/>
  <sheetViews>
    <sheetView topLeftCell="J16" workbookViewId="0">
      <selection activeCell="O30" sqref="O30"/>
    </sheetView>
  </sheetViews>
  <sheetFormatPr defaultRowHeight="14.5" x14ac:dyDescent="0.35"/>
  <cols>
    <col min="1" max="1" width="12.6328125" bestFit="1" customWidth="1"/>
    <col min="6" max="6" width="8.08984375" bestFit="1" customWidth="1"/>
    <col min="8" max="8" width="17.54296875" bestFit="1" customWidth="1"/>
    <col min="9" max="9" width="23.6328125" bestFit="1" customWidth="1"/>
    <col min="10" max="10" width="23.6328125" customWidth="1"/>
    <col min="11" max="12" width="18.6328125" customWidth="1"/>
    <col min="13" max="13" width="18.36328125" bestFit="1" customWidth="1"/>
    <col min="16" max="16" width="21.453125" bestFit="1" customWidth="1"/>
    <col min="17" max="18" width="11.1796875" bestFit="1" customWidth="1"/>
    <col min="20" max="20" width="14.36328125" bestFit="1" customWidth="1"/>
    <col min="22" max="22" width="18.54296875" bestFit="1" customWidth="1"/>
  </cols>
  <sheetData>
    <row r="1" spans="1:22" x14ac:dyDescent="0.35">
      <c r="C1" s="4" t="s">
        <v>35</v>
      </c>
      <c r="D1" s="4" t="s">
        <v>36</v>
      </c>
      <c r="E1" s="4"/>
      <c r="F1" s="4" t="s">
        <v>37</v>
      </c>
      <c r="G1" s="4" t="s">
        <v>38</v>
      </c>
    </row>
    <row r="2" spans="1:22" x14ac:dyDescent="0.35">
      <c r="A2" s="3" t="s">
        <v>46</v>
      </c>
      <c r="B2" s="3" t="s">
        <v>26</v>
      </c>
      <c r="C2" s="3" t="s">
        <v>32</v>
      </c>
      <c r="D2" s="3" t="s">
        <v>33</v>
      </c>
      <c r="E2" s="3" t="s">
        <v>34</v>
      </c>
      <c r="F2" s="3" t="s">
        <v>27</v>
      </c>
      <c r="G2" s="3" t="s">
        <v>28</v>
      </c>
      <c r="H2" s="3" t="s">
        <v>39</v>
      </c>
      <c r="I2" s="3" t="s">
        <v>29</v>
      </c>
      <c r="J2" s="3" t="s">
        <v>53</v>
      </c>
      <c r="K2" s="3" t="s">
        <v>31</v>
      </c>
      <c r="L2" s="3" t="s">
        <v>53</v>
      </c>
      <c r="M2" s="3" t="s">
        <v>30</v>
      </c>
      <c r="P2" s="5" t="s">
        <v>40</v>
      </c>
      <c r="Q2" s="5" t="s">
        <v>41</v>
      </c>
      <c r="R2" s="5" t="s">
        <v>42</v>
      </c>
      <c r="S2" s="5" t="s">
        <v>43</v>
      </c>
      <c r="T2" s="5" t="s">
        <v>44</v>
      </c>
      <c r="U2" s="5" t="s">
        <v>47</v>
      </c>
    </row>
    <row r="3" spans="1:22" x14ac:dyDescent="0.35">
      <c r="A3" s="1">
        <v>1279</v>
      </c>
      <c r="B3" s="1">
        <v>1</v>
      </c>
      <c r="C3" s="1">
        <v>37.5</v>
      </c>
      <c r="D3" s="1">
        <v>-102.5</v>
      </c>
      <c r="E3" s="1">
        <v>4</v>
      </c>
      <c r="F3" s="1">
        <f>_xlfn.XLOOKUP(E3,'Data- Loc and connections'!$A$2:$A$8,'Data- Loc and connections'!$C$2:$C$8)</f>
        <v>39.79</v>
      </c>
      <c r="G3" s="1">
        <f>_xlfn.XLOOKUP(E3,'Data- Loc and connections'!$A$2:$A$8,'Data- Loc and connections'!$D$2:$D$8)</f>
        <v>-101.09</v>
      </c>
      <c r="H3" s="2">
        <f>SQRT(((F3-C3)^2)+((G3-D3)^2))</f>
        <v>2.6892749952357025</v>
      </c>
      <c r="I3" s="1" t="s">
        <v>18</v>
      </c>
      <c r="J3" s="1">
        <v>0</v>
      </c>
      <c r="K3" s="1">
        <v>81</v>
      </c>
      <c r="L3" s="1">
        <v>1</v>
      </c>
      <c r="M3" s="1">
        <v>14</v>
      </c>
      <c r="O3">
        <v>1</v>
      </c>
      <c r="P3" t="s">
        <v>6</v>
      </c>
      <c r="Q3">
        <f>SUMIF($E$3:$E$26,O3,$A$3:$A$26)</f>
        <v>0</v>
      </c>
      <c r="R3">
        <f>SUMIF($B$3:$B$26,O3,$A$3:$A$26)</f>
        <v>9664.9999999999982</v>
      </c>
      <c r="S3">
        <f>Q3-R3</f>
        <v>-9664.9999999999982</v>
      </c>
      <c r="T3">
        <v>-9665</v>
      </c>
    </row>
    <row r="4" spans="1:22" x14ac:dyDescent="0.35">
      <c r="A4" s="1">
        <v>6603.2987012998874</v>
      </c>
      <c r="B4" s="1">
        <v>1</v>
      </c>
      <c r="C4" s="1">
        <v>37.5</v>
      </c>
      <c r="D4" s="1">
        <v>-102.5</v>
      </c>
      <c r="E4" s="1">
        <v>6</v>
      </c>
      <c r="F4" s="1">
        <f>_xlfn.XLOOKUP(E4,'Data- Loc and connections'!$A$2:$A$8,'Data- Loc and connections'!$C$2:$C$8)</f>
        <v>41.57</v>
      </c>
      <c r="G4" s="1">
        <f>_xlfn.XLOOKUP(E4,'Data- Loc and connections'!$A$2:$A$8,'Data- Loc and connections'!$D$2:$D$8)</f>
        <v>-89.35</v>
      </c>
      <c r="H4" s="2">
        <f t="shared" ref="H4:H26" si="0">SQRT(((F4-C4)^2)+((G4-D4)^2))</f>
        <v>13.765442237719794</v>
      </c>
      <c r="I4" s="1" t="s">
        <v>19</v>
      </c>
      <c r="J4" s="1">
        <v>1</v>
      </c>
      <c r="K4" s="1">
        <v>26</v>
      </c>
      <c r="L4" s="1">
        <v>0</v>
      </c>
      <c r="M4" s="1">
        <v>9</v>
      </c>
      <c r="O4">
        <v>2</v>
      </c>
      <c r="P4" t="s">
        <v>7</v>
      </c>
      <c r="Q4">
        <f t="shared" ref="Q4:Q9" si="1">SUMIF($E$3:$E$26,O4,$A$3:$A$26)</f>
        <v>1244.9999999999975</v>
      </c>
      <c r="R4">
        <f t="shared" ref="R4:R9" si="2">SUMIF($B$3:$B$26,O4,$A$3:$A$26)</f>
        <v>0</v>
      </c>
      <c r="S4">
        <f t="shared" ref="S4:S9" si="3">Q4-R4</f>
        <v>1244.9999999999975</v>
      </c>
      <c r="T4">
        <v>1245</v>
      </c>
    </row>
    <row r="5" spans="1:22" x14ac:dyDescent="0.35">
      <c r="A5" s="1">
        <v>1782.7012987001101</v>
      </c>
      <c r="B5" s="1">
        <v>1</v>
      </c>
      <c r="C5" s="1">
        <v>37.5</v>
      </c>
      <c r="D5" s="1">
        <v>-102.5</v>
      </c>
      <c r="E5" s="1">
        <v>7</v>
      </c>
      <c r="F5" s="1">
        <f>_xlfn.XLOOKUP(E5,'Data- Loc and connections'!$A$2:$A$8,'Data- Loc and connections'!$C$2:$C$8)</f>
        <v>38.11</v>
      </c>
      <c r="G5" s="1">
        <f>_xlfn.XLOOKUP(E5,'Data- Loc and connections'!$A$2:$A$8,'Data- Loc and connections'!$D$2:$D$8)</f>
        <v>-112.36</v>
      </c>
      <c r="H5" s="2">
        <f t="shared" si="0"/>
        <v>9.8788511477802921</v>
      </c>
      <c r="I5" s="1" t="s">
        <v>20</v>
      </c>
      <c r="J5" s="1">
        <v>1</v>
      </c>
      <c r="K5" s="1">
        <v>83</v>
      </c>
      <c r="L5" s="1">
        <v>1</v>
      </c>
      <c r="M5" s="1">
        <v>7</v>
      </c>
      <c r="O5">
        <v>3</v>
      </c>
      <c r="P5" t="s">
        <v>8</v>
      </c>
      <c r="Q5">
        <f t="shared" si="1"/>
        <v>1632</v>
      </c>
      <c r="R5">
        <f t="shared" si="2"/>
        <v>0</v>
      </c>
      <c r="S5">
        <f t="shared" si="3"/>
        <v>1632</v>
      </c>
      <c r="T5">
        <v>1632</v>
      </c>
    </row>
    <row r="6" spans="1:22" x14ac:dyDescent="0.35">
      <c r="A6" s="1">
        <v>0</v>
      </c>
      <c r="B6" s="1">
        <v>2</v>
      </c>
      <c r="C6" s="1">
        <v>44.03</v>
      </c>
      <c r="D6" s="1">
        <v>-117.68</v>
      </c>
      <c r="E6" s="1">
        <v>5</v>
      </c>
      <c r="F6" s="1">
        <f>_xlfn.XLOOKUP(E6,'Data- Loc and connections'!$A$2:$A$8,'Data- Loc and connections'!$C$2:$C$8)</f>
        <v>37.94</v>
      </c>
      <c r="G6" s="1">
        <f>_xlfn.XLOOKUP(E6,'Data- Loc and connections'!$A$2:$A$8,'Data- Loc and connections'!$D$2:$D$8)</f>
        <v>-102.2</v>
      </c>
      <c r="H6" s="2">
        <f t="shared" si="0"/>
        <v>16.634857979556067</v>
      </c>
      <c r="I6" s="1" t="s">
        <v>19</v>
      </c>
      <c r="J6" s="1">
        <v>1</v>
      </c>
      <c r="K6" s="1">
        <v>91</v>
      </c>
      <c r="L6" s="1">
        <v>1</v>
      </c>
      <c r="M6" s="1">
        <v>15</v>
      </c>
      <c r="O6">
        <v>4</v>
      </c>
      <c r="P6" t="s">
        <v>9</v>
      </c>
      <c r="Q6">
        <f t="shared" si="1"/>
        <v>1279</v>
      </c>
      <c r="R6">
        <f t="shared" si="2"/>
        <v>0</v>
      </c>
      <c r="S6">
        <f t="shared" si="3"/>
        <v>1279</v>
      </c>
      <c r="T6">
        <v>1279</v>
      </c>
    </row>
    <row r="7" spans="1:22" x14ac:dyDescent="0.35">
      <c r="A7" s="1">
        <v>0</v>
      </c>
      <c r="B7" s="1">
        <v>2</v>
      </c>
      <c r="C7" s="1">
        <v>44.03</v>
      </c>
      <c r="D7" s="1">
        <v>-117.68</v>
      </c>
      <c r="E7" s="1">
        <v>6</v>
      </c>
      <c r="F7" s="1">
        <f>_xlfn.XLOOKUP(E7,'Data- Loc and connections'!$A$2:$A$8,'Data- Loc and connections'!$C$2:$C$8)</f>
        <v>41.57</v>
      </c>
      <c r="G7" s="1">
        <f>_xlfn.XLOOKUP(E7,'Data- Loc and connections'!$A$2:$A$8,'Data- Loc and connections'!$D$2:$D$8)</f>
        <v>-89.35</v>
      </c>
      <c r="H7" s="2">
        <f t="shared" si="0"/>
        <v>28.43660493096883</v>
      </c>
      <c r="I7" s="1" t="s">
        <v>21</v>
      </c>
      <c r="J7" s="1">
        <v>0</v>
      </c>
      <c r="K7" s="1">
        <v>89</v>
      </c>
      <c r="L7" s="1">
        <v>1</v>
      </c>
      <c r="M7" s="1">
        <v>7</v>
      </c>
      <c r="O7">
        <v>5</v>
      </c>
      <c r="P7" t="s">
        <v>10</v>
      </c>
      <c r="Q7">
        <f t="shared" si="1"/>
        <v>1994</v>
      </c>
      <c r="R7">
        <f t="shared" si="2"/>
        <v>0</v>
      </c>
      <c r="S7">
        <f t="shared" si="3"/>
        <v>1994</v>
      </c>
      <c r="T7">
        <v>1994</v>
      </c>
    </row>
    <row r="8" spans="1:22" x14ac:dyDescent="0.35">
      <c r="A8" s="1">
        <v>0</v>
      </c>
      <c r="B8" s="1">
        <v>3</v>
      </c>
      <c r="C8" s="1">
        <v>30.63</v>
      </c>
      <c r="D8" s="1">
        <v>-116.43</v>
      </c>
      <c r="E8" s="1">
        <v>1</v>
      </c>
      <c r="F8" s="1">
        <f>_xlfn.XLOOKUP(E8,'Data- Loc and connections'!$A$2:$A$8,'Data- Loc and connections'!$C$2:$C$8)</f>
        <v>37.5</v>
      </c>
      <c r="G8" s="1">
        <f>_xlfn.XLOOKUP(E8,'Data- Loc and connections'!$A$2:$A$8,'Data- Loc and connections'!$D$2:$D$8)</f>
        <v>-102.5</v>
      </c>
      <c r="H8" s="2">
        <f t="shared" si="0"/>
        <v>15.531960597426204</v>
      </c>
      <c r="I8" s="1" t="s">
        <v>20</v>
      </c>
      <c r="J8" s="1">
        <v>1</v>
      </c>
      <c r="K8" s="1">
        <v>26</v>
      </c>
      <c r="L8" s="1">
        <v>0</v>
      </c>
      <c r="M8" s="1">
        <v>14</v>
      </c>
      <c r="O8">
        <v>6</v>
      </c>
      <c r="P8" t="s">
        <v>11</v>
      </c>
      <c r="Q8">
        <f t="shared" si="1"/>
        <v>6603.2987012998874</v>
      </c>
      <c r="R8">
        <f t="shared" si="2"/>
        <v>4613.2987012998874</v>
      </c>
      <c r="S8">
        <f t="shared" si="3"/>
        <v>1990</v>
      </c>
      <c r="T8">
        <v>1990</v>
      </c>
    </row>
    <row r="9" spans="1:22" x14ac:dyDescent="0.35">
      <c r="A9" s="1">
        <v>0</v>
      </c>
      <c r="B9" s="1">
        <v>3</v>
      </c>
      <c r="C9" s="1">
        <v>30.63</v>
      </c>
      <c r="D9" s="1">
        <v>-116.43</v>
      </c>
      <c r="E9" s="1">
        <v>6</v>
      </c>
      <c r="F9" s="1">
        <f>_xlfn.XLOOKUP(E9,'Data- Loc and connections'!$A$2:$A$8,'Data- Loc and connections'!$C$2:$C$8)</f>
        <v>41.57</v>
      </c>
      <c r="G9" s="1">
        <f>_xlfn.XLOOKUP(E9,'Data- Loc and connections'!$A$2:$A$8,'Data- Loc and connections'!$D$2:$D$8)</f>
        <v>-89.35</v>
      </c>
      <c r="H9" s="2">
        <f t="shared" si="0"/>
        <v>29.206334929258084</v>
      </c>
      <c r="I9" s="1" t="s">
        <v>19</v>
      </c>
      <c r="J9" s="1">
        <v>1</v>
      </c>
      <c r="K9" s="1">
        <v>76</v>
      </c>
      <c r="L9" s="1">
        <v>1</v>
      </c>
      <c r="M9" s="1">
        <v>6</v>
      </c>
      <c r="O9">
        <v>7</v>
      </c>
      <c r="P9" t="s">
        <v>12</v>
      </c>
      <c r="Q9">
        <f t="shared" si="1"/>
        <v>2769.9999999999973</v>
      </c>
      <c r="R9">
        <f t="shared" si="2"/>
        <v>1244.9999999999975</v>
      </c>
      <c r="S9">
        <f t="shared" si="3"/>
        <v>1524.9999999999998</v>
      </c>
      <c r="T9">
        <v>1525</v>
      </c>
    </row>
    <row r="10" spans="1:22" x14ac:dyDescent="0.35">
      <c r="A10" s="1">
        <v>0</v>
      </c>
      <c r="B10" s="1">
        <v>3</v>
      </c>
      <c r="C10" s="1">
        <v>30.63</v>
      </c>
      <c r="D10" s="1">
        <v>-116.43</v>
      </c>
      <c r="E10" s="1">
        <v>7</v>
      </c>
      <c r="F10" s="1">
        <f>_xlfn.XLOOKUP(E10,'Data- Loc and connections'!$A$2:$A$8,'Data- Loc and connections'!$C$2:$C$8)</f>
        <v>38.11</v>
      </c>
      <c r="G10" s="1">
        <f>_xlfn.XLOOKUP(E10,'Data- Loc and connections'!$A$2:$A$8,'Data- Loc and connections'!$D$2:$D$8)</f>
        <v>-112.36</v>
      </c>
      <c r="H10" s="2">
        <f t="shared" si="0"/>
        <v>8.5155915825032427</v>
      </c>
      <c r="I10" s="1" t="s">
        <v>21</v>
      </c>
      <c r="J10" s="1">
        <v>0</v>
      </c>
      <c r="K10" s="1">
        <v>89</v>
      </c>
      <c r="L10" s="1">
        <v>1</v>
      </c>
      <c r="M10" s="1">
        <v>17</v>
      </c>
      <c r="P10" s="4" t="s">
        <v>52</v>
      </c>
      <c r="Q10" s="4" t="s">
        <v>50</v>
      </c>
      <c r="R10" s="4" t="s">
        <v>48</v>
      </c>
      <c r="S10" s="4" t="s">
        <v>51</v>
      </c>
      <c r="T10" s="4" t="s">
        <v>54</v>
      </c>
      <c r="U10" s="4" t="s">
        <v>57</v>
      </c>
      <c r="V10" s="4" t="s">
        <v>58</v>
      </c>
    </row>
    <row r="11" spans="1:22" x14ac:dyDescent="0.35">
      <c r="A11" s="1">
        <v>0</v>
      </c>
      <c r="B11" s="1">
        <v>4</v>
      </c>
      <c r="C11" s="1">
        <v>39.79</v>
      </c>
      <c r="D11" s="1">
        <v>-101.09</v>
      </c>
      <c r="E11" s="1">
        <v>1</v>
      </c>
      <c r="F11" s="1">
        <f>_xlfn.XLOOKUP(E11,'Data- Loc and connections'!$A$2:$A$8,'Data- Loc and connections'!$C$2:$C$8)</f>
        <v>37.5</v>
      </c>
      <c r="G11" s="1">
        <f>_xlfn.XLOOKUP(E11,'Data- Loc and connections'!$A$2:$A$8,'Data- Loc and connections'!$D$2:$D$8)</f>
        <v>-102.5</v>
      </c>
      <c r="H11" s="2">
        <f t="shared" si="0"/>
        <v>2.6892749952357025</v>
      </c>
      <c r="I11" s="1" t="s">
        <v>22</v>
      </c>
      <c r="J11" s="1">
        <v>0</v>
      </c>
      <c r="K11" s="1">
        <v>95</v>
      </c>
      <c r="L11" s="1">
        <v>1</v>
      </c>
      <c r="M11" s="1">
        <v>20</v>
      </c>
      <c r="P11" s="7" t="s">
        <v>45</v>
      </c>
      <c r="Q11" s="8">
        <f>SUMPRODUCT(A3:A26,M3:M26)</f>
        <v>211618.87012989732</v>
      </c>
      <c r="R11" s="6">
        <v>148117</v>
      </c>
      <c r="S11" s="6">
        <f>Q11-R11</f>
        <v>63501.870129897317</v>
      </c>
      <c r="T11" s="13">
        <f>S11/R11</f>
        <v>0.42872776338905944</v>
      </c>
      <c r="U11">
        <v>6</v>
      </c>
      <c r="V11" s="12">
        <f>T11*U11</f>
        <v>2.5723665803343567</v>
      </c>
    </row>
    <row r="12" spans="1:22" x14ac:dyDescent="0.35">
      <c r="A12" s="1">
        <v>0</v>
      </c>
      <c r="B12" s="1">
        <v>4</v>
      </c>
      <c r="C12" s="1">
        <v>39.79</v>
      </c>
      <c r="D12" s="1">
        <v>-101.09</v>
      </c>
      <c r="E12" s="1">
        <v>3</v>
      </c>
      <c r="F12" s="1">
        <f>_xlfn.XLOOKUP(E12,'Data- Loc and connections'!$A$2:$A$8,'Data- Loc and connections'!$C$2:$C$8)</f>
        <v>30.63</v>
      </c>
      <c r="G12" s="1">
        <f>_xlfn.XLOOKUP(E12,'Data- Loc and connections'!$A$2:$A$8,'Data- Loc and connections'!$D$2:$D$8)</f>
        <v>-116.43</v>
      </c>
      <c r="H12" s="2">
        <f t="shared" si="0"/>
        <v>17.866762437554268</v>
      </c>
      <c r="I12" s="1" t="s">
        <v>18</v>
      </c>
      <c r="J12" s="1">
        <v>0</v>
      </c>
      <c r="K12" s="1">
        <v>78</v>
      </c>
      <c r="L12" s="1">
        <v>1</v>
      </c>
      <c r="M12" s="1">
        <v>10</v>
      </c>
      <c r="P12" s="7" t="s">
        <v>49</v>
      </c>
      <c r="Q12" s="9">
        <f>SUMPRODUCT(A3:A26,H3:H26)</f>
        <v>219120.67273608581</v>
      </c>
      <c r="R12" s="9">
        <v>107790.53396103719</v>
      </c>
      <c r="S12" s="6">
        <f>Q12-R12</f>
        <v>111330.13877504862</v>
      </c>
      <c r="T12" s="13">
        <f>S12/R12</f>
        <v>1.0328378075879174</v>
      </c>
      <c r="U12">
        <v>1</v>
      </c>
      <c r="V12" s="12">
        <f>T12*U12</f>
        <v>1.0328378075879174</v>
      </c>
    </row>
    <row r="13" spans="1:22" x14ac:dyDescent="0.35">
      <c r="A13" s="1">
        <v>0</v>
      </c>
      <c r="B13" s="1">
        <v>4</v>
      </c>
      <c r="C13" s="1">
        <v>39.79</v>
      </c>
      <c r="D13" s="1">
        <v>-101.09</v>
      </c>
      <c r="E13" s="1">
        <v>5</v>
      </c>
      <c r="F13" s="1">
        <f>_xlfn.XLOOKUP(E13,'Data- Loc and connections'!$A$2:$A$8,'Data- Loc and connections'!$C$2:$C$8)</f>
        <v>37.94</v>
      </c>
      <c r="G13" s="1">
        <f>_xlfn.XLOOKUP(E13,'Data- Loc and connections'!$A$2:$A$8,'Data- Loc and connections'!$D$2:$D$8)</f>
        <v>-102.2</v>
      </c>
      <c r="H13" s="2">
        <f t="shared" si="0"/>
        <v>2.1574522010927621</v>
      </c>
      <c r="I13" s="1" t="s">
        <v>23</v>
      </c>
      <c r="J13" s="1">
        <v>1</v>
      </c>
      <c r="K13" s="1">
        <v>78</v>
      </c>
      <c r="L13" s="1">
        <v>1</v>
      </c>
      <c r="M13" s="1">
        <v>19</v>
      </c>
      <c r="P13" s="7" t="s">
        <v>55</v>
      </c>
      <c r="Q13" s="6">
        <f>SUMPRODUCT(A3:A26,J3:J26)</f>
        <v>12612.298701299884</v>
      </c>
      <c r="R13" s="10">
        <v>3235</v>
      </c>
      <c r="S13" s="6">
        <f>Q13-R13</f>
        <v>9377.2987012998838</v>
      </c>
      <c r="T13" s="13">
        <f>S13/R13</f>
        <v>2.8987012987016643</v>
      </c>
      <c r="U13">
        <v>1</v>
      </c>
      <c r="V13" s="12">
        <f>T13*U13</f>
        <v>2.8987012987016643</v>
      </c>
    </row>
    <row r="14" spans="1:22" x14ac:dyDescent="0.35">
      <c r="A14" s="1">
        <v>0</v>
      </c>
      <c r="B14" s="1">
        <v>5</v>
      </c>
      <c r="C14" s="1">
        <v>37.94</v>
      </c>
      <c r="D14" s="1">
        <v>-102.2</v>
      </c>
      <c r="E14" s="1">
        <v>2</v>
      </c>
      <c r="F14" s="1">
        <f>_xlfn.XLOOKUP(E14,'Data- Loc and connections'!$A$2:$A$8,'Data- Loc and connections'!$C$2:$C$8)</f>
        <v>44.03</v>
      </c>
      <c r="G14" s="1">
        <f>_xlfn.XLOOKUP(E14,'Data- Loc and connections'!$A$2:$A$8,'Data- Loc and connections'!$D$2:$D$8)</f>
        <v>-117.68</v>
      </c>
      <c r="H14" s="2">
        <f t="shared" si="0"/>
        <v>16.634857979556067</v>
      </c>
      <c r="I14" s="1" t="s">
        <v>19</v>
      </c>
      <c r="J14" s="1">
        <v>1</v>
      </c>
      <c r="K14" s="1">
        <v>92</v>
      </c>
      <c r="L14" s="1">
        <v>1</v>
      </c>
      <c r="M14" s="1">
        <v>13</v>
      </c>
      <c r="P14" s="7" t="s">
        <v>56</v>
      </c>
      <c r="Q14" s="10">
        <f>SUMPRODUCT(A3:A26,L3:L26)</f>
        <v>7932.7012987001071</v>
      </c>
      <c r="R14">
        <v>6150</v>
      </c>
      <c r="S14" s="11">
        <f>Q14-R14</f>
        <v>1782.7012987001071</v>
      </c>
      <c r="T14" s="13">
        <f>S14/R14</f>
        <v>0.2898701298699361</v>
      </c>
      <c r="U14">
        <v>10</v>
      </c>
      <c r="V14" s="12">
        <f>T14*U14</f>
        <v>2.8987012986993612</v>
      </c>
    </row>
    <row r="15" spans="1:22" x14ac:dyDescent="0.35">
      <c r="A15" s="1">
        <v>0</v>
      </c>
      <c r="B15" s="1">
        <v>5</v>
      </c>
      <c r="C15" s="1">
        <v>37.94</v>
      </c>
      <c r="D15" s="1">
        <v>-102.2</v>
      </c>
      <c r="E15" s="1">
        <v>3</v>
      </c>
      <c r="F15" s="1">
        <f>_xlfn.XLOOKUP(E15,'Data- Loc and connections'!$A$2:$A$8,'Data- Loc and connections'!$C$2:$C$8)</f>
        <v>30.63</v>
      </c>
      <c r="G15" s="1">
        <f>_xlfn.XLOOKUP(E15,'Data- Loc and connections'!$A$2:$A$8,'Data- Loc and connections'!$D$2:$D$8)</f>
        <v>-116.43</v>
      </c>
      <c r="H15" s="2">
        <f t="shared" si="0"/>
        <v>15.997781096139555</v>
      </c>
      <c r="I15" s="1" t="s">
        <v>22</v>
      </c>
      <c r="J15" s="1">
        <v>0</v>
      </c>
      <c r="K15" s="1">
        <v>73</v>
      </c>
      <c r="L15" s="1">
        <v>1</v>
      </c>
      <c r="M15" s="1">
        <v>18</v>
      </c>
    </row>
    <row r="16" spans="1:22" x14ac:dyDescent="0.35">
      <c r="A16" s="1">
        <v>0</v>
      </c>
      <c r="B16" s="1">
        <v>5</v>
      </c>
      <c r="C16" s="1">
        <v>37.94</v>
      </c>
      <c r="D16" s="1">
        <v>-102.2</v>
      </c>
      <c r="E16" s="1">
        <v>4</v>
      </c>
      <c r="F16" s="1">
        <f>_xlfn.XLOOKUP(E16,'Data- Loc and connections'!$A$2:$A$8,'Data- Loc and connections'!$C$2:$C$8)</f>
        <v>39.79</v>
      </c>
      <c r="G16" s="1">
        <f>_xlfn.XLOOKUP(E16,'Data- Loc and connections'!$A$2:$A$8,'Data- Loc and connections'!$D$2:$D$8)</f>
        <v>-101.09</v>
      </c>
      <c r="H16" s="2">
        <f t="shared" si="0"/>
        <v>2.1574522010927621</v>
      </c>
      <c r="I16" s="1" t="s">
        <v>24</v>
      </c>
      <c r="J16" s="1">
        <v>1</v>
      </c>
      <c r="K16" s="1">
        <v>80</v>
      </c>
      <c r="L16" s="1">
        <v>1</v>
      </c>
      <c r="M16" s="1">
        <v>8</v>
      </c>
      <c r="P16" s="7" t="s">
        <v>59</v>
      </c>
    </row>
    <row r="17" spans="1:17" x14ac:dyDescent="0.35">
      <c r="A17" s="1">
        <v>0</v>
      </c>
      <c r="B17" s="1">
        <v>5</v>
      </c>
      <c r="C17" s="1">
        <v>37.94</v>
      </c>
      <c r="D17" s="1">
        <v>-102.2</v>
      </c>
      <c r="E17" s="1">
        <v>6</v>
      </c>
      <c r="F17" s="1">
        <f>_xlfn.XLOOKUP(E17,'Data- Loc and connections'!$A$2:$A$8,'Data- Loc and connections'!$C$2:$C$8)</f>
        <v>41.57</v>
      </c>
      <c r="G17" s="1">
        <f>_xlfn.XLOOKUP(E17,'Data- Loc and connections'!$A$2:$A$8,'Data- Loc and connections'!$D$2:$D$8)</f>
        <v>-89.35</v>
      </c>
      <c r="H17" s="2">
        <f t="shared" si="0"/>
        <v>13.352879839195747</v>
      </c>
      <c r="I17" s="1" t="s">
        <v>20</v>
      </c>
      <c r="J17" s="1">
        <v>1</v>
      </c>
      <c r="K17" s="1">
        <v>95</v>
      </c>
      <c r="L17" s="1">
        <v>1</v>
      </c>
      <c r="M17" s="1">
        <v>10</v>
      </c>
      <c r="P17" s="14" t="s">
        <v>60</v>
      </c>
      <c r="Q17" s="15">
        <v>2.8987012987017229</v>
      </c>
    </row>
    <row r="18" spans="1:17" x14ac:dyDescent="0.35">
      <c r="A18" s="1">
        <v>1632</v>
      </c>
      <c r="B18" s="1">
        <v>6</v>
      </c>
      <c r="C18" s="1">
        <v>41.57</v>
      </c>
      <c r="D18" s="1">
        <v>-89.35</v>
      </c>
      <c r="E18" s="1">
        <v>3</v>
      </c>
      <c r="F18" s="1">
        <f>_xlfn.XLOOKUP(E18,'Data- Loc and connections'!$A$2:$A$8,'Data- Loc and connections'!$C$2:$C$8)</f>
        <v>30.63</v>
      </c>
      <c r="G18" s="1">
        <f>_xlfn.XLOOKUP(E18,'Data- Loc and connections'!$A$2:$A$8,'Data- Loc and connections'!$D$2:$D$8)</f>
        <v>-116.43</v>
      </c>
      <c r="H18" s="2">
        <f t="shared" si="0"/>
        <v>29.206334929258084</v>
      </c>
      <c r="I18" s="1" t="s">
        <v>18</v>
      </c>
      <c r="J18" s="1">
        <v>0</v>
      </c>
      <c r="K18" s="1">
        <v>100</v>
      </c>
      <c r="L18" s="1">
        <v>1</v>
      </c>
      <c r="M18" s="1">
        <v>23</v>
      </c>
    </row>
    <row r="19" spans="1:17" x14ac:dyDescent="0.35">
      <c r="A19" s="1">
        <v>0</v>
      </c>
      <c r="B19" s="1">
        <v>6</v>
      </c>
      <c r="C19" s="1">
        <v>41.57</v>
      </c>
      <c r="D19" s="1">
        <v>-89.35</v>
      </c>
      <c r="E19" s="1">
        <v>4</v>
      </c>
      <c r="F19" s="1">
        <f>_xlfn.XLOOKUP(E19,'Data- Loc and connections'!$A$2:$A$8,'Data- Loc and connections'!$C$2:$C$8)</f>
        <v>39.79</v>
      </c>
      <c r="G19" s="1">
        <f>_xlfn.XLOOKUP(E19,'Data- Loc and connections'!$A$2:$A$8,'Data- Loc and connections'!$D$2:$D$8)</f>
        <v>-101.09</v>
      </c>
      <c r="H19" s="2">
        <f t="shared" si="0"/>
        <v>11.874173655459154</v>
      </c>
      <c r="I19" s="1" t="s">
        <v>20</v>
      </c>
      <c r="J19" s="1">
        <v>1</v>
      </c>
      <c r="K19" s="1">
        <v>105</v>
      </c>
      <c r="L19" s="1">
        <v>1</v>
      </c>
      <c r="M19" s="1">
        <v>14</v>
      </c>
    </row>
    <row r="20" spans="1:17" x14ac:dyDescent="0.35">
      <c r="A20" s="1">
        <v>1994</v>
      </c>
      <c r="B20" s="1">
        <v>6</v>
      </c>
      <c r="C20" s="1">
        <v>41.57</v>
      </c>
      <c r="D20" s="1">
        <v>-89.35</v>
      </c>
      <c r="E20" s="1">
        <v>5</v>
      </c>
      <c r="F20" s="1">
        <f>_xlfn.XLOOKUP(E20,'Data- Loc and connections'!$A$2:$A$8,'Data- Loc and connections'!$C$2:$C$8)</f>
        <v>37.94</v>
      </c>
      <c r="G20" s="1">
        <f>_xlfn.XLOOKUP(E20,'Data- Loc and connections'!$A$2:$A$8,'Data- Loc and connections'!$D$2:$D$8)</f>
        <v>-102.2</v>
      </c>
      <c r="H20" s="2">
        <f t="shared" si="0"/>
        <v>13.352879839195747</v>
      </c>
      <c r="I20" s="1" t="s">
        <v>23</v>
      </c>
      <c r="J20" s="1">
        <v>1</v>
      </c>
      <c r="K20" s="1">
        <v>101</v>
      </c>
      <c r="L20" s="1">
        <v>1</v>
      </c>
      <c r="M20" s="1">
        <v>20</v>
      </c>
    </row>
    <row r="21" spans="1:17" x14ac:dyDescent="0.35">
      <c r="A21" s="1">
        <v>987.2987012998874</v>
      </c>
      <c r="B21" s="1">
        <v>6</v>
      </c>
      <c r="C21" s="1">
        <v>41.57</v>
      </c>
      <c r="D21" s="1">
        <v>-89.35</v>
      </c>
      <c r="E21" s="1">
        <v>7</v>
      </c>
      <c r="F21" s="1">
        <f>_xlfn.XLOOKUP(E21,'Data- Loc and connections'!$A$2:$A$8,'Data- Loc and connections'!$C$2:$C$8)</f>
        <v>38.11</v>
      </c>
      <c r="G21" s="1">
        <f>_xlfn.XLOOKUP(E21,'Data- Loc and connections'!$A$2:$A$8,'Data- Loc and connections'!$D$2:$D$8)</f>
        <v>-112.36</v>
      </c>
      <c r="H21" s="2">
        <f t="shared" si="0"/>
        <v>23.268684964991042</v>
      </c>
      <c r="I21" s="1" t="s">
        <v>23</v>
      </c>
      <c r="J21" s="1">
        <v>1</v>
      </c>
      <c r="K21" s="1">
        <v>36</v>
      </c>
      <c r="L21" s="1">
        <v>0</v>
      </c>
      <c r="M21" s="1">
        <v>21</v>
      </c>
    </row>
    <row r="22" spans="1:17" x14ac:dyDescent="0.35">
      <c r="A22" s="1">
        <v>1244.9999999999975</v>
      </c>
      <c r="B22" s="1">
        <v>7</v>
      </c>
      <c r="C22" s="1">
        <v>38.11</v>
      </c>
      <c r="D22" s="1">
        <v>-112.36</v>
      </c>
      <c r="E22" s="1">
        <v>2</v>
      </c>
      <c r="F22" s="1">
        <f>_xlfn.XLOOKUP(E22,'Data- Loc and connections'!$A$2:$A$8,'Data- Loc and connections'!$C$2:$C$8)</f>
        <v>44.03</v>
      </c>
      <c r="G22" s="1">
        <f>_xlfn.XLOOKUP(E22,'Data- Loc and connections'!$A$2:$A$8,'Data- Loc and connections'!$D$2:$D$8)</f>
        <v>-117.68</v>
      </c>
      <c r="H22" s="2">
        <f t="shared" si="0"/>
        <v>7.9591959392893514</v>
      </c>
      <c r="I22" s="1" t="s">
        <v>19</v>
      </c>
      <c r="J22" s="1">
        <v>1</v>
      </c>
      <c r="K22" s="1">
        <v>101</v>
      </c>
      <c r="L22" s="1">
        <v>1</v>
      </c>
      <c r="M22" s="1">
        <v>19</v>
      </c>
    </row>
    <row r="23" spans="1:17" x14ac:dyDescent="0.35">
      <c r="A23" s="1">
        <v>0</v>
      </c>
      <c r="B23" s="1">
        <v>7</v>
      </c>
      <c r="C23" s="1">
        <v>38.11</v>
      </c>
      <c r="D23" s="1">
        <v>-112.36</v>
      </c>
      <c r="E23" s="1">
        <v>3</v>
      </c>
      <c r="F23" s="1">
        <f>_xlfn.XLOOKUP(E23,'Data- Loc and connections'!$A$2:$A$8,'Data- Loc and connections'!$C$2:$C$8)</f>
        <v>30.63</v>
      </c>
      <c r="G23" s="1">
        <f>_xlfn.XLOOKUP(E23,'Data- Loc and connections'!$A$2:$A$8,'Data- Loc and connections'!$D$2:$D$8)</f>
        <v>-116.43</v>
      </c>
      <c r="H23" s="2">
        <f t="shared" si="0"/>
        <v>8.5155915825032427</v>
      </c>
      <c r="I23" s="1" t="s">
        <v>20</v>
      </c>
      <c r="J23" s="1">
        <v>1</v>
      </c>
      <c r="K23" s="1">
        <v>86</v>
      </c>
      <c r="L23" s="1">
        <v>1</v>
      </c>
      <c r="M23" s="1">
        <v>11</v>
      </c>
    </row>
    <row r="24" spans="1:17" x14ac:dyDescent="0.35">
      <c r="A24" s="1">
        <v>0</v>
      </c>
      <c r="B24" s="1">
        <v>7</v>
      </c>
      <c r="C24" s="1">
        <v>38.11</v>
      </c>
      <c r="D24" s="1">
        <v>-112.36</v>
      </c>
      <c r="E24" s="1">
        <v>4</v>
      </c>
      <c r="F24" s="1">
        <f>_xlfn.XLOOKUP(E24,'Data- Loc and connections'!$A$2:$A$8,'Data- Loc and connections'!$C$2:$C$8)</f>
        <v>39.79</v>
      </c>
      <c r="G24" s="1">
        <f>_xlfn.XLOOKUP(E24,'Data- Loc and connections'!$A$2:$A$8,'Data- Loc and connections'!$D$2:$D$8)</f>
        <v>-101.09</v>
      </c>
      <c r="H24" s="2">
        <f t="shared" si="0"/>
        <v>11.394529389141084</v>
      </c>
      <c r="I24" s="1" t="s">
        <v>23</v>
      </c>
      <c r="J24" s="1">
        <v>1</v>
      </c>
      <c r="K24" s="1">
        <v>95</v>
      </c>
      <c r="L24" s="1">
        <v>1</v>
      </c>
      <c r="M24" s="1">
        <v>22</v>
      </c>
    </row>
    <row r="25" spans="1:17" x14ac:dyDescent="0.35">
      <c r="A25" s="1">
        <v>0</v>
      </c>
      <c r="B25" s="1">
        <v>7</v>
      </c>
      <c r="C25" s="1">
        <v>38.11</v>
      </c>
      <c r="D25" s="1">
        <v>-112.36</v>
      </c>
      <c r="E25" s="1">
        <v>5</v>
      </c>
      <c r="F25" s="1">
        <f>_xlfn.XLOOKUP(E25,'Data- Loc and connections'!$A$2:$A$8,'Data- Loc and connections'!$C$2:$C$8)</f>
        <v>37.94</v>
      </c>
      <c r="G25" s="1">
        <f>_xlfn.XLOOKUP(E25,'Data- Loc and connections'!$A$2:$A$8,'Data- Loc and connections'!$D$2:$D$8)</f>
        <v>-102.2</v>
      </c>
      <c r="H25" s="2">
        <f t="shared" si="0"/>
        <v>10.161422144562243</v>
      </c>
      <c r="I25" s="1" t="s">
        <v>25</v>
      </c>
      <c r="J25" s="1">
        <v>0</v>
      </c>
      <c r="K25" s="1">
        <v>103</v>
      </c>
      <c r="L25" s="1">
        <v>1</v>
      </c>
      <c r="M25" s="1">
        <v>13</v>
      </c>
    </row>
    <row r="26" spans="1:17" x14ac:dyDescent="0.35">
      <c r="A26" s="1">
        <v>0</v>
      </c>
      <c r="B26" s="1">
        <v>7</v>
      </c>
      <c r="C26" s="1">
        <v>38.11</v>
      </c>
      <c r="D26" s="1">
        <v>-112.36</v>
      </c>
      <c r="E26" s="1">
        <v>6</v>
      </c>
      <c r="F26" s="1">
        <f>_xlfn.XLOOKUP(E26,'Data- Loc and connections'!$A$2:$A$8,'Data- Loc and connections'!$C$2:$C$8)</f>
        <v>41.57</v>
      </c>
      <c r="G26" s="1">
        <f>_xlfn.XLOOKUP(E26,'Data- Loc and connections'!$A$2:$A$8,'Data- Loc and connections'!$D$2:$D$8)</f>
        <v>-89.35</v>
      </c>
      <c r="H26" s="2">
        <f t="shared" si="0"/>
        <v>23.268684964991042</v>
      </c>
      <c r="I26" s="1" t="s">
        <v>23</v>
      </c>
      <c r="J26" s="1">
        <v>1</v>
      </c>
      <c r="K26" s="1">
        <v>30</v>
      </c>
      <c r="L26" s="1">
        <v>0</v>
      </c>
      <c r="M26" s="1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7ED6A31E68943B6760AE64C20EE32" ma:contentTypeVersion="13" ma:contentTypeDescription="Create a new document." ma:contentTypeScope="" ma:versionID="98b00eda3bae0bc0dd3dedc11aeccb8e">
  <xsd:schema xmlns:xsd="http://www.w3.org/2001/XMLSchema" xmlns:xs="http://www.w3.org/2001/XMLSchema" xmlns:p="http://schemas.microsoft.com/office/2006/metadata/properties" xmlns:ns3="d6c709f8-2985-4fa4-82e2-60efa68dfdca" xmlns:ns4="53260887-8d8e-4892-808b-78d7f57b1382" targetNamespace="http://schemas.microsoft.com/office/2006/metadata/properties" ma:root="true" ma:fieldsID="8770509aad491fd78f3c8932feb8118a" ns3:_="" ns4:_="">
    <xsd:import namespace="d6c709f8-2985-4fa4-82e2-60efa68dfdca"/>
    <xsd:import namespace="53260887-8d8e-4892-808b-78d7f57b13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709f8-2985-4fa4-82e2-60efa68df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60887-8d8e-4892-808b-78d7f57b1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c709f8-2985-4fa4-82e2-60efa68dfdca" xsi:nil="true"/>
  </documentManagement>
</p:properties>
</file>

<file path=customXml/itemProps1.xml><?xml version="1.0" encoding="utf-8"?>
<ds:datastoreItem xmlns:ds="http://schemas.openxmlformats.org/officeDocument/2006/customXml" ds:itemID="{A8112F5E-95E8-4DFB-8530-10799478B4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c709f8-2985-4fa4-82e2-60efa68dfdca"/>
    <ds:schemaRef ds:uri="53260887-8d8e-4892-808b-78d7f57b1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8FBB5B-CE2C-485D-9A70-DC983F8F03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B6BA93-FD8B-4004-BD6F-39197E437176}">
  <ds:schemaRefs>
    <ds:schemaRef ds:uri="53260887-8d8e-4892-808b-78d7f57b138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6c709f8-2985-4fa4-82e2-60efa68dfdca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6c853569-e95e-4378-8926-ab9501a771a3}" enabled="0" method="" siteId="{6c853569-e95e-4378-8926-ab9501a771a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 Loc and connections</vt:lpstr>
      <vt:lpstr>Model</vt:lpstr>
      <vt:lpstr>Model w Stipulation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Santoni</dc:creator>
  <cp:lastModifiedBy>Valeria Santoni</cp:lastModifiedBy>
  <dcterms:created xsi:type="dcterms:W3CDTF">2025-04-16T22:38:46Z</dcterms:created>
  <dcterms:modified xsi:type="dcterms:W3CDTF">2025-04-24T16:38:21Z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0x01010092E7ED6A31E68943B6760AE64C20EE32</vt:lpwstr>
  </property>
</Properties>
</file>