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1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isepipp.sharepoint.com/teams/LAPR2566-ISEP365Group/Shared Documents/General/MATCP/"/>
    </mc:Choice>
  </mc:AlternateContent>
  <xr:revisionPtr revIDLastSave="0" documentId="8_{E37541BD-0879-4D23-8526-5CBA0C651807}" xr6:coauthVersionLast="47" xr6:coauthVersionMax="47" xr10:uidLastSave="{00000000-0000-0000-0000-000000000000}"/>
  <bookViews>
    <workbookView xWindow="0" yWindow="720" windowWidth="29400" windowHeight="18400" xr2:uid="{00000000-000D-0000-FFFF-FFFF00000000}"/>
  </bookViews>
  <sheets>
    <sheet name="Dados" sheetId="1" r:id="rId1"/>
    <sheet name="Exercicio1" sheetId="2" r:id="rId2"/>
    <sheet name="Exercício2 " sheetId="7" r:id="rId3"/>
    <sheet name="Exercício3" sheetId="3" r:id="rId4"/>
    <sheet name="Exercicio4" sheetId="4" r:id="rId5"/>
    <sheet name="Exercício 5" sheetId="5" r:id="rId6"/>
  </sheets>
  <definedNames>
    <definedName name="_xlchart.v1.0" hidden="1">'Exercício2 '!$E$51:$E$58</definedName>
    <definedName name="_xlchart.v1.1" hidden="1">'Exercício2 '!$F$51:$F$58</definedName>
    <definedName name="_xlchart.v1.2" hidden="1">'Exercício2 '!$O$51:$O$58</definedName>
    <definedName name="_xlchart.v1.3" hidden="1">'Exercício2 '!$P$51:$P$58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14" i="2" l="1"/>
  <c r="B114" i="2"/>
  <c r="E104" i="7"/>
  <c r="O17" i="7"/>
  <c r="E17" i="7"/>
  <c r="C16" i="5"/>
  <c r="C15" i="5"/>
  <c r="C13" i="5"/>
  <c r="C14" i="5" s="1"/>
  <c r="C19" i="5" s="1"/>
  <c r="C22" i="5" s="1"/>
  <c r="P92" i="7"/>
  <c r="P89" i="7"/>
  <c r="E89" i="7" l="1"/>
  <c r="E85" i="7" l="1"/>
  <c r="Q104" i="7"/>
  <c r="P104" i="7"/>
  <c r="F104" i="7" l="1"/>
  <c r="R17" i="7"/>
  <c r="N38" i="7" s="1"/>
  <c r="Q17" i="7"/>
  <c r="H17" i="7"/>
  <c r="G17" i="7"/>
  <c r="P85" i="7"/>
  <c r="P84" i="7"/>
  <c r="E84" i="7"/>
  <c r="M37" i="7" l="1"/>
  <c r="C37" i="7"/>
  <c r="O18" i="7"/>
  <c r="N39" i="7" s="1"/>
  <c r="E18" i="7"/>
  <c r="E92" i="7" s="1"/>
  <c r="F9" i="5"/>
  <c r="H9" i="5" s="1"/>
  <c r="F5" i="5"/>
  <c r="H5" i="5" s="1"/>
  <c r="C17" i="4"/>
  <c r="C18" i="4" s="1"/>
  <c r="C26" i="4" s="1"/>
  <c r="H10" i="4"/>
  <c r="H7" i="4"/>
  <c r="N27" i="7" l="1"/>
  <c r="P56" i="7" s="1"/>
  <c r="N28" i="7"/>
  <c r="P57" i="7" s="1"/>
  <c r="N29" i="7"/>
  <c r="P58" i="7" s="1"/>
  <c r="C26" i="5"/>
  <c r="C25" i="5"/>
  <c r="M38" i="7"/>
  <c r="N40" i="7"/>
  <c r="M42" i="7"/>
  <c r="M41" i="7"/>
  <c r="N42" i="7"/>
  <c r="M39" i="7"/>
  <c r="N41" i="7"/>
  <c r="D42" i="7"/>
  <c r="M40" i="7"/>
  <c r="N37" i="7"/>
  <c r="M44" i="7"/>
  <c r="M43" i="7"/>
  <c r="D39" i="7"/>
  <c r="C38" i="7"/>
  <c r="D41" i="7"/>
  <c r="D37" i="7"/>
  <c r="D40" i="7"/>
  <c r="N43" i="7"/>
  <c r="N44" i="7"/>
  <c r="D43" i="7"/>
  <c r="D38" i="7"/>
  <c r="D44" i="7"/>
  <c r="C41" i="7"/>
  <c r="C42" i="7"/>
  <c r="C43" i="7"/>
  <c r="C44" i="7"/>
  <c r="C39" i="7"/>
  <c r="C40" i="7"/>
  <c r="B22" i="7"/>
  <c r="E54" i="7"/>
  <c r="C22" i="7"/>
  <c r="O56" i="7"/>
  <c r="N22" i="7"/>
  <c r="O52" i="7"/>
  <c r="O53" i="7"/>
  <c r="O54" i="7"/>
  <c r="O55" i="7"/>
  <c r="N24" i="7"/>
  <c r="P53" i="7" s="1"/>
  <c r="O57" i="7"/>
  <c r="O58" i="7"/>
  <c r="O51" i="7"/>
  <c r="M27" i="7"/>
  <c r="M28" i="7"/>
  <c r="D23" i="7"/>
  <c r="F52" i="7" s="1"/>
  <c r="E55" i="7"/>
  <c r="E51" i="7"/>
  <c r="E56" i="7"/>
  <c r="E53" i="7"/>
  <c r="E58" i="7"/>
  <c r="E57" i="7"/>
  <c r="L28" i="7"/>
  <c r="L29" i="7"/>
  <c r="L27" i="7"/>
  <c r="M29" i="7"/>
  <c r="M26" i="7"/>
  <c r="E52" i="7"/>
  <c r="N25" i="7"/>
  <c r="P54" i="7" s="1"/>
  <c r="M25" i="7"/>
  <c r="M23" i="7"/>
  <c r="L25" i="7"/>
  <c r="M24" i="7"/>
  <c r="N26" i="7"/>
  <c r="P55" i="7" s="1"/>
  <c r="L23" i="7"/>
  <c r="L22" i="7"/>
  <c r="L26" i="7"/>
  <c r="N23" i="7"/>
  <c r="P52" i="7" s="1"/>
  <c r="L24" i="7"/>
  <c r="M22" i="7"/>
  <c r="C23" i="7"/>
  <c r="C27" i="7"/>
  <c r="B25" i="7"/>
  <c r="B24" i="7"/>
  <c r="B29" i="7"/>
  <c r="C28" i="7"/>
  <c r="D27" i="7"/>
  <c r="F56" i="7" s="1"/>
  <c r="D26" i="7"/>
  <c r="F55" i="7" s="1"/>
  <c r="D22" i="7"/>
  <c r="C26" i="7"/>
  <c r="C25" i="7"/>
  <c r="B26" i="7"/>
  <c r="C24" i="7"/>
  <c r="B27" i="7"/>
  <c r="B28" i="7"/>
  <c r="D29" i="7"/>
  <c r="F58" i="7" s="1"/>
  <c r="D24" i="7"/>
  <c r="F53" i="7" s="1"/>
  <c r="D25" i="7"/>
  <c r="F54" i="7" s="1"/>
  <c r="B23" i="7"/>
  <c r="C29" i="7"/>
  <c r="D28" i="7"/>
  <c r="F57" i="7" s="1"/>
  <c r="H5" i="3"/>
  <c r="H6" i="3" s="1"/>
  <c r="H7" i="3" s="1"/>
  <c r="P22" i="7" l="1"/>
  <c r="P23" i="7" s="1"/>
  <c r="P24" i="7" s="1"/>
  <c r="P25" i="7" s="1"/>
  <c r="P26" i="7" s="1"/>
  <c r="P27" i="7" s="1"/>
  <c r="P28" i="7" s="1"/>
  <c r="P29" i="7" s="1"/>
  <c r="P51" i="7"/>
  <c r="F22" i="7"/>
  <c r="F23" i="7" s="1"/>
  <c r="F24" i="7" s="1"/>
  <c r="F25" i="7" s="1"/>
  <c r="F26" i="7" s="1"/>
  <c r="F27" i="7" s="1"/>
  <c r="F28" i="7" s="1"/>
  <c r="F29" i="7" s="1"/>
  <c r="F51" i="7"/>
  <c r="M31" i="7"/>
  <c r="Q84" i="7" s="1" a="1"/>
  <c r="Q84" i="7" s="1"/>
  <c r="C31" i="7"/>
  <c r="F84" i="7" s="1"/>
  <c r="D5" i="3"/>
  <c r="D6" i="3" s="1"/>
  <c r="D7" i="3" s="1"/>
  <c r="J29" i="7" l="1"/>
  <c r="H26" i="7"/>
  <c r="J24" i="7"/>
  <c r="H23" i="7"/>
  <c r="I24" i="7"/>
  <c r="I22" i="7"/>
  <c r="H24" i="7"/>
  <c r="I23" i="7"/>
  <c r="H29" i="7"/>
  <c r="H28" i="7"/>
  <c r="I27" i="7"/>
  <c r="J26" i="7"/>
  <c r="J23" i="7"/>
  <c r="J22" i="7"/>
  <c r="I29" i="7"/>
  <c r="J28" i="7"/>
  <c r="H27" i="7"/>
  <c r="I25" i="7"/>
  <c r="I28" i="7"/>
  <c r="H25" i="7"/>
  <c r="I26" i="7"/>
  <c r="J27" i="7"/>
  <c r="J25" i="7"/>
  <c r="H22" i="7"/>
  <c r="O25" i="7"/>
  <c r="O22" i="7"/>
  <c r="Q22" i="7" s="1"/>
  <c r="O28" i="7"/>
  <c r="O24" i="7"/>
  <c r="O29" i="7"/>
  <c r="O27" i="7"/>
  <c r="O23" i="7"/>
  <c r="O26" i="7"/>
  <c r="E26" i="7"/>
  <c r="E22" i="7"/>
  <c r="G22" i="7" s="1"/>
  <c r="E29" i="7"/>
  <c r="E23" i="7"/>
  <c r="E27" i="7"/>
  <c r="E25" i="7"/>
  <c r="E28" i="7"/>
  <c r="E24" i="7"/>
  <c r="F91" i="2"/>
  <c r="C91" i="2"/>
  <c r="H8" i="3" s="1"/>
  <c r="G75" i="2"/>
  <c r="G74" i="2"/>
  <c r="G73" i="2"/>
  <c r="C73" i="2"/>
  <c r="C75" i="2"/>
  <c r="C74" i="2"/>
  <c r="F112" i="7" l="1"/>
  <c r="F113" i="7" s="1"/>
  <c r="E136" i="7" s="1"/>
  <c r="T25" i="7"/>
  <c r="S23" i="7"/>
  <c r="T27" i="7"/>
  <c r="R29" i="7"/>
  <c r="S25" i="7"/>
  <c r="R23" i="7"/>
  <c r="S27" i="7"/>
  <c r="T24" i="7"/>
  <c r="T28" i="7"/>
  <c r="R27" i="7"/>
  <c r="R25" i="7"/>
  <c r="S28" i="7"/>
  <c r="S22" i="7"/>
  <c r="R26" i="7"/>
  <c r="R22" i="7"/>
  <c r="T26" i="7"/>
  <c r="T29" i="7"/>
  <c r="T23" i="7"/>
  <c r="S26" i="7"/>
  <c r="S29" i="7"/>
  <c r="S24" i="7"/>
  <c r="R24" i="7"/>
  <c r="T22" i="7"/>
  <c r="R28" i="7"/>
  <c r="Q23" i="7"/>
  <c r="Q24" i="7" s="1"/>
  <c r="Q25" i="7" s="1"/>
  <c r="Q26" i="7" s="1"/>
  <c r="Q27" i="7" s="1"/>
  <c r="Q28" i="7" s="1"/>
  <c r="Q29" i="7" s="1"/>
  <c r="G23" i="7"/>
  <c r="G24" i="7" s="1"/>
  <c r="G25" i="7" s="1"/>
  <c r="G26" i="7" s="1"/>
  <c r="G27" i="7" s="1"/>
  <c r="G28" i="7" s="1"/>
  <c r="G29" i="7" s="1"/>
  <c r="C129" i="2"/>
  <c r="C127" i="2"/>
  <c r="C128" i="2"/>
  <c r="F129" i="2"/>
  <c r="F128" i="2"/>
  <c r="F127" i="2"/>
  <c r="H9" i="3"/>
  <c r="H10" i="3"/>
  <c r="D8" i="3"/>
  <c r="D10" i="3" s="1"/>
  <c r="C96" i="2"/>
  <c r="C95" i="2"/>
  <c r="F96" i="2"/>
  <c r="F95" i="2"/>
  <c r="Q112" i="7" l="1"/>
  <c r="E135" i="7"/>
  <c r="P93" i="7"/>
  <c r="E93" i="7"/>
  <c r="F114" i="7"/>
  <c r="Q113" i="7"/>
  <c r="H11" i="3"/>
  <c r="D9" i="3"/>
  <c r="D11" i="3" s="1"/>
  <c r="L16" i="2"/>
  <c r="P136" i="7" l="1"/>
  <c r="P135" i="7"/>
  <c r="Q114" i="7"/>
  <c r="E90" i="7" a="1"/>
  <c r="E90" i="7" s="1"/>
  <c r="E91" i="7" a="1"/>
  <c r="E91" i="7" s="1"/>
  <c r="E88" i="7" a="1"/>
  <c r="E88" i="7" s="1"/>
  <c r="P88" i="7" a="1"/>
  <c r="P88" i="7" s="1"/>
  <c r="P91" i="7" a="1"/>
  <c r="P91" i="7" s="1"/>
  <c r="P90" i="7" a="1"/>
  <c r="P90" i="7" s="1"/>
  <c r="C52" i="2"/>
  <c r="C30" i="2"/>
  <c r="C29" i="2"/>
  <c r="C50" i="2"/>
  <c r="C49" i="2"/>
  <c r="C48" i="2"/>
  <c r="C47" i="2"/>
  <c r="C44" i="2"/>
  <c r="C45" i="2"/>
  <c r="C46" i="2"/>
  <c r="C35" i="2"/>
  <c r="C34" i="2"/>
  <c r="C33" i="2"/>
  <c r="C32" i="2"/>
  <c r="C31" i="2"/>
  <c r="Q85" i="7" l="1"/>
  <c r="D73" i="2"/>
  <c r="F85" i="7"/>
  <c r="H6" i="4"/>
  <c r="I6" i="4" s="1"/>
  <c r="H9" i="4"/>
  <c r="I9" i="4" s="1"/>
  <c r="C20" i="4" s="1"/>
  <c r="C22" i="4" s="1"/>
  <c r="F98" i="2"/>
  <c r="C98" i="2"/>
  <c r="E44" i="2"/>
  <c r="E45" i="2" s="1"/>
  <c r="E46" i="2" s="1"/>
  <c r="E47" i="2" s="1"/>
  <c r="E48" i="2" s="1"/>
  <c r="E49" i="2" s="1"/>
  <c r="E50" i="2" s="1"/>
  <c r="H73" i="2"/>
  <c r="H75" i="2"/>
  <c r="E29" i="2"/>
  <c r="E30" i="2" s="1"/>
  <c r="E31" i="2" s="1"/>
  <c r="E32" i="2" s="1"/>
  <c r="E33" i="2" s="1"/>
  <c r="E34" i="2" s="1"/>
  <c r="E35" i="2" s="1"/>
  <c r="D75" i="2"/>
  <c r="D44" i="2"/>
  <c r="F44" i="2" s="1"/>
  <c r="D46" i="2"/>
  <c r="D45" i="2"/>
  <c r="D47" i="2"/>
  <c r="D48" i="2"/>
  <c r="D49" i="2"/>
  <c r="D50" i="2"/>
  <c r="C37" i="2"/>
  <c r="D29" i="2" s="1"/>
  <c r="F29" i="2" s="1"/>
  <c r="C19" i="4" l="1"/>
  <c r="C21" i="4" s="1"/>
  <c r="C30" i="4" s="1"/>
  <c r="C32" i="4" s="1"/>
  <c r="F45" i="2"/>
  <c r="F46" i="2" s="1"/>
  <c r="F47" i="2" s="1"/>
  <c r="F48" i="2" s="1"/>
  <c r="F49" i="2" s="1"/>
  <c r="F50" i="2" s="1"/>
  <c r="D34" i="2"/>
  <c r="D31" i="2"/>
  <c r="D35" i="2"/>
  <c r="D32" i="2"/>
  <c r="D33" i="2"/>
  <c r="D30" i="2"/>
  <c r="F30" i="2" s="1"/>
  <c r="C33" i="4" l="1"/>
  <c r="F31" i="2"/>
  <c r="F32" i="2" s="1"/>
  <c r="F33" i="2" s="1"/>
  <c r="F34" i="2" s="1"/>
  <c r="F35" i="2" s="1"/>
  <c r="C16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<sst xmlns="http://schemas.openxmlformats.org/spreadsheetml/2006/main" count="200" uniqueCount="97">
  <si>
    <t>Imobilária A</t>
  </si>
  <si>
    <t>Imobilária B</t>
  </si>
  <si>
    <t>Cliente</t>
  </si>
  <si>
    <t>Apart. Vendidos</t>
  </si>
  <si>
    <t>Tempo de espera(min)</t>
  </si>
  <si>
    <t>1. Pretende-se avaliar a diferença no número de apartamentos vendidos nas duas imobiliárias.
Foram recolhidas duas amostras aleatórias com 200 registos de cada imobiliária. Para cada
uma das amostras:</t>
  </si>
  <si>
    <t>Provas de Bernoulli</t>
  </si>
  <si>
    <t>Número de apartamentos vendidos</t>
  </si>
  <si>
    <t>Frequência absoluta ni</t>
  </si>
  <si>
    <t>Frequência relativa fi</t>
  </si>
  <si>
    <t>Frequência acumulada absoluta Fi</t>
  </si>
  <si>
    <t>Frequência acumulada relativa Fri</t>
  </si>
  <si>
    <t>Total</t>
  </si>
  <si>
    <t>Medidas de tendencia central</t>
  </si>
  <si>
    <t>rotina direta</t>
  </si>
  <si>
    <t>rotina alternativa</t>
  </si>
  <si>
    <t>Média</t>
  </si>
  <si>
    <t>Mediana</t>
  </si>
  <si>
    <t>Moda</t>
  </si>
  <si>
    <t>Medidas de dispersão</t>
  </si>
  <si>
    <t>Desvio-padrão</t>
  </si>
  <si>
    <t>Intervalo</t>
  </si>
  <si>
    <t>x - s</t>
  </si>
  <si>
    <t>x + s</t>
  </si>
  <si>
    <t>Número de clientes</t>
  </si>
  <si>
    <t>Imobiliária A</t>
  </si>
  <si>
    <t>Imobiliária B</t>
  </si>
  <si>
    <t>Nº apartamentos</t>
  </si>
  <si>
    <t xml:space="preserve">Através da utilização do percentil conseguimos perceber que na imobiliária A, o número máximo de
 apartamentos comprados por cliente nos primeiros 25% dos clientes é 1 apartamento. Já na imobiliária 
B, o número máximo de apartamentos comprado por cliente nos primeiros 25% de clientes, não excede os 2.  </t>
  </si>
  <si>
    <t>Simetria</t>
  </si>
  <si>
    <t>Coluna1</t>
  </si>
  <si>
    <t>Comparação de média, moda, mediana</t>
  </si>
  <si>
    <t>Assimetria Positiva</t>
  </si>
  <si>
    <t>Assimetria Simétrica</t>
  </si>
  <si>
    <t>Assimetria Negativa</t>
  </si>
  <si>
    <t>Ao compararmos as distribuições das Imobiliárias A e B, verificamos que:
Comparando as medidas de centralidade, podemos observar que a média da Imobiliária B é ligeiramente maior do que a média da Imobiliária A. Isso sugere que, em média, os valores da Imobiliária B são um pouco maiores do que os valores da Imobiliária A.
Quanto à mediana, a Imobiliária B também tem um valor um pouco maior em comparação com a Imobiliária A. Isso indica que a mediana dos valores da Imobiliária B está mais à direita em relação à mediana dos valores da Imobiliária A.
Em termos de moda, a Imobiliária A tem uma moda de 1, enquanto a janela 2 tem uma moda de 2. Isso significa que o valor mais frequente na Imobiliária A é 1, enquanto na Imobiliária B é 2.
Olhando para o desvio-padrão, podemos ver que a Imobiliária B tem um desvio-padrão um pouco menor em comparação com a Imobiliária A. Isso indica que os valores na Imobiliária B são mais próximos da média em relação à dispersão em comparação com os valores na Imobiliária A.
Ambas as imobiliárias apresentam assimetria positiva, o que indica uma tendência para a direita nos dados. Isso significa que a distribuição dos valores está mais concentrada na parte esquerda e se estende para a direita.</t>
  </si>
  <si>
    <t>IMOBILIÁRIA A</t>
  </si>
  <si>
    <t>IMOBILIÁRIA B</t>
  </si>
  <si>
    <t>Regra de Sturges</t>
  </si>
  <si>
    <t>Mínimo</t>
  </si>
  <si>
    <t>Máximo</t>
  </si>
  <si>
    <t>Nº de clases</t>
  </si>
  <si>
    <t>Amplitude de classe</t>
  </si>
  <si>
    <t>Tempo de espera (minutos)</t>
  </si>
  <si>
    <t>Freq. Absoluta</t>
  </si>
  <si>
    <t>Freq. Relativa</t>
  </si>
  <si>
    <t>Freq. Acumulada absoluta</t>
  </si>
  <si>
    <t>Freq. Acumulada relativa</t>
  </si>
  <si>
    <t>Coluna auxiliar para cálculo da Assimetria</t>
  </si>
  <si>
    <t>Coluna auxiliar para cálculo da Curtose</t>
  </si>
  <si>
    <t>Coluna auxiliar para cálculo da Variância</t>
  </si>
  <si>
    <t>Classes</t>
  </si>
  <si>
    <t>Marca de classe</t>
  </si>
  <si>
    <t>ni</t>
  </si>
  <si>
    <t>fi</t>
  </si>
  <si>
    <t>Ni</t>
  </si>
  <si>
    <t>Fi</t>
  </si>
  <si>
    <t>EXTREMOS DOS INTERVALOS</t>
  </si>
  <si>
    <t>EXT. INF.</t>
  </si>
  <si>
    <t>EXT. SUP</t>
  </si>
  <si>
    <t>(d) Calcule o tempo médio e o tempo mediano com base na tabela de frequências.</t>
  </si>
  <si>
    <t>Rotina direta</t>
  </si>
  <si>
    <t>Rotina alternativa</t>
  </si>
  <si>
    <t>LIM. INF.</t>
  </si>
  <si>
    <t>P</t>
  </si>
  <si>
    <t>FR,ANT</t>
  </si>
  <si>
    <t>FR</t>
  </si>
  <si>
    <t>H</t>
  </si>
  <si>
    <t>LINHA REF. TABELA</t>
  </si>
  <si>
    <t>(e) Calcule os percentis de ordem 20 e 45.</t>
  </si>
  <si>
    <t>Ordem</t>
  </si>
  <si>
    <t>Percentil</t>
  </si>
  <si>
    <t>(f) Calcule a variância, o desvio padrão e o coeficiente de variação da amostra. Que conclui sobre a dispersão dos dados?</t>
  </si>
  <si>
    <t>Variância</t>
  </si>
  <si>
    <t>Desvio Padrão</t>
  </si>
  <si>
    <t>Coeficiente de variação da amostra</t>
  </si>
  <si>
    <r>
      <rPr>
        <b/>
        <sz val="14"/>
        <color theme="1"/>
        <rFont val="Calibri"/>
        <family val="2"/>
        <scheme val="minor"/>
      </rPr>
      <t>Quanto à Variância e Desvio Padrão:</t>
    </r>
    <r>
      <rPr>
        <sz val="14"/>
        <color theme="1"/>
        <rFont val="Calibri"/>
        <family val="2"/>
        <scheme val="minor"/>
      </rPr>
      <t xml:space="preserve">
A imobiliária A possui uma variância de 7,251 e um desvio padrão de 2,693. Isso indica que os dados têm uma dispersão relativamente menor em relação à média.
A imobiliária B possui uma variância de 7,807 e um desvio padrão de 2,794. Isso indica que os dados têm uma dispersão um pouco maior em relação à média em comparação com a imobiliária 1.
</t>
    </r>
    <r>
      <rPr>
        <b/>
        <sz val="14"/>
        <color theme="1"/>
        <rFont val="Calibri"/>
        <family val="2"/>
        <scheme val="minor"/>
      </rPr>
      <t>Quanto ao Coeficiente de Variação:</t>
    </r>
    <r>
      <rPr>
        <sz val="14"/>
        <color theme="1"/>
        <rFont val="Calibri"/>
        <family val="2"/>
        <scheme val="minor"/>
      </rPr>
      <t xml:space="preserve">
A imoboliária 1 tem um coeficiente de variação da amostra de 12,432, enquanto a imobiliária B tem um coeficiente de variação de 11,211. O coeficiente de variação é uma medida relativa de dispersão em relação à média.
Ambas as imobiliárias apresentam coeficientes de variação relativamente baixos, indicando uma dispersão relativamente baixa em relação à média. Isso sugere que os dados tendem a se agrupar mais em torno da média.
</t>
    </r>
    <r>
      <rPr>
        <b/>
        <sz val="14"/>
        <color theme="1"/>
        <rFont val="Calibri"/>
        <family val="2"/>
        <scheme val="minor"/>
      </rPr>
      <t>Concluindo:</t>
    </r>
    <r>
      <rPr>
        <sz val="14"/>
        <color theme="1"/>
        <rFont val="Calibri"/>
        <family val="2"/>
        <scheme val="minor"/>
      </rPr>
      <t xml:space="preserve">
Tanto a imobiliária A quanto a imobiliária B apresentam uma dispersão moderada a baixa em relação à média. No entanto, a imobiliária B parece ter uma dispersão um pouco maior em comparação com a imobiliária A.</t>
    </r>
  </si>
  <si>
    <t>(g) Classifique os dados da amostra quanto à assimetria e curtose.</t>
  </si>
  <si>
    <t>ASSIMETRIA</t>
  </si>
  <si>
    <t>Como a assimetria é maior que 0, a distribuição é assimétrica para a direita (cauda longa à direita).</t>
  </si>
  <si>
    <t>CURTOSE</t>
  </si>
  <si>
    <t>Como a curtose é maior que 0, a distribuição é leptocúrtica, o que significa que tem caudas mais pesadas e é mais pontuda no centro em comparação com a distribuição normal.</t>
  </si>
  <si>
    <t>(h) Identifique e comente as diferenças entre as distribuições obtidas.</t>
  </si>
  <si>
    <r>
      <rPr>
        <b/>
        <sz val="14"/>
        <color theme="1"/>
        <rFont val="Calibri"/>
        <family val="2"/>
        <scheme val="minor"/>
      </rPr>
      <t xml:space="preserve">Ao compararmos as distribuições das Imobiliárias A e B, verificamos que:
</t>
    </r>
    <r>
      <rPr>
        <sz val="14"/>
        <color theme="1"/>
        <rFont val="Calibri"/>
        <family val="2"/>
        <scheme val="minor"/>
      </rPr>
      <t xml:space="preserve">
A média da Imobiliária B é maior que a média da Imobiliária A. Isso indica que, em média, os valores da Imobiliária B são maiores do que os valores da Imobiliária A.
Quanto à mediana, a Imobiliária B também tem um valor ligeiramente maior em comparação com a Imobiliária A. A mediana representa o valor central quando os dados estão ordenados, sendo assim, a mediana da Imobiliária B está mais à direita em relação à mediana da Imobiliária A.
Observando a variância e o desvio padrão, podemos ver que a Imobiliária B tem valores um pouco maiores em comparação com a Imobiliária A. Isso indica que os valores da Imobiliária B estão mais dispersos em relação à média, comparando com os dados da Imobiliária A.
Em termos de coeficiente de variação da amostra, que é uma medida relativa de dispersão, podemos ver que a Imobiliária A tem um coeficiente de variação maior em comparação com a Imobiliária B. Isso sugere que a Imobiliária A tem uma maior dispersão em relação à média da Imobiliária B.
Em relação à assimetria, ambas as imobiliárias apresentam assimetria positiva, indicando uma leve tendência para a direita, mas a Imobiliária A tem um valor um pouco maior de assimetria em comparação com a Imobiliária B.
Quanto à curtose, a Imobiliária A tem um valor de curtose maior em relação à Imobiliária B. Isso sugere que a Imobiliária A tem uma distribuição mais concentrada em torno da média e caudas mais pesadas em comparação com a Imobiliária B, que tem uma distribuição mais achatada e caudas mais leves.</t>
    </r>
  </si>
  <si>
    <t>Grau De Confiança</t>
  </si>
  <si>
    <t>Nivel de Significância</t>
  </si>
  <si>
    <t>Erro do Integral</t>
  </si>
  <si>
    <t>Média-Erro</t>
  </si>
  <si>
    <t>Média+Erro</t>
  </si>
  <si>
    <t>Intervalo de Confiança</t>
  </si>
  <si>
    <t>qA</t>
  </si>
  <si>
    <t>qB</t>
  </si>
  <si>
    <t>Limite inferior</t>
  </si>
  <si>
    <t>Limite superior</t>
  </si>
  <si>
    <t>5. Com base num intervalo de confiança a 97%, é possível concluir que, nas duas imobiliárias, não há uma diferença significativa entre os tempos médios de espera para um cliente ser atendido?</t>
  </si>
  <si>
    <t>=</t>
  </si>
  <si>
    <t>Não é possível concluir que não há uma diferença significativa entre os tempos médios de espera para um cliente ser atendido, pois os resultados são ambos do extremo negativo.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</si>
</sst>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20">
    <font>
      <sz val="12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13"/>
      <color theme="1"/>
      <name val="Calibri (Body)"/>
    </font>
    <font>
      <sz val="13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 (Body)"/>
    </font>
    <font>
      <sz val="11"/>
      <color rgb="FF3F3F3F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2F2F2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5" fillId="5" borderId="2" applyNumberFormat="0" applyAlignment="0" applyProtection="0"/>
    <xf numFmtId="9" fontId="6" fillId="0" borderId="0" applyFont="0" applyFill="0" applyBorder="0" applyAlignment="0" applyProtection="0"/>
  </cellStyleXfs>
  <cellXfs count="219">
    <xf numFmtId="0" fontId="0" fillId="0" borderId="0" xfId="0"/>
    <xf numFmtId="2" fontId="0" fillId="0" borderId="0" xfId="0" applyNumberFormat="1"/>
    <xf numFmtId="0" fontId="0" fillId="3" borderId="0" xfId="0" applyFill="1"/>
    <xf numFmtId="0" fontId="1" fillId="2" borderId="0" xfId="1" applyBorder="1"/>
    <xf numFmtId="164" fontId="0" fillId="0" borderId="0" xfId="0" applyNumberFormat="1"/>
    <xf numFmtId="1" fontId="0" fillId="0" borderId="0" xfId="0" applyNumberFormat="1"/>
    <xf numFmtId="0" fontId="2" fillId="0" borderId="0" xfId="0" applyFont="1" applyAlignment="1">
      <alignment horizontal="center" wrapText="1"/>
    </xf>
    <xf numFmtId="0" fontId="2" fillId="0" borderId="0" xfId="0" applyFont="1"/>
    <xf numFmtId="2" fontId="2" fillId="0" borderId="0" xfId="0" applyNumberFormat="1" applyFont="1"/>
    <xf numFmtId="0" fontId="3" fillId="0" borderId="0" xfId="0" applyFont="1" applyAlignment="1">
      <alignment vertical="top" wrapText="1"/>
    </xf>
    <xf numFmtId="0" fontId="4" fillId="0" borderId="1" xfId="0" applyFont="1" applyBorder="1" applyAlignment="1">
      <alignment horizontal="center" wrapText="1"/>
    </xf>
    <xf numFmtId="0" fontId="2" fillId="4" borderId="0" xfId="0" applyFont="1" applyFill="1"/>
    <xf numFmtId="2" fontId="2" fillId="4" borderId="0" xfId="0" applyNumberFormat="1" applyFont="1" applyFill="1"/>
    <xf numFmtId="0" fontId="5" fillId="5" borderId="2" xfId="2"/>
    <xf numFmtId="165" fontId="5" fillId="5" borderId="2" xfId="2" applyNumberFormat="1"/>
    <xf numFmtId="0" fontId="1" fillId="2" borderId="0" xfId="1"/>
    <xf numFmtId="2" fontId="5" fillId="5" borderId="2" xfId="2" applyNumberFormat="1"/>
    <xf numFmtId="1" fontId="0" fillId="3" borderId="3" xfId="0" applyNumberFormat="1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right"/>
    </xf>
    <xf numFmtId="0" fontId="5" fillId="6" borderId="0" xfId="2" applyFill="1" applyBorder="1"/>
    <xf numFmtId="0" fontId="0" fillId="6" borderId="0" xfId="0" applyFill="1"/>
    <xf numFmtId="0" fontId="0" fillId="3" borderId="6" xfId="0" applyFill="1" applyBorder="1"/>
    <xf numFmtId="0" fontId="0" fillId="3" borderId="4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0" fillId="3" borderId="6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2" fillId="9" borderId="8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2" fillId="9" borderId="14" xfId="0" applyFont="1" applyFill="1" applyBorder="1" applyAlignment="1">
      <alignment horizontal="center"/>
    </xf>
    <xf numFmtId="0" fontId="2" fillId="9" borderId="6" xfId="0" applyFont="1" applyFill="1" applyBorder="1" applyAlignment="1">
      <alignment horizontal="center" vertical="center" wrapText="1"/>
    </xf>
    <xf numFmtId="2" fontId="2" fillId="9" borderId="16" xfId="0" applyNumberFormat="1" applyFont="1" applyFill="1" applyBorder="1" applyAlignment="1">
      <alignment horizontal="center"/>
    </xf>
    <xf numFmtId="0" fontId="2" fillId="9" borderId="12" xfId="0" applyFont="1" applyFill="1" applyBorder="1" applyAlignment="1">
      <alignment horizontal="center" vertical="center" wrapText="1"/>
    </xf>
    <xf numFmtId="0" fontId="2" fillId="9" borderId="5" xfId="0" applyFont="1" applyFill="1" applyBorder="1" applyAlignment="1">
      <alignment horizontal="center"/>
    </xf>
    <xf numFmtId="2" fontId="0" fillId="9" borderId="5" xfId="0" applyNumberFormat="1" applyFill="1" applyBorder="1" applyAlignment="1">
      <alignment horizontal="center"/>
    </xf>
    <xf numFmtId="0" fontId="2" fillId="9" borderId="5" xfId="0" applyFont="1" applyFill="1" applyBorder="1" applyAlignment="1">
      <alignment horizontal="center" vertical="center" wrapText="1"/>
    </xf>
    <xf numFmtId="2" fontId="2" fillId="9" borderId="5" xfId="0" applyNumberFormat="1" applyFont="1" applyFill="1" applyBorder="1" applyAlignment="1">
      <alignment horizontal="center"/>
    </xf>
    <xf numFmtId="0" fontId="0" fillId="3" borderId="10" xfId="0" applyFill="1" applyBorder="1"/>
    <xf numFmtId="0" fontId="0" fillId="3" borderId="3" xfId="0" applyFill="1" applyBorder="1"/>
    <xf numFmtId="0" fontId="0" fillId="3" borderId="11" xfId="0" applyFill="1" applyBorder="1"/>
    <xf numFmtId="0" fontId="1" fillId="7" borderId="6" xfId="1" applyFill="1" applyBorder="1"/>
    <xf numFmtId="0" fontId="1" fillId="7" borderId="4" xfId="1" applyFill="1" applyBorder="1"/>
    <xf numFmtId="0" fontId="1" fillId="7" borderId="10" xfId="1" applyFill="1" applyBorder="1"/>
    <xf numFmtId="0" fontId="1" fillId="7" borderId="3" xfId="1" applyFill="1" applyBorder="1"/>
    <xf numFmtId="0" fontId="4" fillId="8" borderId="5" xfId="0" applyFont="1" applyFill="1" applyBorder="1" applyAlignment="1">
      <alignment horizontal="center" vertical="center" wrapText="1"/>
    </xf>
    <xf numFmtId="0" fontId="8" fillId="8" borderId="5" xfId="0" applyFont="1" applyFill="1" applyBorder="1" applyAlignment="1">
      <alignment horizontal="center" vertical="center" wrapText="1"/>
    </xf>
    <xf numFmtId="0" fontId="7" fillId="3" borderId="12" xfId="0" applyFont="1" applyFill="1" applyBorder="1" applyAlignment="1">
      <alignment horizontal="center" vertical="center"/>
    </xf>
    <xf numFmtId="0" fontId="0" fillId="7" borderId="4" xfId="0" applyFill="1" applyBorder="1"/>
    <xf numFmtId="0" fontId="0" fillId="7" borderId="7" xfId="0" applyFill="1" applyBorder="1"/>
    <xf numFmtId="0" fontId="0" fillId="7" borderId="3" xfId="0" applyFill="1" applyBorder="1"/>
    <xf numFmtId="0" fontId="0" fillId="7" borderId="11" xfId="0" applyFill="1" applyBorder="1"/>
    <xf numFmtId="0" fontId="0" fillId="7" borderId="4" xfId="0" applyFill="1" applyBorder="1" applyAlignment="1">
      <alignment horizontal="center"/>
    </xf>
    <xf numFmtId="0" fontId="0" fillId="3" borderId="8" xfId="0" applyFill="1" applyBorder="1" applyAlignment="1">
      <alignment horizontal="left" vertical="center"/>
    </xf>
    <xf numFmtId="0" fontId="7" fillId="9" borderId="5" xfId="0" applyFont="1" applyFill="1" applyBorder="1" applyAlignment="1">
      <alignment horizontal="center"/>
    </xf>
    <xf numFmtId="0" fontId="7" fillId="9" borderId="7" xfId="0" applyFont="1" applyFill="1" applyBorder="1" applyAlignment="1">
      <alignment horizontal="center"/>
    </xf>
    <xf numFmtId="0" fontId="0" fillId="8" borderId="5" xfId="0" applyFill="1" applyBorder="1" applyAlignment="1">
      <alignment horizontal="center" vertical="center" wrapText="1"/>
    </xf>
    <xf numFmtId="0" fontId="0" fillId="8" borderId="5" xfId="0" applyFill="1" applyBorder="1" applyAlignment="1">
      <alignment wrapText="1"/>
    </xf>
    <xf numFmtId="0" fontId="0" fillId="8" borderId="5" xfId="0" applyFill="1" applyBorder="1" applyAlignment="1">
      <alignment horizontal="center" wrapText="1"/>
    </xf>
    <xf numFmtId="0" fontId="8" fillId="8" borderId="12" xfId="0" applyFont="1" applyFill="1" applyBorder="1" applyAlignment="1">
      <alignment horizontal="center" vertical="center" wrapText="1"/>
    </xf>
    <xf numFmtId="0" fontId="2" fillId="8" borderId="5" xfId="0" applyFont="1" applyFill="1" applyBorder="1" applyAlignment="1">
      <alignment horizontal="center" vertical="center" wrapText="1"/>
    </xf>
    <xf numFmtId="1" fontId="2" fillId="9" borderId="5" xfId="0" applyNumberFormat="1" applyFont="1" applyFill="1" applyBorder="1" applyAlignment="1">
      <alignment horizontal="center"/>
    </xf>
    <xf numFmtId="0" fontId="0" fillId="3" borderId="17" xfId="0" applyFill="1" applyBorder="1"/>
    <xf numFmtId="0" fontId="11" fillId="8" borderId="5" xfId="0" applyFont="1" applyFill="1" applyBorder="1" applyAlignment="1">
      <alignment horizontal="center" vertical="center" wrapText="1"/>
    </xf>
    <xf numFmtId="0" fontId="11" fillId="8" borderId="12" xfId="0" applyFont="1" applyFill="1" applyBorder="1" applyAlignment="1">
      <alignment horizontal="center" vertical="center" wrapText="1"/>
    </xf>
    <xf numFmtId="0" fontId="2" fillId="9" borderId="16" xfId="0" applyFont="1" applyFill="1" applyBorder="1" applyAlignment="1">
      <alignment horizontal="center" vertical="center" wrapText="1"/>
    </xf>
    <xf numFmtId="0" fontId="8" fillId="8" borderId="15" xfId="0" applyFont="1" applyFill="1" applyBorder="1" applyAlignment="1">
      <alignment horizontal="center" vertical="center" wrapText="1"/>
    </xf>
    <xf numFmtId="0" fontId="4" fillId="9" borderId="15" xfId="0" applyFont="1" applyFill="1" applyBorder="1" applyAlignment="1">
      <alignment horizontal="center" vertical="center" wrapText="1"/>
    </xf>
    <xf numFmtId="0" fontId="2" fillId="8" borderId="12" xfId="0" applyFont="1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9" fontId="2" fillId="8" borderId="5" xfId="3" applyFont="1" applyFill="1" applyBorder="1" applyAlignment="1">
      <alignment horizontal="center" vertical="center" wrapText="1"/>
    </xf>
    <xf numFmtId="10" fontId="2" fillId="8" borderId="12" xfId="0" applyNumberFormat="1" applyFont="1" applyFill="1" applyBorder="1" applyAlignment="1">
      <alignment horizontal="center" vertical="center" wrapText="1"/>
    </xf>
    <xf numFmtId="0" fontId="1" fillId="3" borderId="8" xfId="1" applyFill="1" applyBorder="1"/>
    <xf numFmtId="0" fontId="1" fillId="3" borderId="0" xfId="1" applyFill="1" applyBorder="1"/>
    <xf numFmtId="0" fontId="0" fillId="7" borderId="3" xfId="0" applyFill="1" applyBorder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0" xfId="0" applyFill="1" applyAlignment="1">
      <alignment vertical="center" wrapText="1"/>
    </xf>
    <xf numFmtId="0" fontId="0" fillId="3" borderId="11" xfId="0" applyFill="1" applyBorder="1" applyAlignment="1">
      <alignment horizontal="center" vertical="center"/>
    </xf>
    <xf numFmtId="0" fontId="0" fillId="3" borderId="0" xfId="0" applyFill="1" applyAlignment="1">
      <alignment vertical="center"/>
    </xf>
    <xf numFmtId="0" fontId="3" fillId="3" borderId="0" xfId="0" applyFont="1" applyFill="1" applyAlignment="1">
      <alignment horizontal="center" vertical="center"/>
    </xf>
    <xf numFmtId="0" fontId="2" fillId="3" borderId="0" xfId="0" applyFont="1" applyFill="1"/>
    <xf numFmtId="0" fontId="0" fillId="3" borderId="0" xfId="0" applyFill="1" applyAlignment="1">
      <alignment horizontal="left" vertical="center"/>
    </xf>
    <xf numFmtId="0" fontId="1" fillId="7" borderId="8" xfId="1" applyFill="1" applyBorder="1"/>
    <xf numFmtId="0" fontId="1" fillId="7" borderId="0" xfId="1" applyFill="1" applyBorder="1"/>
    <xf numFmtId="0" fontId="0" fillId="7" borderId="0" xfId="0" applyFill="1"/>
    <xf numFmtId="2" fontId="0" fillId="8" borderId="5" xfId="0" applyNumberFormat="1" applyFill="1" applyBorder="1" applyAlignment="1">
      <alignment horizontal="center" vertical="center"/>
    </xf>
    <xf numFmtId="0" fontId="7" fillId="8" borderId="5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2" fontId="2" fillId="3" borderId="0" xfId="0" applyNumberFormat="1" applyFont="1" applyFill="1" applyAlignment="1">
      <alignment horizontal="center" vertical="center"/>
    </xf>
    <xf numFmtId="2" fontId="3" fillId="3" borderId="0" xfId="0" applyNumberFormat="1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1" fontId="0" fillId="8" borderId="5" xfId="0" applyNumberForma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left" vertical="center"/>
    </xf>
    <xf numFmtId="0" fontId="10" fillId="3" borderId="0" xfId="0" applyFont="1" applyFill="1" applyAlignment="1">
      <alignment horizontal="left" vertical="center"/>
    </xf>
    <xf numFmtId="2" fontId="0" fillId="8" borderId="5" xfId="0" applyNumberFormat="1" applyFill="1" applyBorder="1" applyAlignment="1">
      <alignment horizontal="center" wrapText="1"/>
    </xf>
    <xf numFmtId="2" fontId="0" fillId="8" borderId="12" xfId="0" applyNumberFormat="1" applyFill="1" applyBorder="1" applyAlignment="1">
      <alignment horizontal="center" vertical="center" wrapText="1"/>
    </xf>
    <xf numFmtId="2" fontId="0" fillId="8" borderId="5" xfId="0" applyNumberFormat="1" applyFill="1" applyBorder="1" applyAlignment="1">
      <alignment horizontal="center" vertical="center" wrapText="1"/>
    </xf>
    <xf numFmtId="0" fontId="5" fillId="3" borderId="0" xfId="2" applyFill="1" applyBorder="1" applyAlignment="1">
      <alignment horizontal="center" vertical="center" wrapText="1"/>
    </xf>
    <xf numFmtId="0" fontId="5" fillId="3" borderId="0" xfId="2" applyFill="1" applyBorder="1" applyAlignment="1">
      <alignment horizontal="center" vertical="center"/>
    </xf>
    <xf numFmtId="0" fontId="5" fillId="8" borderId="18" xfId="2" applyFill="1" applyBorder="1" applyAlignment="1">
      <alignment horizontal="center" vertical="center" wrapText="1"/>
    </xf>
    <xf numFmtId="164" fontId="15" fillId="8" borderId="18" xfId="2" applyNumberFormat="1" applyFont="1" applyFill="1" applyBorder="1" applyAlignment="1">
      <alignment horizontal="center" vertical="center"/>
    </xf>
    <xf numFmtId="0" fontId="5" fillId="8" borderId="2" xfId="2" applyFill="1" applyAlignment="1">
      <alignment horizontal="center" vertical="center"/>
    </xf>
    <xf numFmtId="0" fontId="0" fillId="3" borderId="0" xfId="0" applyFill="1" applyAlignment="1">
      <alignment vertical="top" wrapText="1"/>
    </xf>
    <xf numFmtId="0" fontId="0" fillId="3" borderId="0" xfId="0" applyFill="1" applyAlignment="1">
      <alignment vertical="top"/>
    </xf>
    <xf numFmtId="0" fontId="0" fillId="8" borderId="6" xfId="0" applyFill="1" applyBorder="1" applyAlignment="1">
      <alignment horizontal="center" vertical="center" wrapText="1"/>
    </xf>
    <xf numFmtId="0" fontId="0" fillId="3" borderId="5" xfId="0" applyFill="1" applyBorder="1"/>
    <xf numFmtId="0" fontId="0" fillId="3" borderId="15" xfId="0" applyFill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0" fontId="0" fillId="0" borderId="7" xfId="0" applyBorder="1"/>
    <xf numFmtId="0" fontId="13" fillId="3" borderId="0" xfId="0" applyFont="1" applyFill="1" applyAlignment="1">
      <alignment horizontal="center" vertical="center"/>
    </xf>
    <xf numFmtId="0" fontId="4" fillId="9" borderId="10" xfId="0" applyFont="1" applyFill="1" applyBorder="1" applyAlignment="1">
      <alignment horizontal="center" vertical="center" wrapText="1"/>
    </xf>
    <xf numFmtId="0" fontId="4" fillId="9" borderId="15" xfId="0" applyFont="1" applyFill="1" applyBorder="1" applyAlignment="1">
      <alignment horizontal="center"/>
    </xf>
    <xf numFmtId="0" fontId="1" fillId="3" borderId="4" xfId="1" applyFill="1" applyBorder="1"/>
    <xf numFmtId="0" fontId="13" fillId="3" borderId="3" xfId="0" applyFont="1" applyFill="1" applyBorder="1" applyAlignment="1">
      <alignment horizontal="center" vertical="center"/>
    </xf>
    <xf numFmtId="0" fontId="1" fillId="3" borderId="6" xfId="1" applyFill="1" applyBorder="1"/>
    <xf numFmtId="0" fontId="0" fillId="8" borderId="6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7" fillId="8" borderId="0" xfId="0" applyFont="1" applyFill="1" applyAlignment="1">
      <alignment horizontal="center" vertical="center"/>
    </xf>
    <xf numFmtId="0" fontId="0" fillId="8" borderId="9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14" fillId="8" borderId="11" xfId="0" applyFont="1" applyFill="1" applyBorder="1" applyAlignment="1">
      <alignment horizontal="center" vertical="center" wrapText="1"/>
    </xf>
    <xf numFmtId="0" fontId="2" fillId="8" borderId="15" xfId="0" applyFont="1" applyFill="1" applyBorder="1" applyAlignment="1">
      <alignment horizontal="center" vertical="center" wrapText="1"/>
    </xf>
    <xf numFmtId="0" fontId="2" fillId="8" borderId="10" xfId="0" applyFont="1" applyFill="1" applyBorder="1" applyAlignment="1">
      <alignment horizontal="center" vertical="center" wrapText="1"/>
    </xf>
    <xf numFmtId="0" fontId="2" fillId="8" borderId="13" xfId="0" applyFont="1" applyFill="1" applyBorder="1" applyAlignment="1">
      <alignment horizontal="center" vertical="center"/>
    </xf>
    <xf numFmtId="2" fontId="2" fillId="8" borderId="5" xfId="0" applyNumberFormat="1" applyFont="1" applyFill="1" applyBorder="1" applyAlignment="1">
      <alignment horizontal="center" vertical="center"/>
    </xf>
    <xf numFmtId="2" fontId="2" fillId="8" borderId="12" xfId="0" applyNumberFormat="1" applyFont="1" applyFill="1" applyBorder="1" applyAlignment="1">
      <alignment horizontal="center" vertical="center"/>
    </xf>
    <xf numFmtId="0" fontId="2" fillId="8" borderId="7" xfId="0" applyFont="1" applyFill="1" applyBorder="1" applyAlignment="1">
      <alignment horizontal="center" vertical="center"/>
    </xf>
    <xf numFmtId="2" fontId="2" fillId="8" borderId="16" xfId="0" applyNumberFormat="1" applyFont="1" applyFill="1" applyBorder="1" applyAlignment="1">
      <alignment horizontal="center" vertical="center"/>
    </xf>
    <xf numFmtId="2" fontId="0" fillId="8" borderId="6" xfId="0" applyNumberFormat="1" applyFill="1" applyBorder="1" applyAlignment="1">
      <alignment horizontal="center" vertical="center" wrapText="1"/>
    </xf>
    <xf numFmtId="0" fontId="2" fillId="8" borderId="11" xfId="0" applyFont="1" applyFill="1" applyBorder="1" applyAlignment="1">
      <alignment horizontal="center" vertical="center" wrapText="1"/>
    </xf>
    <xf numFmtId="0" fontId="2" fillId="8" borderId="16" xfId="0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8" borderId="6" xfId="0" applyFill="1" applyBorder="1"/>
    <xf numFmtId="0" fontId="0" fillId="8" borderId="4" xfId="0" applyFill="1" applyBorder="1"/>
    <xf numFmtId="0" fontId="0" fillId="8" borderId="7" xfId="0" applyFill="1" applyBorder="1"/>
    <xf numFmtId="164" fontId="0" fillId="8" borderId="5" xfId="0" applyNumberFormat="1" applyFill="1" applyBorder="1" applyAlignment="1">
      <alignment horizontal="center" vertical="center"/>
    </xf>
    <xf numFmtId="165" fontId="0" fillId="8" borderId="5" xfId="0" applyNumberFormat="1" applyFill="1" applyBorder="1" applyAlignment="1">
      <alignment horizontal="center" vertical="center" wrapText="1"/>
    </xf>
    <xf numFmtId="165" fontId="0" fillId="8" borderId="5" xfId="0" applyNumberFormat="1" applyFill="1" applyBorder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0" fontId="15" fillId="8" borderId="2" xfId="2" applyFont="1" applyFill="1" applyAlignment="1">
      <alignment horizontal="center" vertical="center"/>
    </xf>
    <xf numFmtId="0" fontId="5" fillId="8" borderId="2" xfId="2" applyFill="1" applyAlignment="1">
      <alignment horizontal="center" vertical="center" wrapText="1"/>
    </xf>
    <xf numFmtId="164" fontId="15" fillId="8" borderId="2" xfId="2" applyNumberFormat="1" applyFont="1" applyFill="1" applyAlignment="1">
      <alignment horizontal="center" vertical="center"/>
    </xf>
    <xf numFmtId="164" fontId="0" fillId="3" borderId="0" xfId="0" applyNumberFormat="1" applyFill="1" applyAlignment="1">
      <alignment horizontal="center" vertical="center"/>
    </xf>
    <xf numFmtId="0" fontId="0" fillId="7" borderId="0" xfId="0" applyFill="1" applyAlignment="1">
      <alignment horizontal="center" wrapText="1"/>
    </xf>
    <xf numFmtId="0" fontId="0" fillId="7" borderId="0" xfId="0" applyFill="1" applyAlignment="1">
      <alignment horizontal="center"/>
    </xf>
    <xf numFmtId="0" fontId="16" fillId="3" borderId="6" xfId="0" applyFont="1" applyFill="1" applyBorder="1" applyAlignment="1">
      <alignment horizontal="center" vertical="center" wrapText="1"/>
    </xf>
    <xf numFmtId="0" fontId="16" fillId="3" borderId="4" xfId="0" applyFont="1" applyFill="1" applyBorder="1" applyAlignment="1">
      <alignment horizontal="center" vertical="center" wrapText="1"/>
    </xf>
    <xf numFmtId="0" fontId="16" fillId="3" borderId="7" xfId="0" applyFont="1" applyFill="1" applyBorder="1" applyAlignment="1">
      <alignment horizontal="center" vertical="center" wrapText="1"/>
    </xf>
    <xf numFmtId="0" fontId="16" fillId="3" borderId="8" xfId="0" applyFont="1" applyFill="1" applyBorder="1" applyAlignment="1">
      <alignment horizontal="center" vertical="center" wrapText="1"/>
    </xf>
    <xf numFmtId="0" fontId="16" fillId="3" borderId="0" xfId="0" applyFont="1" applyFill="1" applyAlignment="1">
      <alignment horizontal="center" vertical="center" wrapText="1"/>
    </xf>
    <xf numFmtId="0" fontId="16" fillId="3" borderId="9" xfId="0" applyFont="1" applyFill="1" applyBorder="1" applyAlignment="1">
      <alignment horizontal="center" vertical="center" wrapText="1"/>
    </xf>
    <xf numFmtId="0" fontId="16" fillId="3" borderId="10" xfId="0" applyFont="1" applyFill="1" applyBorder="1" applyAlignment="1">
      <alignment horizontal="center" vertical="center" wrapText="1"/>
    </xf>
    <xf numFmtId="0" fontId="16" fillId="3" borderId="3" xfId="0" applyFont="1" applyFill="1" applyBorder="1" applyAlignment="1">
      <alignment horizontal="center" vertical="center" wrapText="1"/>
    </xf>
    <xf numFmtId="0" fontId="16" fillId="3" borderId="11" xfId="0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19" fillId="3" borderId="12" xfId="0" applyFont="1" applyFill="1" applyBorder="1" applyAlignment="1">
      <alignment horizontal="center" vertical="center"/>
    </xf>
    <xf numFmtId="0" fontId="19" fillId="3" borderId="17" xfId="0" applyFont="1" applyFill="1" applyBorder="1" applyAlignment="1">
      <alignment horizontal="center" vertical="center"/>
    </xf>
    <xf numFmtId="0" fontId="19" fillId="3" borderId="13" xfId="0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left" vertical="center"/>
    </xf>
    <xf numFmtId="0" fontId="10" fillId="7" borderId="4" xfId="0" applyFont="1" applyFill="1" applyBorder="1" applyAlignment="1">
      <alignment horizontal="left" vertical="center"/>
    </xf>
    <xf numFmtId="0" fontId="10" fillId="7" borderId="7" xfId="0" applyFont="1" applyFill="1" applyBorder="1" applyAlignment="1">
      <alignment horizontal="left" vertical="center"/>
    </xf>
    <xf numFmtId="0" fontId="10" fillId="7" borderId="10" xfId="0" applyFont="1" applyFill="1" applyBorder="1" applyAlignment="1">
      <alignment horizontal="left" vertical="center"/>
    </xf>
    <xf numFmtId="0" fontId="10" fillId="7" borderId="3" xfId="0" applyFont="1" applyFill="1" applyBorder="1" applyAlignment="1">
      <alignment horizontal="left" vertical="center"/>
    </xf>
    <xf numFmtId="0" fontId="10" fillId="7" borderId="11" xfId="0" applyFont="1" applyFill="1" applyBorder="1" applyAlignment="1">
      <alignment horizontal="left" vertical="center"/>
    </xf>
    <xf numFmtId="0" fontId="13" fillId="8" borderId="10" xfId="0" applyFont="1" applyFill="1" applyBorder="1" applyAlignment="1">
      <alignment horizontal="center" vertical="center"/>
    </xf>
    <xf numFmtId="0" fontId="13" fillId="8" borderId="11" xfId="0" applyFont="1" applyFill="1" applyBorder="1" applyAlignment="1">
      <alignment horizontal="center" vertical="center"/>
    </xf>
    <xf numFmtId="0" fontId="12" fillId="8" borderId="6" xfId="0" applyFont="1" applyFill="1" applyBorder="1" applyAlignment="1">
      <alignment horizontal="center" vertical="center" wrapText="1"/>
    </xf>
    <xf numFmtId="0" fontId="12" fillId="8" borderId="4" xfId="0" applyFont="1" applyFill="1" applyBorder="1" applyAlignment="1">
      <alignment horizontal="center" vertical="center" wrapText="1"/>
    </xf>
    <xf numFmtId="0" fontId="12" fillId="8" borderId="7" xfId="0" applyFont="1" applyFill="1" applyBorder="1" applyAlignment="1">
      <alignment horizontal="center" vertical="center" wrapText="1"/>
    </xf>
    <xf numFmtId="0" fontId="12" fillId="8" borderId="8" xfId="0" applyFont="1" applyFill="1" applyBorder="1" applyAlignment="1">
      <alignment horizontal="center" vertical="center" wrapText="1"/>
    </xf>
    <xf numFmtId="0" fontId="12" fillId="8" borderId="0" xfId="0" applyFont="1" applyFill="1" applyAlignment="1">
      <alignment horizontal="center" vertical="center" wrapText="1"/>
    </xf>
    <xf numFmtId="0" fontId="12" fillId="8" borderId="9" xfId="0" applyFont="1" applyFill="1" applyBorder="1" applyAlignment="1">
      <alignment horizontal="center" vertical="center" wrapText="1"/>
    </xf>
    <xf numFmtId="0" fontId="12" fillId="8" borderId="10" xfId="0" applyFont="1" applyFill="1" applyBorder="1" applyAlignment="1">
      <alignment horizontal="center" vertical="center" wrapText="1"/>
    </xf>
    <xf numFmtId="0" fontId="12" fillId="8" borderId="3" xfId="0" applyFont="1" applyFill="1" applyBorder="1" applyAlignment="1">
      <alignment horizontal="center" vertical="center" wrapText="1"/>
    </xf>
    <xf numFmtId="0" fontId="12" fillId="8" borderId="11" xfId="0" applyFont="1" applyFill="1" applyBorder="1" applyAlignment="1">
      <alignment horizontal="center" vertical="center" wrapText="1"/>
    </xf>
    <xf numFmtId="0" fontId="9" fillId="7" borderId="6" xfId="0" applyFont="1" applyFill="1" applyBorder="1" applyAlignment="1">
      <alignment horizontal="left" vertical="center"/>
    </xf>
    <xf numFmtId="0" fontId="0" fillId="7" borderId="4" xfId="0" applyFill="1" applyBorder="1" applyAlignment="1">
      <alignment horizontal="left" vertical="center"/>
    </xf>
    <xf numFmtId="0" fontId="0" fillId="7" borderId="10" xfId="0" applyFill="1" applyBorder="1" applyAlignment="1">
      <alignment horizontal="left" vertical="center"/>
    </xf>
    <xf numFmtId="0" fontId="0" fillId="7" borderId="3" xfId="0" applyFill="1" applyBorder="1" applyAlignment="1">
      <alignment horizontal="left" vertical="center"/>
    </xf>
    <xf numFmtId="0" fontId="10" fillId="7" borderId="6" xfId="0" applyFont="1" applyFill="1" applyBorder="1" applyAlignment="1">
      <alignment horizontal="left" vertical="center" wrapText="1"/>
    </xf>
    <xf numFmtId="0" fontId="0" fillId="8" borderId="5" xfId="0" applyFill="1" applyBorder="1" applyAlignment="1">
      <alignment horizontal="center" vertical="center"/>
    </xf>
    <xf numFmtId="0" fontId="0" fillId="8" borderId="12" xfId="0" applyFill="1" applyBorder="1" applyAlignment="1">
      <alignment horizontal="center" vertical="center"/>
    </xf>
    <xf numFmtId="0" fontId="0" fillId="8" borderId="13" xfId="0" applyFill="1" applyBorder="1" applyAlignment="1">
      <alignment horizontal="center" vertical="center"/>
    </xf>
    <xf numFmtId="0" fontId="13" fillId="8" borderId="12" xfId="0" applyFont="1" applyFill="1" applyBorder="1" applyAlignment="1">
      <alignment horizontal="center" vertical="center"/>
    </xf>
    <xf numFmtId="0" fontId="13" fillId="8" borderId="17" xfId="0" applyFont="1" applyFill="1" applyBorder="1" applyAlignment="1">
      <alignment horizontal="center" vertical="center"/>
    </xf>
    <xf numFmtId="0" fontId="13" fillId="8" borderId="13" xfId="0" applyFont="1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 wrapText="1"/>
    </xf>
    <xf numFmtId="0" fontId="17" fillId="8" borderId="4" xfId="0" applyFont="1" applyFill="1" applyBorder="1" applyAlignment="1">
      <alignment horizontal="center" vertical="center" wrapText="1"/>
    </xf>
    <xf numFmtId="0" fontId="17" fillId="8" borderId="7" xfId="0" applyFont="1" applyFill="1" applyBorder="1" applyAlignment="1">
      <alignment horizontal="center" vertical="center" wrapText="1"/>
    </xf>
    <xf numFmtId="0" fontId="17" fillId="8" borderId="8" xfId="0" applyFont="1" applyFill="1" applyBorder="1" applyAlignment="1">
      <alignment horizontal="center" vertical="center" wrapText="1"/>
    </xf>
    <xf numFmtId="0" fontId="17" fillId="8" borderId="0" xfId="0" applyFont="1" applyFill="1" applyAlignment="1">
      <alignment horizontal="center" vertical="center" wrapText="1"/>
    </xf>
    <xf numFmtId="0" fontId="17" fillId="8" borderId="9" xfId="0" applyFont="1" applyFill="1" applyBorder="1" applyAlignment="1">
      <alignment horizontal="center" vertical="center" wrapText="1"/>
    </xf>
    <xf numFmtId="0" fontId="17" fillId="8" borderId="10" xfId="0" applyFont="1" applyFill="1" applyBorder="1" applyAlignment="1">
      <alignment horizontal="center" vertical="center" wrapText="1"/>
    </xf>
    <xf numFmtId="0" fontId="17" fillId="8" borderId="3" xfId="0" applyFont="1" applyFill="1" applyBorder="1" applyAlignment="1">
      <alignment horizontal="center" vertical="center" wrapText="1"/>
    </xf>
    <xf numFmtId="0" fontId="17" fillId="8" borderId="11" xfId="0" applyFont="1" applyFill="1" applyBorder="1" applyAlignment="1">
      <alignment horizontal="center" vertical="center" wrapText="1"/>
    </xf>
    <xf numFmtId="1" fontId="0" fillId="7" borderId="6" xfId="0" applyNumberFormat="1" applyFill="1" applyBorder="1" applyAlignment="1">
      <alignment horizontal="center" vertical="center" wrapText="1"/>
    </xf>
    <xf numFmtId="1" fontId="0" fillId="7" borderId="4" xfId="0" applyNumberFormat="1" applyFill="1" applyBorder="1" applyAlignment="1">
      <alignment horizontal="center" vertical="center" wrapText="1"/>
    </xf>
    <xf numFmtId="1" fontId="0" fillId="7" borderId="7" xfId="0" applyNumberFormat="1" applyFill="1" applyBorder="1" applyAlignment="1">
      <alignment horizontal="center" vertical="center" wrapText="1"/>
    </xf>
    <xf numFmtId="1" fontId="0" fillId="7" borderId="10" xfId="0" applyNumberFormat="1" applyFill="1" applyBorder="1" applyAlignment="1">
      <alignment horizontal="center" vertical="center" wrapText="1"/>
    </xf>
    <xf numFmtId="1" fontId="0" fillId="7" borderId="3" xfId="0" applyNumberFormat="1" applyFill="1" applyBorder="1" applyAlignment="1">
      <alignment horizontal="center" vertical="center" wrapText="1"/>
    </xf>
    <xf numFmtId="1" fontId="0" fillId="7" borderId="11" xfId="0" applyNumberFormat="1" applyFill="1" applyBorder="1" applyAlignment="1">
      <alignment horizontal="center" vertical="center" wrapText="1"/>
    </xf>
  </cellXfs>
  <cellStyles count="4">
    <cellStyle name="Cor4" xfId="1" builtinId="41"/>
    <cellStyle name="Normal" xfId="0" builtinId="0"/>
    <cellStyle name="Percentagem" xfId="3" builtinId="5"/>
    <cellStyle name="Saída" xfId="2" builtinId="21"/>
  </cellStyles>
  <dxfs count="50"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numFmt numFmtId="2" formatCode="0.00"/>
      <fill>
        <patternFill patternType="solid">
          <fgColor indexed="64"/>
          <bgColor theme="7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center" vertical="center" textRotation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numFmt numFmtId="2" formatCode="0.00"/>
      <fill>
        <patternFill patternType="solid">
          <fgColor indexed="64"/>
          <bgColor theme="7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center" vertical="center" textRotation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</dxf>
    <dxf>
      <numFmt numFmtId="164" formatCode="0.000"/>
    </dxf>
    <dxf>
      <numFmt numFmtId="1" formatCode="0"/>
    </dxf>
    <dxf>
      <numFmt numFmtId="164" formatCode="0.000"/>
    </dxf>
    <dxf>
      <numFmt numFmtId="1" formatCode="0"/>
    </dxf>
    <dxf>
      <numFmt numFmtId="164" formatCode="0.000"/>
    </dxf>
    <dxf>
      <numFmt numFmtId="1" formatCode="0"/>
    </dxf>
    <dxf>
      <numFmt numFmtId="164" formatCode="0.00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Frequência</a:t>
            </a:r>
            <a:r>
              <a:rPr lang="pt-PT" baseline="0"/>
              <a:t> relativa fi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Exercicio1!$D$29:$D$35</c:f>
              <c:numCache>
                <c:formatCode>0.000</c:formatCode>
                <c:ptCount val="7"/>
                <c:pt idx="0">
                  <c:v>0.29499999999999998</c:v>
                </c:pt>
                <c:pt idx="1">
                  <c:v>0.26500000000000001</c:v>
                </c:pt>
                <c:pt idx="2">
                  <c:v>0.18</c:v>
                </c:pt>
                <c:pt idx="3">
                  <c:v>0.105</c:v>
                </c:pt>
                <c:pt idx="4">
                  <c:v>9.5000000000000001E-2</c:v>
                </c:pt>
                <c:pt idx="5">
                  <c:v>5.5E-2</c:v>
                </c:pt>
                <c:pt idx="6">
                  <c:v>5.0000000000000001E-3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BF-460C-947E-18B171B4A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8143480"/>
        <c:axId val="439614320"/>
      </c:barChart>
      <c:catAx>
        <c:axId val="438143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614320"/>
        <c:crosses val="autoZero"/>
        <c:auto val="1"/>
        <c:lblAlgn val="ctr"/>
        <c:lblOffset val="100"/>
        <c:noMultiLvlLbl val="0"/>
      </c:catAx>
      <c:valAx>
        <c:axId val="43961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143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Frequência</a:t>
            </a:r>
            <a:r>
              <a:rPr lang="pt-PT" baseline="0"/>
              <a:t> absoluta ni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Exercicio1!$C$29:$C$35</c:f>
              <c:numCache>
                <c:formatCode>0</c:formatCode>
                <c:ptCount val="7"/>
                <c:pt idx="0">
                  <c:v>59</c:v>
                </c:pt>
                <c:pt idx="1">
                  <c:v>53</c:v>
                </c:pt>
                <c:pt idx="2">
                  <c:v>36</c:v>
                </c:pt>
                <c:pt idx="3">
                  <c:v>21</c:v>
                </c:pt>
                <c:pt idx="4">
                  <c:v>19</c:v>
                </c:pt>
                <c:pt idx="5">
                  <c:v>11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4D-4550-B587-AB7999171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9341008"/>
        <c:axId val="439341392"/>
      </c:barChart>
      <c:catAx>
        <c:axId val="439341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341392"/>
        <c:crosses val="autoZero"/>
        <c:auto val="1"/>
        <c:lblAlgn val="ctr"/>
        <c:lblOffset val="100"/>
        <c:noMultiLvlLbl val="0"/>
      </c:catAx>
      <c:valAx>
        <c:axId val="43934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341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Frequência</a:t>
            </a:r>
            <a:r>
              <a:rPr lang="pt-PT" baseline="0"/>
              <a:t> relativa fi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Exercicio1!$D$44:$D$50</c:f>
              <c:numCache>
                <c:formatCode>0.000</c:formatCode>
                <c:ptCount val="7"/>
                <c:pt idx="0">
                  <c:v>0.19</c:v>
                </c:pt>
                <c:pt idx="1">
                  <c:v>0.28499999999999998</c:v>
                </c:pt>
                <c:pt idx="2">
                  <c:v>0.255</c:v>
                </c:pt>
                <c:pt idx="3">
                  <c:v>0.125</c:v>
                </c:pt>
                <c:pt idx="4">
                  <c:v>0.09</c:v>
                </c:pt>
                <c:pt idx="5">
                  <c:v>3.5000000000000003E-2</c:v>
                </c:pt>
                <c:pt idx="6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B9-438E-8CCD-EFF41AC84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9389296"/>
        <c:axId val="439389680"/>
      </c:barChart>
      <c:catAx>
        <c:axId val="439389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389680"/>
        <c:crosses val="autoZero"/>
        <c:auto val="1"/>
        <c:lblAlgn val="ctr"/>
        <c:lblOffset val="100"/>
        <c:noMultiLvlLbl val="0"/>
      </c:catAx>
      <c:valAx>
        <c:axId val="43938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389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Frequência</a:t>
            </a:r>
            <a:r>
              <a:rPr lang="pt-PT" baseline="0"/>
              <a:t> absoluta ni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Exercicio1!$C$44:$C$50</c:f>
              <c:numCache>
                <c:formatCode>0</c:formatCode>
                <c:ptCount val="7"/>
                <c:pt idx="0">
                  <c:v>38</c:v>
                </c:pt>
                <c:pt idx="1">
                  <c:v>57</c:v>
                </c:pt>
                <c:pt idx="2">
                  <c:v>51</c:v>
                </c:pt>
                <c:pt idx="3">
                  <c:v>25</c:v>
                </c:pt>
                <c:pt idx="4">
                  <c:v>18</c:v>
                </c:pt>
                <c:pt idx="5">
                  <c:v>7</c:v>
                </c:pt>
                <c:pt idx="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25-407D-A649-B823A7C64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3429576"/>
        <c:axId val="243431144"/>
      </c:barChart>
      <c:catAx>
        <c:axId val="243429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431144"/>
        <c:crosses val="autoZero"/>
        <c:auto val="1"/>
        <c:lblAlgn val="ctr"/>
        <c:lblOffset val="100"/>
        <c:noMultiLvlLbl val="0"/>
      </c:catAx>
      <c:valAx>
        <c:axId val="243431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429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>
        <cx:txData>
          <cx:v>Imobiliária 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P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Imobiliária A</a:t>
          </a:r>
        </a:p>
      </cx:txPr>
    </cx:title>
    <cx:plotArea>
      <cx:plotAreaRegion>
        <cx:series layoutId="clusteredColumn" uniqueId="{C6B06561-A036-CE4F-9F82-5DF2E777BA7A}" formatIdx="0">
          <cx:tx>
            <cx:txData>
              <cx:f/>
              <cx:v>ni</cx:v>
            </cx:txData>
          </cx:tx>
          <cx:dataId val="0"/>
          <cx:layoutPr>
            <cx:aggregation/>
          </cx:layoutPr>
        </cx:series>
      </cx:plotAreaRegion>
      <cx:axis id="0">
        <cx:catScaling gapWidth="0"/>
        <cx:title>
          <cx:tx>
            <cx:txData>
              <cx:v>Tempo de Espera (minutos)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pt-PT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Tempo de Espera (minutos)</a:t>
              </a:r>
            </a:p>
          </cx:txPr>
        </cx:title>
        <cx:tickLabels/>
      </cx:axis>
      <cx:axis id="1">
        <cx:valScaling/>
        <cx:title>
          <cx:tx>
            <cx:txData>
              <cx:v>ni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pt-PT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ni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title pos="t" align="ctr" overlay="0">
      <cx:tx>
        <cx:txData>
          <cx:v>Imobiliária 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PT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Imobiliária B</a:t>
          </a:r>
        </a:p>
      </cx:txPr>
    </cx:title>
    <cx:plotArea>
      <cx:plotAreaRegion>
        <cx:series layoutId="clusteredColumn" uniqueId="{C47750D5-5CFC-3341-ABCC-A7B4C3D05F5B}">
          <cx:dataId val="0"/>
          <cx:layoutPr>
            <cx:aggregation/>
          </cx:layoutPr>
        </cx:series>
      </cx:plotAreaRegion>
      <cx:axis id="0">
        <cx:catScaling gapWidth="0"/>
        <cx:title>
          <cx:tx>
            <cx:txData>
              <cx:v>Tempo de Espera (minutos)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pt-PT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Tempo de Espera (minutos)</a:t>
              </a:r>
            </a:p>
          </cx:txPr>
        </cx:title>
        <cx:tickLabels/>
      </cx:axis>
      <cx:axis id="1">
        <cx:valScaling/>
        <cx:title>
          <cx:tx>
            <cx:txData>
              <cx:v>ni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pt-PT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ni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tiff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6</xdr:row>
      <xdr:rowOff>104775</xdr:rowOff>
    </xdr:from>
    <xdr:ext cx="4692951" cy="374141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123825" y="314325"/>
          <a:ext cx="469295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PT" sz="1800"/>
            <a:t>a) Identifique e classifique a variável em estudo.</a:t>
          </a:r>
        </a:p>
      </xdr:txBody>
    </xdr:sp>
    <xdr:clientData/>
  </xdr:oneCellAnchor>
  <xdr:oneCellAnchor>
    <xdr:from>
      <xdr:col>0</xdr:col>
      <xdr:colOff>28575</xdr:colOff>
      <xdr:row>9</xdr:row>
      <xdr:rowOff>57149</xdr:rowOff>
    </xdr:from>
    <xdr:ext cx="6587701" cy="12096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28575" y="857249"/>
              <a:ext cx="6587701" cy="1209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r>
                <a:rPr lang="pt-PT" sz="1400" i="1">
                  <a:latin typeface="Cambria Math" panose="02040503050406030204" pitchFamily="18" charset="0"/>
                </a:rPr>
                <a:t>Imobiliária A</a:t>
              </a:r>
            </a:p>
            <a:p>
              <a14:m>
                <m:oMath xmlns:m="http://schemas.openxmlformats.org/officeDocument/2006/math">
                  <m:sSub>
                    <m:sSubPr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𝐼</m:t>
                      </m:r>
                    </m:e>
                    <m:sub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𝐴</m:t>
                      </m:r>
                    </m:sub>
                  </m:sSub>
                </m:oMath>
              </a14:m>
              <a:r>
                <a:rPr lang="pt-PT" sz="1400"/>
                <a:t>- variável</a:t>
              </a:r>
              <a:r>
                <a:rPr lang="pt-PT" sz="1400" baseline="0"/>
                <a:t> aleatória discreta </a:t>
              </a:r>
            </a:p>
            <a:p>
              <a:endParaRPr lang="pt-PT" sz="1400" baseline="0"/>
            </a:p>
            <a:p>
              <a:r>
                <a:rPr lang="pt-PT" sz="1400" baseline="0"/>
                <a:t>"número de apartamentos vendidos na imobiliária A em 200 registos"</a:t>
              </a:r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28575" y="857249"/>
              <a:ext cx="6587701" cy="1209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r>
                <a:rPr lang="pt-PT" sz="1400" i="1">
                  <a:latin typeface="Cambria Math" panose="02040503050406030204" pitchFamily="18" charset="0"/>
                </a:rPr>
                <a:t>Imobiliária A</a:t>
              </a:r>
            </a:p>
            <a:p>
              <a:r>
                <a:rPr lang="pt-PT" sz="1400" b="0" i="0">
                  <a:latin typeface="Cambria Math" panose="02040503050406030204" pitchFamily="18" charset="0"/>
                </a:rPr>
                <a:t>𝐼_𝐴</a:t>
              </a:r>
              <a:r>
                <a:rPr lang="pt-PT" sz="1400"/>
                <a:t>- variável</a:t>
              </a:r>
              <a:r>
                <a:rPr lang="pt-PT" sz="1400" baseline="0"/>
                <a:t> aleatória discreta </a:t>
              </a:r>
            </a:p>
            <a:p>
              <a:endParaRPr lang="pt-PT" sz="1400" baseline="0"/>
            </a:p>
            <a:p>
              <a:r>
                <a:rPr lang="pt-PT" sz="1400" baseline="0"/>
                <a:t>"número de apartamentos vendidos na imobiliária A em 200 registos"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0</xdr:col>
      <xdr:colOff>104775</xdr:colOff>
      <xdr:row>20</xdr:row>
      <xdr:rowOff>114300</xdr:rowOff>
    </xdr:from>
    <xdr:ext cx="3596049" cy="374141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104775" y="3257550"/>
          <a:ext cx="3596049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PT" sz="1600"/>
            <a:t>b) </a:t>
          </a:r>
          <a:r>
            <a:rPr lang="pt-PT" sz="1800"/>
            <a:t>Construa a tabela de frequências. </a:t>
          </a:r>
          <a:endParaRPr lang="pt-PT" sz="1600"/>
        </a:p>
      </xdr:txBody>
    </xdr:sp>
    <xdr:clientData/>
  </xdr:oneCellAnchor>
  <xdr:oneCellAnchor>
    <xdr:from>
      <xdr:col>9</xdr:col>
      <xdr:colOff>466725</xdr:colOff>
      <xdr:row>9</xdr:row>
      <xdr:rowOff>66675</xdr:rowOff>
    </xdr:from>
    <xdr:ext cx="6587701" cy="12096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4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 txBox="1"/>
          </xdr:nvSpPr>
          <xdr:spPr>
            <a:xfrm>
              <a:off x="6638925" y="866775"/>
              <a:ext cx="6587701" cy="1209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r>
                <a:rPr lang="pt-PT" sz="1400" i="1">
                  <a:latin typeface="Cambria Math" panose="02040503050406030204" pitchFamily="18" charset="0"/>
                </a:rPr>
                <a:t>Imobiliária B</a:t>
              </a:r>
            </a:p>
            <a:p>
              <a14:m>
                <m:oMath xmlns:m="http://schemas.openxmlformats.org/officeDocument/2006/math">
                  <m:sSub>
                    <m:sSubPr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𝐼</m:t>
                      </m:r>
                    </m:e>
                    <m:sub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𝐵</m:t>
                      </m:r>
                    </m:sub>
                  </m:sSub>
                </m:oMath>
              </a14:m>
              <a:r>
                <a:rPr lang="pt-PT" sz="1400"/>
                <a:t>- variável</a:t>
              </a:r>
              <a:r>
                <a:rPr lang="pt-PT" sz="1400" baseline="0"/>
                <a:t> aleatória discreta </a:t>
              </a:r>
            </a:p>
            <a:p>
              <a:endParaRPr lang="pt-PT" sz="1400" baseline="0"/>
            </a:p>
            <a:p>
              <a:r>
                <a:rPr lang="pt-PT" sz="1400" baseline="0"/>
                <a:t>"número de apartamentos vendidos na imobiliária B em 200 registos"</a:t>
              </a:r>
              <a:endParaRPr lang="pt-PT" sz="14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 txBox="1"/>
          </xdr:nvSpPr>
          <xdr:spPr>
            <a:xfrm>
              <a:off x="6638925" y="866775"/>
              <a:ext cx="6587701" cy="1209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r>
                <a:rPr lang="pt-PT" sz="1400" i="1">
                  <a:latin typeface="Cambria Math" panose="02040503050406030204" pitchFamily="18" charset="0"/>
                </a:rPr>
                <a:t>Imobiliária B</a:t>
              </a:r>
            </a:p>
            <a:p>
              <a:r>
                <a:rPr lang="pt-PT" sz="1400" b="0" i="0">
                  <a:latin typeface="Cambria Math" panose="02040503050406030204" pitchFamily="18" charset="0"/>
                </a:rPr>
                <a:t>𝐼_𝐵</a:t>
              </a:r>
              <a:r>
                <a:rPr lang="pt-PT" sz="1400"/>
                <a:t>- variável</a:t>
              </a:r>
              <a:r>
                <a:rPr lang="pt-PT" sz="1400" baseline="0"/>
                <a:t> aleatória discreta </a:t>
              </a:r>
            </a:p>
            <a:p>
              <a:endParaRPr lang="pt-PT" sz="1400" baseline="0"/>
            </a:p>
            <a:p>
              <a:r>
                <a:rPr lang="pt-PT" sz="1400" baseline="0"/>
                <a:t>"número de apartamentos vendidos na imobiliária B em 200 registos"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19050</xdr:colOff>
      <xdr:row>23</xdr:row>
      <xdr:rowOff>66675</xdr:rowOff>
    </xdr:from>
    <xdr:ext cx="1237775" cy="342786"/>
    <xdr:sp macro="" textlink="">
      <xdr:nvSpPr>
        <xdr:cNvPr id="46" name="CaixaDeText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3452355" y="4522438"/>
          <a:ext cx="1237775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PT" sz="1600"/>
            <a:t>Imobiliária A</a:t>
          </a:r>
        </a:p>
      </xdr:txBody>
    </xdr:sp>
    <xdr:clientData/>
  </xdr:oneCellAnchor>
  <xdr:oneCellAnchor>
    <xdr:from>
      <xdr:col>1</xdr:col>
      <xdr:colOff>123825</xdr:colOff>
      <xdr:row>25</xdr:row>
      <xdr:rowOff>19050</xdr:rowOff>
    </xdr:from>
    <xdr:ext cx="2014847" cy="342786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/>
      </xdr:nvSpPr>
      <xdr:spPr>
        <a:xfrm>
          <a:off x="809625" y="4019550"/>
          <a:ext cx="201484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PT" sz="1600"/>
            <a:t>Tabela de frequências</a:t>
          </a:r>
        </a:p>
      </xdr:txBody>
    </xdr:sp>
    <xdr:clientData/>
  </xdr:oneCellAnchor>
  <xdr:oneCellAnchor>
    <xdr:from>
      <xdr:col>1</xdr:col>
      <xdr:colOff>2752725</xdr:colOff>
      <xdr:row>38</xdr:row>
      <xdr:rowOff>76200</xdr:rowOff>
    </xdr:from>
    <xdr:ext cx="1230658" cy="342786"/>
    <xdr:sp macro="" textlink="">
      <xdr:nvSpPr>
        <xdr:cNvPr id="44" name="CaixaDeText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/>
      </xdr:nvSpPr>
      <xdr:spPr>
        <a:xfrm>
          <a:off x="3430776" y="7437895"/>
          <a:ext cx="123065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PT" sz="1600"/>
            <a:t>Imobiliária B</a:t>
          </a:r>
        </a:p>
      </xdr:txBody>
    </xdr:sp>
    <xdr:clientData/>
  </xdr:oneCellAnchor>
  <xdr:oneCellAnchor>
    <xdr:from>
      <xdr:col>1</xdr:col>
      <xdr:colOff>38100</xdr:colOff>
      <xdr:row>40</xdr:row>
      <xdr:rowOff>47625</xdr:rowOff>
    </xdr:from>
    <xdr:ext cx="2014847" cy="342786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723900" y="7048500"/>
          <a:ext cx="201484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PT" sz="1600"/>
            <a:t>Tabela de frequências</a:t>
          </a:r>
        </a:p>
      </xdr:txBody>
    </xdr:sp>
    <xdr:clientData/>
  </xdr:oneCellAnchor>
  <xdr:oneCellAnchor>
    <xdr:from>
      <xdr:col>6</xdr:col>
      <xdr:colOff>122465</xdr:colOff>
      <xdr:row>20</xdr:row>
      <xdr:rowOff>73478</xdr:rowOff>
    </xdr:from>
    <xdr:ext cx="6049092" cy="405432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12066815" y="3216728"/>
          <a:ext cx="6049092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PT" sz="2000"/>
            <a:t>c) </a:t>
          </a:r>
          <a:r>
            <a:rPr lang="pt-PT" sz="1800" b="0" i="0" u="none" strike="noStrike" baseline="0">
              <a:solidFill>
                <a:schemeClr val="tx1"/>
              </a:solidFill>
              <a:latin typeface="+mn-lt"/>
              <a:ea typeface="+mn-ea"/>
              <a:cs typeface="+mn-cs"/>
            </a:rPr>
            <a:t>Represente a distribuição dos dados num gráfico adequado.</a:t>
          </a:r>
          <a:endParaRPr lang="pt-PT" sz="2000"/>
        </a:p>
      </xdr:txBody>
    </xdr:sp>
    <xdr:clientData/>
  </xdr:oneCellAnchor>
  <xdr:twoCellAnchor>
    <xdr:from>
      <xdr:col>6</xdr:col>
      <xdr:colOff>342900</xdr:colOff>
      <xdr:row>24</xdr:row>
      <xdr:rowOff>4762</xdr:rowOff>
    </xdr:from>
    <xdr:to>
      <xdr:col>13</xdr:col>
      <xdr:colOff>114300</xdr:colOff>
      <xdr:row>37</xdr:row>
      <xdr:rowOff>147637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228600</xdr:colOff>
      <xdr:row>24</xdr:row>
      <xdr:rowOff>4762</xdr:rowOff>
    </xdr:from>
    <xdr:to>
      <xdr:col>20</xdr:col>
      <xdr:colOff>0</xdr:colOff>
      <xdr:row>37</xdr:row>
      <xdr:rowOff>147637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295275</xdr:colOff>
      <xdr:row>40</xdr:row>
      <xdr:rowOff>71437</xdr:rowOff>
    </xdr:from>
    <xdr:to>
      <xdr:col>13</xdr:col>
      <xdr:colOff>66675</xdr:colOff>
      <xdr:row>54</xdr:row>
      <xdr:rowOff>14287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304800</xdr:colOff>
      <xdr:row>40</xdr:row>
      <xdr:rowOff>80962</xdr:rowOff>
    </xdr:from>
    <xdr:to>
      <xdr:col>20</xdr:col>
      <xdr:colOff>76200</xdr:colOff>
      <xdr:row>54</xdr:row>
      <xdr:rowOff>23812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76200</xdr:colOff>
      <xdr:row>64</xdr:row>
      <xdr:rowOff>133350</xdr:rowOff>
    </xdr:from>
    <xdr:ext cx="6154121" cy="374141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/>
      </xdr:nvSpPr>
      <xdr:spPr>
        <a:xfrm>
          <a:off x="76200" y="12496800"/>
          <a:ext cx="615412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PT" sz="1800" b="0" i="0" u="none" strike="noStrike" baseline="0">
              <a:solidFill>
                <a:schemeClr val="tx1"/>
              </a:solidFill>
              <a:latin typeface="+mn-lt"/>
              <a:ea typeface="+mn-ea"/>
              <a:cs typeface="+mn-cs"/>
            </a:rPr>
            <a:t>(d) Calcule a média, a mediana e a moda da variável em estudo.</a:t>
          </a:r>
          <a:endParaRPr lang="pt-PT" sz="2000"/>
        </a:p>
      </xdr:txBody>
    </xdr:sp>
    <xdr:clientData/>
  </xdr:oneCellAnchor>
  <xdr:oneCellAnchor>
    <xdr:from>
      <xdr:col>1</xdr:col>
      <xdr:colOff>2252382</xdr:colOff>
      <xdr:row>68</xdr:row>
      <xdr:rowOff>112059</xdr:rowOff>
    </xdr:from>
    <xdr:ext cx="1237775" cy="342786"/>
    <xdr:sp macro="" textlink="">
      <xdr:nvSpPr>
        <xdr:cNvPr id="40" name="CaixaDeTexto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>
          <a:off x="2930433" y="13285618"/>
          <a:ext cx="1237775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PT" sz="1600"/>
            <a:t>Imobiliária A</a:t>
          </a:r>
        </a:p>
      </xdr:txBody>
    </xdr:sp>
    <xdr:clientData/>
  </xdr:oneCellAnchor>
  <xdr:oneCellAnchor>
    <xdr:from>
      <xdr:col>5</xdr:col>
      <xdr:colOff>2061882</xdr:colOff>
      <xdr:row>68</xdr:row>
      <xdr:rowOff>123263</xdr:rowOff>
    </xdr:from>
    <xdr:ext cx="1230658" cy="342786"/>
    <xdr:sp macro="" textlink="">
      <xdr:nvSpPr>
        <xdr:cNvPr id="42" name="CaixaDeTexto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/>
      </xdr:nvSpPr>
      <xdr:spPr>
        <a:xfrm>
          <a:off x="11543831" y="13296822"/>
          <a:ext cx="123065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PT" sz="1600"/>
            <a:t>Imobiliária B</a:t>
          </a:r>
        </a:p>
      </xdr:txBody>
    </xdr:sp>
    <xdr:clientData/>
  </xdr:oneCellAnchor>
  <xdr:oneCellAnchor>
    <xdr:from>
      <xdr:col>0</xdr:col>
      <xdr:colOff>44824</xdr:colOff>
      <xdr:row>84</xdr:row>
      <xdr:rowOff>11205</xdr:rowOff>
    </xdr:from>
    <xdr:ext cx="8362610" cy="593239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/>
      </xdr:nvSpPr>
      <xdr:spPr>
        <a:xfrm>
          <a:off x="44824" y="16349381"/>
          <a:ext cx="8362610" cy="5932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PT" sz="1600" b="0" i="0" u="none" strike="noStrike" baseline="0">
              <a:solidFill>
                <a:schemeClr val="tx1"/>
              </a:solidFill>
              <a:latin typeface="+mn-lt"/>
              <a:ea typeface="+mn-ea"/>
              <a:cs typeface="+mn-cs"/>
            </a:rPr>
            <a:t>(e) Determine o número observado de clientes para os quais o número de apartamentos vendidos</a:t>
          </a:r>
        </a:p>
        <a:p>
          <a:r>
            <a:rPr lang="pt-PT" sz="1600" b="0" i="0" u="none" strike="noStrike" baseline="0">
              <a:solidFill>
                <a:schemeClr val="tx1"/>
              </a:solidFill>
              <a:latin typeface="+mn-lt"/>
              <a:ea typeface="+mn-ea"/>
              <a:cs typeface="+mn-cs"/>
            </a:rPr>
            <a:t>se situa no intervalo ]x- s ; x + s [ , onde x e s são a sua média e desvio padrão.</a:t>
          </a:r>
          <a:endParaRPr lang="pt-PT" sz="3200"/>
        </a:p>
      </xdr:txBody>
    </xdr:sp>
    <xdr:clientData/>
  </xdr:oneCellAnchor>
  <xdr:oneCellAnchor>
    <xdr:from>
      <xdr:col>1</xdr:col>
      <xdr:colOff>1535206</xdr:colOff>
      <xdr:row>87</xdr:row>
      <xdr:rowOff>89648</xdr:rowOff>
    </xdr:from>
    <xdr:ext cx="1237775" cy="342786"/>
    <xdr:sp macro="" textlink="">
      <xdr:nvSpPr>
        <xdr:cNvPr id="36" name="CaixaDeTexto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/>
      </xdr:nvSpPr>
      <xdr:spPr>
        <a:xfrm>
          <a:off x="2213257" y="16944055"/>
          <a:ext cx="1237775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PT" sz="1600"/>
            <a:t>Imobiliária A</a:t>
          </a:r>
        </a:p>
      </xdr:txBody>
    </xdr:sp>
    <xdr:clientData/>
  </xdr:oneCellAnchor>
  <xdr:oneCellAnchor>
    <xdr:from>
      <xdr:col>4</xdr:col>
      <xdr:colOff>1657350</xdr:colOff>
      <xdr:row>87</xdr:row>
      <xdr:rowOff>38100</xdr:rowOff>
    </xdr:from>
    <xdr:ext cx="1230658" cy="342786"/>
    <xdr:sp macro="" textlink="">
      <xdr:nvSpPr>
        <xdr:cNvPr id="38" name="CaixaDeTexto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/>
      </xdr:nvSpPr>
      <xdr:spPr>
        <a:xfrm>
          <a:off x="8459384" y="16892507"/>
          <a:ext cx="123065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PT" sz="1600"/>
            <a:t>Imobiliária B</a:t>
          </a:r>
        </a:p>
      </xdr:txBody>
    </xdr:sp>
    <xdr:clientData/>
  </xdr:oneCellAnchor>
  <xdr:oneCellAnchor>
    <xdr:from>
      <xdr:col>0</xdr:col>
      <xdr:colOff>123825</xdr:colOff>
      <xdr:row>106</xdr:row>
      <xdr:rowOff>123825</xdr:rowOff>
    </xdr:from>
    <xdr:ext cx="6628802" cy="295850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/>
      </xdr:nvSpPr>
      <xdr:spPr>
        <a:xfrm>
          <a:off x="123825" y="20726400"/>
          <a:ext cx="6628802" cy="29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PT" sz="1300" b="0" i="0" u="none" strike="noStrike" baseline="0">
              <a:solidFill>
                <a:schemeClr val="tx1"/>
              </a:solidFill>
              <a:latin typeface="+mn-lt"/>
              <a:ea typeface="+mn-ea"/>
              <a:cs typeface="+mn-cs"/>
            </a:rPr>
            <a:t>(f) Determine o número de apartamentos comprados que não é excedido por 25% dos clientes.</a:t>
          </a:r>
          <a:endParaRPr lang="pt-PT" sz="1300"/>
        </a:p>
      </xdr:txBody>
    </xdr:sp>
    <xdr:clientData/>
  </xdr:oneCellAnchor>
  <xdr:oneCellAnchor>
    <xdr:from>
      <xdr:col>4</xdr:col>
      <xdr:colOff>709612</xdr:colOff>
      <xdr:row>106</xdr:row>
      <xdr:rowOff>173831</xdr:rowOff>
    </xdr:from>
    <xdr:ext cx="65" cy="172227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7543800" y="2061686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pt-PT" sz="1100"/>
        </a:p>
      </xdr:txBody>
    </xdr:sp>
    <xdr:clientData/>
  </xdr:oneCellAnchor>
  <xdr:oneCellAnchor>
    <xdr:from>
      <xdr:col>0</xdr:col>
      <xdr:colOff>142876</xdr:colOff>
      <xdr:row>120</xdr:row>
      <xdr:rowOff>47624</xdr:rowOff>
    </xdr:from>
    <xdr:ext cx="4158959" cy="311496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/>
      </xdr:nvSpPr>
      <xdr:spPr>
        <a:xfrm>
          <a:off x="142876" y="23324343"/>
          <a:ext cx="415895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PT" sz="1400"/>
            <a:t>(g) Classifique os dados da amostra quanto à simetria. </a:t>
          </a:r>
        </a:p>
      </xdr:txBody>
    </xdr:sp>
    <xdr:clientData/>
  </xdr:oneCellAnchor>
  <xdr:oneCellAnchor>
    <xdr:from>
      <xdr:col>1</xdr:col>
      <xdr:colOff>1381125</xdr:colOff>
      <xdr:row>122</xdr:row>
      <xdr:rowOff>107157</xdr:rowOff>
    </xdr:from>
    <xdr:ext cx="1237775" cy="342786"/>
    <xdr:sp macro="" textlink="">
      <xdr:nvSpPr>
        <xdr:cNvPr id="11" name="CaixaDeTexto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/>
      </xdr:nvSpPr>
      <xdr:spPr>
        <a:xfrm>
          <a:off x="2059176" y="23742072"/>
          <a:ext cx="1237775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PT" sz="1600"/>
            <a:t>Imobiliária A</a:t>
          </a:r>
        </a:p>
      </xdr:txBody>
    </xdr:sp>
    <xdr:clientData/>
  </xdr:oneCellAnchor>
  <xdr:oneCellAnchor>
    <xdr:from>
      <xdr:col>4</xdr:col>
      <xdr:colOff>1821656</xdr:colOff>
      <xdr:row>122</xdr:row>
      <xdr:rowOff>71438</xdr:rowOff>
    </xdr:from>
    <xdr:ext cx="1230658" cy="593239"/>
    <xdr:sp macro="" textlink="">
      <xdr:nvSpPr>
        <xdr:cNvPr id="26" name="CaixaDeTexto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/>
      </xdr:nvSpPr>
      <xdr:spPr>
        <a:xfrm>
          <a:off x="8623690" y="23706353"/>
          <a:ext cx="1230658" cy="5932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PT" sz="1600"/>
            <a:t>Imobiliária B</a:t>
          </a:r>
        </a:p>
        <a:p>
          <a:endParaRPr lang="pt-PT" sz="1600"/>
        </a:p>
      </xdr:txBody>
    </xdr:sp>
    <xdr:clientData/>
  </xdr:oneCellAnchor>
  <xdr:oneCellAnchor>
    <xdr:from>
      <xdr:col>0</xdr:col>
      <xdr:colOff>0</xdr:colOff>
      <xdr:row>133</xdr:row>
      <xdr:rowOff>35718</xdr:rowOff>
    </xdr:from>
    <xdr:ext cx="5270161" cy="311496"/>
    <xdr:sp macro="" textlink="">
      <xdr:nvSpPr>
        <xdr:cNvPr id="32" name="CaixaDeTexto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/>
      </xdr:nvSpPr>
      <xdr:spPr>
        <a:xfrm>
          <a:off x="0" y="25943718"/>
          <a:ext cx="527016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PT" sz="1400"/>
            <a:t>(h) Identifique e comente as diferenças entre as distribuições obtidas.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30239</xdr:colOff>
      <xdr:row>0</xdr:row>
      <xdr:rowOff>58813</xdr:rowOff>
    </xdr:from>
    <xdr:ext cx="3491533" cy="295787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30239" y="58813"/>
          <a:ext cx="3491533" cy="2957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PT" sz="1300"/>
            <a:t>(a) Identifique e classifique a variável em estudo.</a:t>
          </a:r>
        </a:p>
      </xdr:txBody>
    </xdr:sp>
    <xdr:clientData/>
  </xdr:oneCellAnchor>
  <xdr:oneCellAnchor>
    <xdr:from>
      <xdr:col>4</xdr:col>
      <xdr:colOff>850747</xdr:colOff>
      <xdr:row>3</xdr:row>
      <xdr:rowOff>62593</xdr:rowOff>
    </xdr:from>
    <xdr:ext cx="1373518" cy="327141"/>
    <xdr:sp macro="" textlink="">
      <xdr:nvSpPr>
        <xdr:cNvPr id="15" name="CaixaDeText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6375247" y="665843"/>
          <a:ext cx="1373518" cy="327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PT" sz="1500" b="1"/>
            <a:t>IMOBILIÁRIA</a:t>
          </a:r>
          <a:r>
            <a:rPr lang="pt-PT" sz="1500"/>
            <a:t> A</a:t>
          </a:r>
        </a:p>
      </xdr:txBody>
    </xdr:sp>
    <xdr:clientData/>
  </xdr:oneCellAnchor>
  <xdr:oneCellAnchor>
    <xdr:from>
      <xdr:col>3</xdr:col>
      <xdr:colOff>1015245</xdr:colOff>
      <xdr:row>4</xdr:row>
      <xdr:rowOff>174776</xdr:rowOff>
    </xdr:from>
    <xdr:ext cx="5282728" cy="280205"/>
    <xdr:sp macro="" textlink="">
      <xdr:nvSpPr>
        <xdr:cNvPr id="19" name="CaixaDeText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1695602" y="960966"/>
          <a:ext cx="528272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PT" sz="1200"/>
            <a:t>IA-</a:t>
          </a:r>
          <a:r>
            <a:rPr lang="pt-PT" sz="1200" baseline="0"/>
            <a:t> v.a contínua "tempo que um cliente espera para ser atendido na imobiliária A"</a:t>
          </a:r>
          <a:endParaRPr lang="pt-PT" sz="1200"/>
        </a:p>
      </xdr:txBody>
    </xdr:sp>
    <xdr:clientData/>
  </xdr:oneCellAnchor>
  <xdr:oneCellAnchor>
    <xdr:from>
      <xdr:col>14</xdr:col>
      <xdr:colOff>153460</xdr:colOff>
      <xdr:row>3</xdr:row>
      <xdr:rowOff>80887</xdr:rowOff>
    </xdr:from>
    <xdr:ext cx="1366849" cy="327141"/>
    <xdr:sp macro="" textlink="">
      <xdr:nvSpPr>
        <xdr:cNvPr id="21" name="CaixaDeText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18060460" y="684137"/>
          <a:ext cx="1366849" cy="327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PT" sz="1500" b="1"/>
            <a:t>IMOBILIÁRIA</a:t>
          </a:r>
          <a:r>
            <a:rPr lang="pt-PT" sz="1500"/>
            <a:t> B</a:t>
          </a:r>
        </a:p>
      </xdr:txBody>
    </xdr:sp>
    <xdr:clientData/>
  </xdr:oneCellAnchor>
  <xdr:oneCellAnchor>
    <xdr:from>
      <xdr:col>12</xdr:col>
      <xdr:colOff>1432227</xdr:colOff>
      <xdr:row>4</xdr:row>
      <xdr:rowOff>135013</xdr:rowOff>
    </xdr:from>
    <xdr:ext cx="5282728" cy="280205"/>
    <xdr:sp macro="" textlink="">
      <xdr:nvSpPr>
        <xdr:cNvPr id="25" name="CaixaDeText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11849251" y="921203"/>
          <a:ext cx="528272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PT" sz="1200"/>
            <a:t>IB-</a:t>
          </a:r>
          <a:r>
            <a:rPr lang="pt-PT" sz="1200" baseline="0"/>
            <a:t> v.a contínua "tempo que um cliente espera para ser atendido na imobiliária B"</a:t>
          </a:r>
          <a:endParaRPr lang="pt-PT" sz="1200"/>
        </a:p>
      </xdr:txBody>
    </xdr:sp>
    <xdr:clientData/>
  </xdr:oneCellAnchor>
  <xdr:oneCellAnchor>
    <xdr:from>
      <xdr:col>0</xdr:col>
      <xdr:colOff>34774</xdr:colOff>
      <xdr:row>8</xdr:row>
      <xdr:rowOff>62744</xdr:rowOff>
    </xdr:from>
    <xdr:ext cx="2680990" cy="295787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34774" y="1635125"/>
          <a:ext cx="2680990" cy="2957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PT" sz="1300"/>
            <a:t>(b) Construa a tabela de frequências.</a:t>
          </a:r>
        </a:p>
      </xdr:txBody>
    </xdr:sp>
    <xdr:clientData/>
  </xdr:oneCellAnchor>
  <xdr:oneCellAnchor>
    <xdr:from>
      <xdr:col>0</xdr:col>
      <xdr:colOff>1</xdr:colOff>
      <xdr:row>46</xdr:row>
      <xdr:rowOff>52917</xdr:rowOff>
    </xdr:from>
    <xdr:ext cx="2360711" cy="295787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1" y="6297084"/>
          <a:ext cx="2360711" cy="2957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PT" sz="1300"/>
            <a:t>(c) Represente</a:t>
          </a:r>
          <a:r>
            <a:rPr lang="pt-PT" sz="1300" baseline="0"/>
            <a:t> num histograma.</a:t>
          </a:r>
        </a:p>
      </xdr:txBody>
    </xdr:sp>
    <xdr:clientData/>
  </xdr:oneCellAnchor>
  <xdr:twoCellAnchor>
    <xdr:from>
      <xdr:col>3</xdr:col>
      <xdr:colOff>896560</xdr:colOff>
      <xdr:row>60</xdr:row>
      <xdr:rowOff>19351</xdr:rowOff>
    </xdr:from>
    <xdr:to>
      <xdr:col>7</xdr:col>
      <xdr:colOff>252488</xdr:colOff>
      <xdr:row>74</xdr:row>
      <xdr:rowOff>10885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6" name="Chart 84">
              <a:extLst>
                <a:ext uri="{FF2B5EF4-FFF2-40B4-BE49-F238E27FC236}">
                  <a16:creationId xmlns:a16="http://schemas.microsoft.com/office/drawing/2014/main" id="{60876EBF-F362-4CD7-D431-A98D76212F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Este gráfico não está disponível na sua versão do Excel.
Editar esta forma ou guardar este livro num formato de ficheiro diferente irá indisponibilizar o gráfico de forma permanente.</a:t>
              </a:r>
            </a:p>
          </xdr:txBody>
        </xdr:sp>
      </mc:Fallback>
    </mc:AlternateContent>
    <xdr:clientData/>
  </xdr:twoCellAnchor>
  <xdr:twoCellAnchor>
    <xdr:from>
      <xdr:col>13</xdr:col>
      <xdr:colOff>715131</xdr:colOff>
      <xdr:row>60</xdr:row>
      <xdr:rowOff>19353</xdr:rowOff>
    </xdr:from>
    <xdr:to>
      <xdr:col>17</xdr:col>
      <xdr:colOff>282726</xdr:colOff>
      <xdr:row>74</xdr:row>
      <xdr:rowOff>10887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4" name="Chart 86">
              <a:extLst>
                <a:ext uri="{FF2B5EF4-FFF2-40B4-BE49-F238E27FC236}">
                  <a16:creationId xmlns:a16="http://schemas.microsoft.com/office/drawing/2014/main" id="{29ADB5FC-4299-83A5-E080-50997B6DD8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Este gráfico não está disponível na sua versão do Excel.
Editar esta forma ou guardar este livro num formato de ficheiro diferente irá indisponibilizar o gráfico de forma permanente.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655317</xdr:colOff>
      <xdr:row>82</xdr:row>
      <xdr:rowOff>111844</xdr:rowOff>
    </xdr:from>
    <xdr:to>
      <xdr:col>11</xdr:col>
      <xdr:colOff>1703954</xdr:colOff>
      <xdr:row>92</xdr:row>
      <xdr:rowOff>267668</xdr:rowOff>
    </xdr:to>
    <xdr:pic>
      <xdr:nvPicPr>
        <xdr:cNvPr id="4" name="Imagem 8">
          <a:extLst>
            <a:ext uri="{FF2B5EF4-FFF2-40B4-BE49-F238E27FC236}">
              <a16:creationId xmlns:a16="http://schemas.microsoft.com/office/drawing/2014/main" id="{5C73998C-F5BD-41A0-9B73-9D1170C2B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29215" y="16449641"/>
          <a:ext cx="4484318" cy="254132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57150</xdr:rowOff>
    </xdr:from>
    <xdr:ext cx="9711441" cy="264560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0" y="57150"/>
          <a:ext cx="97114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PT"/>
            <a:t>3. Considerando um grau de confiança à sua escolha, superior a 90%, estime o número médio de apartamentos comprados, por cliente, em cada uma das imobiliárias.</a:t>
          </a:r>
          <a:endParaRPr lang="pt-PT" sz="1100"/>
        </a:p>
      </xdr:txBody>
    </xdr:sp>
    <xdr:clientData/>
  </xdr:oneCellAnchor>
  <xdr:oneCellAnchor>
    <xdr:from>
      <xdr:col>2</xdr:col>
      <xdr:colOff>209550</xdr:colOff>
      <xdr:row>6</xdr:row>
      <xdr:rowOff>47625</xdr:rowOff>
    </xdr:from>
    <xdr:ext cx="1320105" cy="3674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0000000-0008-0000-0300-000003000000}"/>
                </a:ext>
              </a:extLst>
            </xdr:cNvPr>
            <xdr:cNvSpPr txBox="1"/>
          </xdr:nvSpPr>
          <xdr:spPr>
            <a:xfrm>
              <a:off x="1581150" y="1238250"/>
              <a:ext cx="1320105" cy="3674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𝑍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−1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(1−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pt-PT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𝛼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SpPr txBox="1"/>
          </xdr:nvSpPr>
          <xdr:spPr>
            <a:xfrm>
              <a:off x="1581150" y="1238250"/>
              <a:ext cx="1320105" cy="3674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𝑍_𝑐=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∅^(</a:t>
              </a:r>
              <a:r>
                <a:rPr lang="pt-PT" sz="1400" b="0" i="0">
                  <a:latin typeface="Cambria Math" panose="02040503050406030204" pitchFamily="18" charset="0"/>
                </a:rPr>
                <a:t>−1) (1−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𝛼/</a:t>
              </a:r>
              <a:r>
                <a:rPr lang="pt-PT" sz="1400" b="0" i="0">
                  <a:latin typeface="Cambria Math" panose="02040503050406030204" pitchFamily="18" charset="0"/>
                </a:rPr>
                <a:t>2)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</xdr:col>
      <xdr:colOff>695325</xdr:colOff>
      <xdr:row>2</xdr:row>
      <xdr:rowOff>66675</xdr:rowOff>
    </xdr:from>
    <xdr:ext cx="1237775" cy="593239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2066925" y="466725"/>
          <a:ext cx="1237775" cy="5932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PT" sz="1600"/>
            <a:t>Imobiliária A</a:t>
          </a:r>
        </a:p>
        <a:p>
          <a:endParaRPr lang="pt-PT" sz="1600"/>
        </a:p>
      </xdr:txBody>
    </xdr:sp>
    <xdr:clientData/>
  </xdr:oneCellAnchor>
  <xdr:oneCellAnchor>
    <xdr:from>
      <xdr:col>2</xdr:col>
      <xdr:colOff>1219200</xdr:colOff>
      <xdr:row>7</xdr:row>
      <xdr:rowOff>38100</xdr:rowOff>
    </xdr:from>
    <xdr:ext cx="473335" cy="45191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00000000-0008-0000-0300-000006000000}"/>
                </a:ext>
              </a:extLst>
            </xdr:cNvPr>
            <xdr:cNvSpPr txBox="1"/>
          </xdr:nvSpPr>
          <xdr:spPr>
            <a:xfrm>
              <a:off x="2590800" y="1714500"/>
              <a:ext cx="473335" cy="4519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𝑍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f>
                      <m:f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pt-PT" sz="14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𝛿</m:t>
                        </m:r>
                      </m:num>
                      <m:den>
                        <m:r>
                          <a:rPr lang="pt-PT" sz="14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√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𝑛</m:t>
                        </m:r>
                      </m:den>
                    </m:f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" name="CaixaDeTexto 5"/>
            <xdr:cNvSpPr txBox="1"/>
          </xdr:nvSpPr>
          <xdr:spPr>
            <a:xfrm>
              <a:off x="2590800" y="1714500"/>
              <a:ext cx="473335" cy="4519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𝑍_𝑐 </a:t>
              </a:r>
              <a:r>
                <a:rPr lang="pt-PT" sz="1400" i="0">
                  <a:latin typeface="Cambria Math" panose="02040503050406030204" pitchFamily="18" charset="0"/>
                  <a:ea typeface="Cambria Math" panose="02040503050406030204" pitchFamily="18" charset="0"/>
                </a:rPr>
                <a:t> 𝛿/(√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𝑛)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6</xdr:col>
      <xdr:colOff>838200</xdr:colOff>
      <xdr:row>2</xdr:row>
      <xdr:rowOff>85725</xdr:rowOff>
    </xdr:from>
    <xdr:ext cx="1230658" cy="333375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/>
      </xdr:nvSpPr>
      <xdr:spPr>
        <a:xfrm>
          <a:off x="6276975" y="485775"/>
          <a:ext cx="1230658" cy="3333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pt-PT" sz="1600"/>
            <a:t>Imobiliária B</a:t>
          </a:r>
        </a:p>
        <a:p>
          <a:endParaRPr lang="pt-PT" sz="1600"/>
        </a:p>
        <a:p>
          <a:endParaRPr lang="pt-PT" sz="1600"/>
        </a:p>
      </xdr:txBody>
    </xdr:sp>
    <xdr:clientData/>
  </xdr:oneCellAnchor>
  <xdr:oneCellAnchor>
    <xdr:from>
      <xdr:col>6</xdr:col>
      <xdr:colOff>209550</xdr:colOff>
      <xdr:row>6</xdr:row>
      <xdr:rowOff>47625</xdr:rowOff>
    </xdr:from>
    <xdr:ext cx="1320105" cy="3674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00000000-0008-0000-0300-00000C000000}"/>
                </a:ext>
              </a:extLst>
            </xdr:cNvPr>
            <xdr:cNvSpPr txBox="1"/>
          </xdr:nvSpPr>
          <xdr:spPr>
            <a:xfrm>
              <a:off x="1581150" y="1419225"/>
              <a:ext cx="1320105" cy="3674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𝑍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−1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(1−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pt-PT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𝛼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SpPr txBox="1"/>
          </xdr:nvSpPr>
          <xdr:spPr>
            <a:xfrm>
              <a:off x="1581150" y="1419225"/>
              <a:ext cx="1320105" cy="3674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𝑍_𝑐=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∅^(</a:t>
              </a:r>
              <a:r>
                <a:rPr lang="pt-PT" sz="1400" b="0" i="0">
                  <a:latin typeface="Cambria Math" panose="02040503050406030204" pitchFamily="18" charset="0"/>
                </a:rPr>
                <a:t>−1) (1−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𝛼/</a:t>
              </a:r>
              <a:r>
                <a:rPr lang="pt-PT" sz="1400" b="0" i="0">
                  <a:latin typeface="Cambria Math" panose="02040503050406030204" pitchFamily="18" charset="0"/>
                </a:rPr>
                <a:t>2)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6</xdr:col>
      <xdr:colOff>1219200</xdr:colOff>
      <xdr:row>7</xdr:row>
      <xdr:rowOff>38100</xdr:rowOff>
    </xdr:from>
    <xdr:ext cx="473335" cy="45191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00000000-0008-0000-0300-00000D000000}"/>
                </a:ext>
              </a:extLst>
            </xdr:cNvPr>
            <xdr:cNvSpPr txBox="1"/>
          </xdr:nvSpPr>
          <xdr:spPr>
            <a:xfrm>
              <a:off x="2590800" y="1895475"/>
              <a:ext cx="473335" cy="4519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𝑍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f>
                      <m:f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pt-PT" sz="14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𝛿</m:t>
                        </m:r>
                      </m:num>
                      <m:den>
                        <m:r>
                          <a:rPr lang="pt-PT" sz="14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√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𝑛</m:t>
                        </m:r>
                      </m:den>
                    </m:f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3" name="CaixaDeTexto 12"/>
            <xdr:cNvSpPr txBox="1"/>
          </xdr:nvSpPr>
          <xdr:spPr>
            <a:xfrm>
              <a:off x="2590800" y="1895475"/>
              <a:ext cx="473335" cy="4519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𝑍_𝑐 </a:t>
              </a:r>
              <a:r>
                <a:rPr lang="pt-PT" sz="1400" i="0">
                  <a:latin typeface="Cambria Math" panose="02040503050406030204" pitchFamily="18" charset="0"/>
                  <a:ea typeface="Cambria Math" panose="02040503050406030204" pitchFamily="18" charset="0"/>
                </a:rPr>
                <a:t> 𝛿/(√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𝑛)</a:t>
              </a:r>
              <a:endParaRPr lang="pt-PT" sz="1400"/>
            </a:p>
          </xdr:txBody>
        </xdr:sp>
      </mc:Fallback>
    </mc:AlternateContent>
    <xdr:clientData/>
  </xdr:oneCellAnchor>
  <xdr:twoCellAnchor>
    <xdr:from>
      <xdr:col>1</xdr:col>
      <xdr:colOff>342900</xdr:colOff>
      <xdr:row>11</xdr:row>
      <xdr:rowOff>152400</xdr:rowOff>
    </xdr:from>
    <xdr:to>
      <xdr:col>5</xdr:col>
      <xdr:colOff>142875</xdr:colOff>
      <xdr:row>16</xdr:row>
      <xdr:rowOff>104775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C1E162A6-529E-E81C-F2AC-292242D84EAA}"/>
            </a:ext>
            <a:ext uri="{147F2762-F138-4A5C-976F-8EAC2B608ADB}">
              <a16:predDERef xmlns:a16="http://schemas.microsoft.com/office/drawing/2014/main" pred="{00000000-0008-0000-0300-00000D000000}"/>
            </a:ext>
          </a:extLst>
        </xdr:cNvPr>
        <xdr:cNvSpPr txBox="1"/>
      </xdr:nvSpPr>
      <xdr:spPr>
        <a:xfrm>
          <a:off x="1019175" y="3476625"/>
          <a:ext cx="3838575" cy="95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Pode-se concluir assim que o número médio estimado de apartamentos comprados por cliente na imobiliária A está entre os valores 2,41 e 2,84</a:t>
          </a:r>
        </a:p>
      </xdr:txBody>
    </xdr:sp>
    <xdr:clientData/>
  </xdr:twoCellAnchor>
  <xdr:twoCellAnchor>
    <xdr:from>
      <xdr:col>5</xdr:col>
      <xdr:colOff>361950</xdr:colOff>
      <xdr:row>11</xdr:row>
      <xdr:rowOff>161925</xdr:rowOff>
    </xdr:from>
    <xdr:to>
      <xdr:col>9</xdr:col>
      <xdr:colOff>161925</xdr:colOff>
      <xdr:row>16</xdr:row>
      <xdr:rowOff>114300</xdr:rowOff>
    </xdr:to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996B46EC-DD62-4458-83A6-97BE9DDDD7D6}"/>
            </a:ext>
            <a:ext uri="{147F2762-F138-4A5C-976F-8EAC2B608ADB}">
              <a16:predDERef xmlns:a16="http://schemas.microsoft.com/office/drawing/2014/main" pred="{C1E162A6-529E-E81C-F2AC-292242D84EAA}"/>
            </a:ext>
          </a:extLst>
        </xdr:cNvPr>
        <xdr:cNvSpPr txBox="1"/>
      </xdr:nvSpPr>
      <xdr:spPr>
        <a:xfrm>
          <a:off x="5076825" y="3486150"/>
          <a:ext cx="3838575" cy="95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Pode-se concluir assim que o número médio estimado de apartamentos comprados por cliente na imobiliária B está entre os valores 2,61 e 3,04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0</xdr:row>
      <xdr:rowOff>38100</xdr:rowOff>
    </xdr:from>
    <xdr:ext cx="6715124" cy="468077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123825" y="38100"/>
          <a:ext cx="6715124" cy="4680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PT" sz="1200" b="0" i="0" u="none" strike="noStrike" baseline="0">
              <a:solidFill>
                <a:schemeClr val="tx1"/>
              </a:solidFill>
              <a:latin typeface="+mn-lt"/>
              <a:ea typeface="+mn-ea"/>
              <a:cs typeface="+mn-cs"/>
            </a:rPr>
            <a:t>4. Com base num intervalo de confiança a 97%, é possível concluir que existe diferença significativa</a:t>
          </a:r>
        </a:p>
        <a:p>
          <a:r>
            <a:rPr lang="pt-PT" sz="1200" b="0" i="0" u="none" strike="noStrike" baseline="0">
              <a:solidFill>
                <a:schemeClr val="tx1"/>
              </a:solidFill>
              <a:latin typeface="+mn-lt"/>
              <a:ea typeface="+mn-ea"/>
              <a:cs typeface="+mn-cs"/>
            </a:rPr>
            <a:t>entre a proporção de clientes de cada imobiliária, que compram mais de 2 apartamentos?</a:t>
          </a:r>
          <a:endParaRPr lang="pt-PT" sz="1200"/>
        </a:p>
      </xdr:txBody>
    </xdr:sp>
    <xdr:clientData/>
  </xdr:oneCellAnchor>
  <xdr:oneCellAnchor>
    <xdr:from>
      <xdr:col>1</xdr:col>
      <xdr:colOff>1028700</xdr:colOff>
      <xdr:row>5</xdr:row>
      <xdr:rowOff>14287</xdr:rowOff>
    </xdr:from>
    <xdr:ext cx="357406" cy="28180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0000000-0008-0000-0400-000003000000}"/>
                </a:ext>
              </a:extLst>
            </xdr:cNvPr>
            <xdr:cNvSpPr txBox="1"/>
          </xdr:nvSpPr>
          <xdr:spPr>
            <a:xfrm>
              <a:off x="1714500" y="1014412"/>
              <a:ext cx="357406" cy="281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18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1800" b="0" i="1">
                          <a:latin typeface="Cambria Math" panose="02040503050406030204" pitchFamily="18" charset="0"/>
                        </a:rPr>
                        <m:t>𝑝</m:t>
                      </m:r>
                    </m:e>
                    <m:sub>
                      <m:r>
                        <a:rPr lang="pt-PT" sz="1800" b="0" i="1">
                          <a:latin typeface="Cambria Math" panose="02040503050406030204" pitchFamily="18" charset="0"/>
                        </a:rPr>
                        <m:t>𝐴</m:t>
                      </m:r>
                    </m:sub>
                  </m:sSub>
                </m:oMath>
              </a14:m>
              <a:r>
                <a:rPr lang="pt-PT" sz="1800"/>
                <a:t>=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1714500" y="1014412"/>
              <a:ext cx="357406" cy="281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800" b="0" i="0">
                  <a:latin typeface="Cambria Math" panose="02040503050406030204" pitchFamily="18" charset="0"/>
                </a:rPr>
                <a:t>𝑝_𝐴</a:t>
              </a:r>
              <a:r>
                <a:rPr lang="pt-PT" sz="18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27215</xdr:colOff>
      <xdr:row>5</xdr:row>
      <xdr:rowOff>35152</xdr:rowOff>
    </xdr:from>
    <xdr:ext cx="3287888" cy="321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00000000-0008-0000-0400-000004000000}"/>
                </a:ext>
              </a:extLst>
            </xdr:cNvPr>
            <xdr:cNvSpPr txBox="1"/>
          </xdr:nvSpPr>
          <xdr:spPr>
            <a:xfrm>
              <a:off x="2096635" y="1027340"/>
              <a:ext cx="3287888" cy="321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pt-PT" sz="1100" i="1">
                            <a:latin typeface="Cambria Math" panose="02040503050406030204" pitchFamily="18" charset="0"/>
                          </a:rPr>
                          <m:t>𝑐𝑙𝑖𝑒𝑛𝑡𝑒𝑠</m:t>
                        </m:r>
                        <m:r>
                          <a:rPr lang="pt-PT" sz="110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pt-PT" sz="1100" i="1">
                            <a:latin typeface="Cambria Math" panose="02040503050406030204" pitchFamily="18" charset="0"/>
                          </a:rPr>
                          <m:t>𝑞𝑢𝑒</m:t>
                        </m:r>
                        <m:r>
                          <a:rPr lang="pt-PT" sz="110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pt-PT" sz="1100" i="1">
                            <a:latin typeface="Cambria Math" panose="02040503050406030204" pitchFamily="18" charset="0"/>
                          </a:rPr>
                          <m:t>𝑐𝑜𝑚𝑝𝑟𝑎𝑟𝑎𝑚</m:t>
                        </m:r>
                        <m:r>
                          <a:rPr lang="pt-PT" sz="110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pt-PT" sz="1100" i="1">
                            <a:latin typeface="Cambria Math" panose="02040503050406030204" pitchFamily="18" charset="0"/>
                          </a:rPr>
                          <m:t>𝑚𝑎𝑖𝑠</m:t>
                        </m:r>
                        <m:r>
                          <a:rPr lang="pt-PT" sz="110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pt-PT" sz="1100" i="1">
                            <a:latin typeface="Cambria Math" panose="02040503050406030204" pitchFamily="18" charset="0"/>
                          </a:rPr>
                          <m:t>𝑑𝑒</m:t>
                        </m:r>
                        <m:r>
                          <a:rPr lang="pt-PT" sz="1100" i="1">
                            <a:latin typeface="Cambria Math" panose="02040503050406030204" pitchFamily="18" charset="0"/>
                          </a:rPr>
                          <m:t> 2 </m:t>
                        </m:r>
                        <m:r>
                          <a:rPr lang="pt-PT" sz="1100" i="1">
                            <a:latin typeface="Cambria Math" panose="02040503050406030204" pitchFamily="18" charset="0"/>
                          </a:rPr>
                          <m:t>𝑎𝑝𝑎𝑟𝑡𝑎𝑚𝑒𝑛𝑡𝑜𝑠</m:t>
                        </m:r>
                      </m:num>
                      <m:den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𝑛</m:t>
                        </m:r>
                      </m:den>
                    </m:f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00000000-0008-0000-0300-000004000000}"/>
                </a:ext>
              </a:extLst>
            </xdr:cNvPr>
            <xdr:cNvSpPr txBox="1"/>
          </xdr:nvSpPr>
          <xdr:spPr>
            <a:xfrm>
              <a:off x="2096635" y="1027340"/>
              <a:ext cx="3287888" cy="321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(𝑐𝑙𝑖𝑒𝑛𝑡𝑒𝑠 𝑞𝑢𝑒 𝑐𝑜𝑚𝑝𝑟𝑎𝑟𝑎𝑚 𝑚𝑎𝑖𝑠 𝑑𝑒 2 𝑎𝑝𝑎𝑟𝑡𝑎𝑚𝑒𝑛𝑡𝑜𝑠)/</a:t>
              </a:r>
              <a:r>
                <a:rPr lang="pt-PT" sz="1100" b="0" i="0">
                  <a:latin typeface="Cambria Math" panose="02040503050406030204" pitchFamily="18" charset="0"/>
                </a:rPr>
                <a:t>𝑛=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28575</xdr:colOff>
      <xdr:row>5</xdr:row>
      <xdr:rowOff>52387</xdr:rowOff>
    </xdr:from>
    <xdr:ext cx="149785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0000000-0008-0000-0400-000005000000}"/>
                </a:ext>
              </a:extLst>
            </xdr:cNvPr>
            <xdr:cNvSpPr txBox="1"/>
          </xdr:nvSpPr>
          <xdr:spPr>
            <a:xfrm>
              <a:off x="5514975" y="1052512"/>
              <a:ext cx="14978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5514975" y="1052512"/>
              <a:ext cx="14978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981075</xdr:colOff>
      <xdr:row>7</xdr:row>
      <xdr:rowOff>180975</xdr:rowOff>
    </xdr:from>
    <xdr:ext cx="364652" cy="28180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00000000-0008-0000-0400-000006000000}"/>
                </a:ext>
              </a:extLst>
            </xdr:cNvPr>
            <xdr:cNvSpPr txBox="1"/>
          </xdr:nvSpPr>
          <xdr:spPr>
            <a:xfrm>
              <a:off x="1666875" y="1581150"/>
              <a:ext cx="364652" cy="281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pt-PT" sz="18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pt-PT" sz="1800" b="0" i="1">
                          <a:latin typeface="Cambria Math" panose="02040503050406030204" pitchFamily="18" charset="0"/>
                        </a:rPr>
                        <m:t>𝑝</m:t>
                      </m:r>
                    </m:e>
                    <m:sub>
                      <m:r>
                        <a:rPr lang="pt-PT" sz="1800" b="0" i="1">
                          <a:latin typeface="Cambria Math" panose="02040503050406030204" pitchFamily="18" charset="0"/>
                        </a:rPr>
                        <m:t>𝐵</m:t>
                      </m:r>
                    </m:sub>
                  </m:sSub>
                </m:oMath>
              </a14:m>
              <a:r>
                <a:rPr lang="pt-PT" sz="1800"/>
                <a:t>=</a:t>
              </a:r>
            </a:p>
          </xdr:txBody>
        </xdr:sp>
      </mc:Choice>
      <mc:Fallback xmlns="">
        <xdr:sp macro="" textlink="">
          <xdr:nvSpPr>
            <xdr:cNvPr id="6" name="CaixaDeTexto 5"/>
            <xdr:cNvSpPr txBox="1"/>
          </xdr:nvSpPr>
          <xdr:spPr>
            <a:xfrm>
              <a:off x="1666875" y="1581150"/>
              <a:ext cx="364652" cy="281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800" b="0" i="0">
                  <a:latin typeface="Cambria Math" panose="02040503050406030204" pitchFamily="18" charset="0"/>
                </a:rPr>
                <a:t>𝑝_𝐵</a:t>
              </a:r>
              <a:r>
                <a:rPr lang="pt-PT" sz="18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57150</xdr:colOff>
      <xdr:row>7</xdr:row>
      <xdr:rowOff>180975</xdr:rowOff>
    </xdr:from>
    <xdr:ext cx="3287888" cy="321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0000000-0008-0000-0400-000007000000}"/>
                </a:ext>
              </a:extLst>
            </xdr:cNvPr>
            <xdr:cNvSpPr txBox="1"/>
          </xdr:nvSpPr>
          <xdr:spPr>
            <a:xfrm>
              <a:off x="1428750" y="1581150"/>
              <a:ext cx="3287888" cy="321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pt-PT" sz="1100" i="1">
                            <a:latin typeface="Cambria Math" panose="02040503050406030204" pitchFamily="18" charset="0"/>
                          </a:rPr>
                          <m:t>𝑐𝑙𝑖𝑒𝑛𝑡𝑒𝑠</m:t>
                        </m:r>
                        <m:r>
                          <a:rPr lang="pt-PT" sz="110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pt-PT" sz="1100" i="1">
                            <a:latin typeface="Cambria Math" panose="02040503050406030204" pitchFamily="18" charset="0"/>
                          </a:rPr>
                          <m:t>𝑞𝑢𝑒</m:t>
                        </m:r>
                        <m:r>
                          <a:rPr lang="pt-PT" sz="110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pt-PT" sz="1100" i="1">
                            <a:latin typeface="Cambria Math" panose="02040503050406030204" pitchFamily="18" charset="0"/>
                          </a:rPr>
                          <m:t>𝑐𝑜𝑚𝑝𝑟𝑎𝑟𝑎𝑚</m:t>
                        </m:r>
                        <m:r>
                          <a:rPr lang="pt-PT" sz="110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pt-PT" sz="1100" i="1">
                            <a:latin typeface="Cambria Math" panose="02040503050406030204" pitchFamily="18" charset="0"/>
                          </a:rPr>
                          <m:t>𝑚𝑎𝑖𝑠</m:t>
                        </m:r>
                        <m:r>
                          <a:rPr lang="pt-PT" sz="110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pt-PT" sz="1100" i="1">
                            <a:latin typeface="Cambria Math" panose="02040503050406030204" pitchFamily="18" charset="0"/>
                          </a:rPr>
                          <m:t>𝑑𝑒</m:t>
                        </m:r>
                        <m:r>
                          <a:rPr lang="pt-PT" sz="1100" i="1">
                            <a:latin typeface="Cambria Math" panose="02040503050406030204" pitchFamily="18" charset="0"/>
                          </a:rPr>
                          <m:t> 2 </m:t>
                        </m:r>
                        <m:r>
                          <a:rPr lang="pt-PT" sz="1100" i="1">
                            <a:latin typeface="Cambria Math" panose="02040503050406030204" pitchFamily="18" charset="0"/>
                          </a:rPr>
                          <m:t>𝑎𝑝𝑎𝑟𝑡𝑎𝑚𝑒𝑛𝑡𝑜𝑠</m:t>
                        </m:r>
                      </m:num>
                      <m:den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𝑛</m:t>
                        </m:r>
                      </m:den>
                    </m:f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" name="CaixaDeTexto 6"/>
            <xdr:cNvSpPr txBox="1"/>
          </xdr:nvSpPr>
          <xdr:spPr>
            <a:xfrm>
              <a:off x="1428750" y="1581150"/>
              <a:ext cx="3287888" cy="321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(𝑐𝑙𝑖𝑒𝑛𝑡𝑒𝑠 𝑞𝑢𝑒 𝑐𝑜𝑚𝑝𝑟𝑎𝑟𝑎𝑚 𝑚𝑎𝑖𝑠 𝑑𝑒 2 𝑎𝑝𝑎𝑟𝑡𝑎𝑚𝑒𝑛𝑡𝑜𝑠)/</a:t>
              </a:r>
              <a:r>
                <a:rPr lang="pt-PT" sz="1100" b="0" i="0">
                  <a:latin typeface="Cambria Math" panose="02040503050406030204" pitchFamily="18" charset="0"/>
                </a:rPr>
                <a:t>𝑛=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8</xdr:col>
      <xdr:colOff>47625</xdr:colOff>
      <xdr:row>8</xdr:row>
      <xdr:rowOff>66675</xdr:rowOff>
    </xdr:from>
    <xdr:ext cx="149785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00000000-0008-0000-0400-000009000000}"/>
                </a:ext>
              </a:extLst>
            </xdr:cNvPr>
            <xdr:cNvSpPr txBox="1"/>
          </xdr:nvSpPr>
          <xdr:spPr>
            <a:xfrm>
              <a:off x="5534025" y="1666875"/>
              <a:ext cx="14978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" name="CaixaDeTexto 8"/>
            <xdr:cNvSpPr txBox="1"/>
          </xdr:nvSpPr>
          <xdr:spPr>
            <a:xfrm>
              <a:off x="5534025" y="1666875"/>
              <a:ext cx="149785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0</xdr:col>
      <xdr:colOff>676275</xdr:colOff>
      <xdr:row>12</xdr:row>
      <xdr:rowOff>14287</xdr:rowOff>
    </xdr:from>
    <xdr:ext cx="3337645" cy="40113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00000000-0008-0000-0400-00000A000000}"/>
                </a:ext>
              </a:extLst>
            </xdr:cNvPr>
            <xdr:cNvSpPr txBox="1"/>
          </xdr:nvSpPr>
          <xdr:spPr>
            <a:xfrm>
              <a:off x="676275" y="2414587"/>
              <a:ext cx="3337645" cy="40113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𝐴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𝐵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~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𝑁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(</m:t>
                    </m:r>
                    <m:sSub>
                      <m:sSubPr>
                        <m:ctrlPr>
                          <a:rPr lang="pt-PT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𝑝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𝐴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pt-PT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𝑝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𝐵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;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𝑝</m:t>
                            </m:r>
                          </m:e>
                          <m:sub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𝐴</m:t>
                            </m:r>
                          </m:sub>
                        </m:sSub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𝑞</m:t>
                            </m:r>
                          </m:e>
                          <m:sub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𝐴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𝑛</m:t>
                        </m:r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𝑝</m:t>
                            </m:r>
                          </m:e>
                          <m:sub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𝐵</m:t>
                            </m:r>
                          </m:sub>
                        </m:sSub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𝑞</m:t>
                            </m:r>
                          </m:e>
                          <m:sub>
                            <m: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𝐵</m:t>
                            </m:r>
                          </m:sub>
                        </m:sSub>
                      </m:num>
                      <m:den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𝑛</m:t>
                        </m:r>
                      </m:den>
                    </m:f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0" name="CaixaDeTexto 9"/>
            <xdr:cNvSpPr txBox="1"/>
          </xdr:nvSpPr>
          <xdr:spPr>
            <a:xfrm>
              <a:off x="676275" y="2414587"/>
              <a:ext cx="3337645" cy="40113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𝑝_𝐴−𝑝_𝐵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~ 𝑁 (𝑝_𝐴−𝑝_𝐵  ;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𝑝_𝐴+𝑞_𝐴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𝑛+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(𝑝_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+𝑞_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)/𝑛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0</xdr:col>
      <xdr:colOff>657225</xdr:colOff>
      <xdr:row>24</xdr:row>
      <xdr:rowOff>95250</xdr:rowOff>
    </xdr:from>
    <xdr:ext cx="1561133" cy="3674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00000000-0008-0000-0400-00000E000000}"/>
                </a:ext>
              </a:extLst>
            </xdr:cNvPr>
            <xdr:cNvSpPr txBox="1"/>
          </xdr:nvSpPr>
          <xdr:spPr>
            <a:xfrm>
              <a:off x="657225" y="4895850"/>
              <a:ext cx="1561133" cy="3674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𝑍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1−</m:t>
                        </m:r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𝛼</m:t>
                            </m:r>
                          </m:num>
                          <m:den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den>
                        </m:f>
                      </m:e>
                    </m:d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xmlns:a14="http://schemas.microsoft.com/office/drawing/2010/main" xmlns="" id="{00000000-0008-0000-0200-000003000000}"/>
                </a:ext>
              </a:extLst>
            </xdr:cNvPr>
            <xdr:cNvSpPr txBox="1"/>
          </xdr:nvSpPr>
          <xdr:spPr>
            <a:xfrm>
              <a:off x="657225" y="4895850"/>
              <a:ext cx="1561133" cy="3674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𝑍_𝑐=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∅^(</a:t>
              </a:r>
              <a:r>
                <a:rPr lang="pt-PT" sz="1400" b="0" i="0">
                  <a:latin typeface="Cambria Math" panose="02040503050406030204" pitchFamily="18" charset="0"/>
                </a:rPr>
                <a:t>−1) (1−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𝛼/</a:t>
              </a:r>
              <a:r>
                <a:rPr lang="pt-PT" sz="1400" b="0" i="0">
                  <a:latin typeface="Cambria Math" panose="02040503050406030204" pitchFamily="18" charset="0"/>
                </a:rPr>
                <a:t>2)=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0</xdr:col>
      <xdr:colOff>409575</xdr:colOff>
      <xdr:row>28</xdr:row>
      <xdr:rowOff>42862</xdr:rowOff>
    </xdr:from>
    <xdr:ext cx="1756122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0000000-0008-0000-0400-00000F000000}"/>
                </a:ext>
              </a:extLst>
            </xdr:cNvPr>
            <xdr:cNvSpPr txBox="1"/>
          </xdr:nvSpPr>
          <xdr:spPr>
            <a:xfrm>
              <a:off x="409575" y="6138862"/>
              <a:ext cx="1756122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∆</m:t>
                    </m:r>
                    <m:r>
                      <a:rPr lang="pt-PT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𝑍</m:t>
                        </m:r>
                      </m:e>
                      <m:sub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𝑐</m:t>
                        </m:r>
                      </m:sub>
                    </m:sSub>
                    <m:rad>
                      <m:radPr>
                        <m:degHide m:val="on"/>
                        <m:ctrlP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pt-P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P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𝑝</m:t>
                                </m:r>
                              </m:e>
                              <m:sub>
                                <m:r>
                                  <a:rPr lang="pt-P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𝐴</m:t>
                                </m:r>
                              </m:sub>
                            </m:s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pt-P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P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𝑞</m:t>
                                </m:r>
                              </m:e>
                              <m:sub>
                                <m:r>
                                  <a:rPr lang="pt-P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𝐴</m:t>
                                </m:r>
                              </m:sub>
                            </m:sSub>
                          </m:num>
                          <m:den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f>
                          <m:fPr>
                            <m:ctrlP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pt-P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P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𝑝</m:t>
                                </m:r>
                              </m:e>
                              <m:sub>
                                <m:r>
                                  <a:rPr lang="pt-P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𝐵</m:t>
                                </m:r>
                              </m:sub>
                            </m:sSub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pt-P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P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𝑞</m:t>
                                </m:r>
                              </m:e>
                              <m:sub>
                                <m:r>
                                  <a:rPr lang="pt-P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𝐵</m:t>
                                </m:r>
                              </m:sub>
                            </m:sSub>
                          </m:num>
                          <m:den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𝑛</m:t>
                            </m:r>
                          </m:den>
                        </m:f>
                      </m:e>
                    </m:rad>
                    <m:r>
                      <a:rPr lang="pt-PT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5" name="CaixaDeTexto 14"/>
            <xdr:cNvSpPr txBox="1"/>
          </xdr:nvSpPr>
          <xdr:spPr>
            <a:xfrm>
              <a:off x="409575" y="6138862"/>
              <a:ext cx="1756122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∆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=𝑍_𝑐 √(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(𝑝_𝐴+𝑞_𝐴)/𝑛+(𝑝_𝐵+𝑞_𝐵)/𝑛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371475</xdr:colOff>
      <xdr:row>20</xdr:row>
      <xdr:rowOff>14287</xdr:rowOff>
    </xdr:from>
    <xdr:ext cx="587084" cy="3724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00000000-0008-0000-0400-000010000000}"/>
                </a:ext>
              </a:extLst>
            </xdr:cNvPr>
            <xdr:cNvSpPr txBox="1"/>
          </xdr:nvSpPr>
          <xdr:spPr>
            <a:xfrm>
              <a:off x="1057275" y="4014787"/>
              <a:ext cx="587084" cy="3724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pt-PT" sz="13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3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3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𝑝</m:t>
                            </m:r>
                          </m:e>
                          <m:sub>
                            <m:r>
                              <a:rPr lang="pt-PT" sz="13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𝐴</m:t>
                            </m:r>
                          </m:sub>
                        </m:sSub>
                        <m:r>
                          <a:rPr lang="pt-PT" sz="13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pt-PT" sz="13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3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𝑞</m:t>
                            </m:r>
                          </m:e>
                          <m:sub>
                            <m:r>
                              <a:rPr lang="pt-PT" sz="13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𝐴</m:t>
                            </m:r>
                          </m:sub>
                        </m:sSub>
                      </m:num>
                      <m:den>
                        <m:r>
                          <a:rPr lang="pt-PT" sz="13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𝑛</m:t>
                        </m:r>
                      </m:den>
                    </m:f>
                  </m:oMath>
                </m:oMathPara>
              </a14:m>
              <a:endParaRPr lang="pt-PT" sz="1300"/>
            </a:p>
          </xdr:txBody>
        </xdr:sp>
      </mc:Choice>
      <mc:Fallback xmlns="">
        <xdr:sp macro="" textlink="">
          <xdr:nvSpPr>
            <xdr:cNvPr id="16" name="CaixaDeTexto 15"/>
            <xdr:cNvSpPr txBox="1"/>
          </xdr:nvSpPr>
          <xdr:spPr>
            <a:xfrm>
              <a:off x="1057275" y="4014787"/>
              <a:ext cx="587084" cy="3724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(𝑝_𝐴+𝑞_𝐴)/𝑛</a:t>
              </a:r>
              <a:endParaRPr lang="pt-PT" sz="1300"/>
            </a:p>
          </xdr:txBody>
        </xdr:sp>
      </mc:Fallback>
    </mc:AlternateContent>
    <xdr:clientData/>
  </xdr:oneCellAnchor>
  <xdr:oneCellAnchor>
    <xdr:from>
      <xdr:col>1</xdr:col>
      <xdr:colOff>371475</xdr:colOff>
      <xdr:row>21</xdr:row>
      <xdr:rowOff>80962</xdr:rowOff>
    </xdr:from>
    <xdr:ext cx="592726" cy="3724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00000000-0008-0000-0400-000011000000}"/>
                </a:ext>
              </a:extLst>
            </xdr:cNvPr>
            <xdr:cNvSpPr txBox="1"/>
          </xdr:nvSpPr>
          <xdr:spPr>
            <a:xfrm>
              <a:off x="1057275" y="4500562"/>
              <a:ext cx="592726" cy="3724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pt-PT" sz="13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PT" sz="13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3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𝑝</m:t>
                            </m:r>
                          </m:e>
                          <m:sub>
                            <m:r>
                              <a:rPr lang="pt-PT" sz="13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𝐵</m:t>
                            </m:r>
                          </m:sub>
                        </m:sSub>
                        <m:r>
                          <a:rPr lang="pt-PT" sz="13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pt-PT" sz="13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3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𝑞</m:t>
                            </m:r>
                          </m:e>
                          <m:sub>
                            <m:r>
                              <a:rPr lang="pt-PT" sz="13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𝐵</m:t>
                            </m:r>
                          </m:sub>
                        </m:sSub>
                      </m:num>
                      <m:den>
                        <m:r>
                          <a:rPr lang="pt-PT" sz="13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𝑛</m:t>
                        </m:r>
                      </m:den>
                    </m:f>
                  </m:oMath>
                </m:oMathPara>
              </a14:m>
              <a:endParaRPr lang="pt-PT" sz="1300"/>
            </a:p>
          </xdr:txBody>
        </xdr:sp>
      </mc:Choice>
      <mc:Fallback xmlns="">
        <xdr:sp macro="" textlink="">
          <xdr:nvSpPr>
            <xdr:cNvPr id="17" name="CaixaDeTexto 16"/>
            <xdr:cNvSpPr txBox="1"/>
          </xdr:nvSpPr>
          <xdr:spPr>
            <a:xfrm>
              <a:off x="1057275" y="4500562"/>
              <a:ext cx="592726" cy="3724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(𝑝_𝐵+𝑞_𝐵)/𝑛</a:t>
              </a:r>
              <a:endParaRPr lang="pt-PT" sz="1300"/>
            </a:p>
          </xdr:txBody>
        </xdr:sp>
      </mc:Fallback>
    </mc:AlternateContent>
    <xdr:clientData/>
  </xdr:oneCellAnchor>
  <xdr:oneCellAnchor>
    <xdr:from>
      <xdr:col>0</xdr:col>
      <xdr:colOff>209550</xdr:colOff>
      <xdr:row>34</xdr:row>
      <xdr:rowOff>66675</xdr:rowOff>
    </xdr:from>
    <xdr:ext cx="12041181" cy="264560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/>
      </xdr:nvSpPr>
      <xdr:spPr>
        <a:xfrm>
          <a:off x="209550" y="7362825"/>
          <a:ext cx="120411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PT" b="1"/>
            <a:t>Como o intervalo apresenta extremos de sinais contrários, com 97% de confiança podemos dizer que nada</a:t>
          </a:r>
          <a:r>
            <a:rPr lang="pt-PT" b="1" baseline="0"/>
            <a:t> se pode concluir relativamente à diferença significativa que compram mais de 2 apartamentos</a:t>
          </a:r>
          <a:r>
            <a:rPr lang="pt-PT" b="1"/>
            <a:t>. </a:t>
          </a:r>
          <a:endParaRPr lang="pt-PT" sz="1100" b="1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492279</xdr:colOff>
      <xdr:row>4</xdr:row>
      <xdr:rowOff>45088</xdr:rowOff>
    </xdr:from>
    <xdr:ext cx="365036" cy="2863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00000000-0008-0000-0500-000008000000}"/>
                </a:ext>
              </a:extLst>
            </xdr:cNvPr>
            <xdr:cNvSpPr txBox="1"/>
          </xdr:nvSpPr>
          <xdr:spPr>
            <a:xfrm>
              <a:off x="3032279" y="844189"/>
              <a:ext cx="365036" cy="286360"/>
            </a:xfrm>
            <a:prstGeom prst="rect">
              <a:avLst/>
            </a:prstGeom>
            <a:noFill/>
            <a:ln>
              <a:noFill/>
            </a:ln>
            <a:effectLst/>
          </xdr:spPr>
          <xdr:txBody>
            <a:bodyPr vertOverflow="clip" horzOverflow="clip" wrap="none" lIns="0" tIns="0" rIns="0" bIns="0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acc>
                    <m:accPr>
                      <m:chr m:val="̅"/>
                      <m:ctrlPr>
                        <a:rPr lang="en-GB" sz="18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sSub>
                        <m:sSubPr>
                          <m:ctrlPr>
                            <a:rPr lang="pt-PT" sz="18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PT" sz="1800" b="0" i="1">
                              <a:latin typeface="Cambria Math" panose="02040503050406030204" pitchFamily="18" charset="0"/>
                            </a:rPr>
                            <m:t>𝑋</m:t>
                          </m:r>
                        </m:e>
                        <m:sub>
                          <m:r>
                            <a:rPr lang="pt-PT" sz="1800" b="0" i="1">
                              <a:latin typeface="Cambria Math" panose="02040503050406030204" pitchFamily="18" charset="0"/>
                            </a:rPr>
                            <m:t>𝐴</m:t>
                          </m:r>
                        </m:sub>
                      </m:sSub>
                    </m:e>
                  </m:acc>
                </m:oMath>
              </a14:m>
              <a:r>
                <a:rPr kumimoji="0" lang="pt-PT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+mn-ea"/>
                  <a:cs typeface="+mn-cs"/>
                </a:rPr>
                <a:t>=</a:t>
              </a:r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00000000-0008-0000-0500-000008000000}"/>
                </a:ext>
              </a:extLst>
            </xdr:cNvPr>
            <xdr:cNvSpPr txBox="1"/>
          </xdr:nvSpPr>
          <xdr:spPr>
            <a:xfrm>
              <a:off x="3032279" y="844189"/>
              <a:ext cx="365036" cy="286360"/>
            </a:xfrm>
            <a:prstGeom prst="rect">
              <a:avLst/>
            </a:prstGeom>
            <a:noFill/>
            <a:ln>
              <a:noFill/>
            </a:ln>
            <a:effectLst/>
          </xdr:spPr>
          <xdr:txBody>
            <a:bodyPr vertOverflow="clip" horzOverflow="clip" wrap="none" lIns="0" tIns="0" rIns="0" bIns="0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GB" sz="1800" i="0">
                  <a:latin typeface="Cambria Math" panose="02040503050406030204" pitchFamily="18" charset="0"/>
                </a:rPr>
                <a:t>(</a:t>
              </a:r>
              <a:r>
                <a:rPr lang="pt-PT" sz="1800" b="0" i="0">
                  <a:latin typeface="Cambria Math" panose="02040503050406030204" pitchFamily="18" charset="0"/>
                </a:rPr>
                <a:t>𝑋_𝐴 </a:t>
              </a:r>
              <a:r>
                <a:rPr lang="en-GB" sz="1800" b="0" i="0">
                  <a:latin typeface="Cambria Math" panose="02040503050406030204" pitchFamily="18" charset="0"/>
                </a:rPr>
                <a:t>) ̅</a:t>
              </a:r>
              <a:r>
                <a:rPr kumimoji="0" lang="pt-PT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+mn-ea"/>
                  <a:cs typeface="+mn-cs"/>
                </a:rPr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394818</xdr:colOff>
      <xdr:row>4</xdr:row>
      <xdr:rowOff>39482</xdr:rowOff>
    </xdr:from>
    <xdr:ext cx="3131691" cy="321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00000000-0008-0000-0500-000009000000}"/>
                </a:ext>
              </a:extLst>
            </xdr:cNvPr>
            <xdr:cNvSpPr txBox="1"/>
          </xdr:nvSpPr>
          <xdr:spPr>
            <a:xfrm>
              <a:off x="2896333" y="886149"/>
              <a:ext cx="3131691" cy="321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𝑡𝑒𝑚𝑝𝑜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𝑑𝑒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𝑒𝑠𝑝𝑒𝑟𝑎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𝑝𝑎𝑟𝑎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𝑢𝑚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𝑐𝑙𝑖𝑒𝑛𝑡𝑒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𝑠𝑒𝑟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𝑎𝑡𝑒𝑛𝑑𝑖𝑑𝑜</m:t>
                        </m:r>
                      </m:num>
                      <m:den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𝑛</m:t>
                        </m:r>
                      </m:den>
                    </m:f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00000000-0008-0000-0500-000009000000}"/>
                </a:ext>
              </a:extLst>
            </xdr:cNvPr>
            <xdr:cNvSpPr txBox="1"/>
          </xdr:nvSpPr>
          <xdr:spPr>
            <a:xfrm>
              <a:off x="2896333" y="886149"/>
              <a:ext cx="3131691" cy="321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(</a:t>
              </a:r>
              <a:r>
                <a:rPr lang="pt-PT" sz="1100" b="0" i="0">
                  <a:latin typeface="Cambria Math" panose="02040503050406030204" pitchFamily="18" charset="0"/>
                </a:rPr>
                <a:t>𝑡𝑒𝑚𝑝𝑜 𝑑𝑒 𝑒𝑠𝑝𝑒𝑟𝑎 𝑝𝑎𝑟𝑎 𝑢𝑚 𝑐𝑙𝑖𝑒𝑛𝑡𝑒 𝑠𝑒𝑟 𝑎𝑡𝑒𝑛𝑑𝑖𝑑𝑜)/𝑛=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482219</xdr:colOff>
      <xdr:row>8</xdr:row>
      <xdr:rowOff>50747</xdr:rowOff>
    </xdr:from>
    <xdr:ext cx="382028" cy="2863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SpPr txBox="1"/>
          </xdr:nvSpPr>
          <xdr:spPr>
            <a:xfrm>
              <a:off x="3022219" y="1648949"/>
              <a:ext cx="382028" cy="2863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acc>
                    <m:accPr>
                      <m:chr m:val="̅"/>
                      <m:ctrlPr>
                        <a:rPr lang="en-GB" sz="18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sSub>
                        <m:sSubPr>
                          <m:ctrlPr>
                            <a:rPr lang="pt-PT" sz="18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PT" sz="1800" b="0" i="1">
                              <a:latin typeface="Cambria Math" panose="02040503050406030204" pitchFamily="18" charset="0"/>
                            </a:rPr>
                            <m:t>𝑋</m:t>
                          </m:r>
                        </m:e>
                        <m:sub>
                          <m:r>
                            <a:rPr lang="pt-PT" sz="1800" b="0" i="1">
                              <a:latin typeface="Cambria Math" panose="02040503050406030204" pitchFamily="18" charset="0"/>
                            </a:rPr>
                            <m:t>𝐵</m:t>
                          </m:r>
                        </m:sub>
                      </m:sSub>
                    </m:e>
                  </m:acc>
                </m:oMath>
              </a14:m>
              <a:r>
                <a:rPr lang="pt-PT" sz="1800"/>
                <a:t>=</a:t>
              </a:r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SpPr txBox="1"/>
          </xdr:nvSpPr>
          <xdr:spPr>
            <a:xfrm>
              <a:off x="3022219" y="1648949"/>
              <a:ext cx="382028" cy="2863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800" i="0">
                  <a:latin typeface="Cambria Math" panose="02040503050406030204" pitchFamily="18" charset="0"/>
                </a:rPr>
                <a:t>(</a:t>
              </a:r>
              <a:r>
                <a:rPr lang="pt-PT" sz="1800" b="0" i="0">
                  <a:latin typeface="Cambria Math" panose="02040503050406030204" pitchFamily="18" charset="0"/>
                </a:rPr>
                <a:t>𝑋_𝐵 </a:t>
              </a:r>
              <a:r>
                <a:rPr lang="en-GB" sz="1800" b="0" i="0">
                  <a:latin typeface="Cambria Math" panose="02040503050406030204" pitchFamily="18" charset="0"/>
                </a:rPr>
                <a:t>) ̅</a:t>
              </a:r>
              <a:r>
                <a:rPr lang="pt-PT" sz="1800"/>
                <a:t>=</a:t>
              </a:r>
            </a:p>
          </xdr:txBody>
        </xdr:sp>
      </mc:Fallback>
    </mc:AlternateContent>
    <xdr:clientData/>
  </xdr:oneCellAnchor>
  <xdr:oneCellAnchor>
    <xdr:from>
      <xdr:col>2</xdr:col>
      <xdr:colOff>381000</xdr:colOff>
      <xdr:row>8</xdr:row>
      <xdr:rowOff>38100</xdr:rowOff>
    </xdr:from>
    <xdr:ext cx="3131690" cy="3213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SpPr txBox="1"/>
          </xdr:nvSpPr>
          <xdr:spPr>
            <a:xfrm>
              <a:off x="4191000" y="1663700"/>
              <a:ext cx="3131690" cy="321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𝑡𝑒𝑚𝑝𝑜</m:t>
                        </m:r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𝑑𝑒</m:t>
                        </m:r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𝑒𝑠𝑝𝑒𝑟𝑎</m:t>
                        </m:r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𝑝𝑎𝑟𝑎</m:t>
                        </m:r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𝑢𝑚</m:t>
                        </m:r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𝑐𝑙𝑖𝑒𝑛𝑡𝑒</m:t>
                        </m:r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𝑠𝑒𝑟</m:t>
                        </m:r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𝑎𝑡𝑒𝑛𝑑𝑖𝑑𝑜</m:t>
                        </m:r>
                      </m:num>
                      <m:den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𝑛</m:t>
                        </m:r>
                      </m:den>
                    </m:f>
                    <m:r>
                      <a:rPr lang="pt-PT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SpPr txBox="1"/>
          </xdr:nvSpPr>
          <xdr:spPr>
            <a:xfrm>
              <a:off x="4191000" y="1663700"/>
              <a:ext cx="3131690" cy="3213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(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𝑡𝑒𝑚𝑝𝑜 𝑑𝑒 𝑒𝑠𝑝𝑒𝑟𝑎 𝑝𝑎𝑟𝑎 𝑢𝑚 𝑐𝑙𝑖𝑒𝑛𝑡𝑒 𝑠𝑒𝑟 𝑎𝑡𝑒𝑛𝑑𝑖𝑑𝑜)/</a:t>
              </a:r>
              <a:r>
                <a:rPr lang="pt-PT" sz="1100" b="0" i="0">
                  <a:latin typeface="Cambria Math" panose="02040503050406030204" pitchFamily="18" charset="0"/>
                </a:rPr>
                <a:t>𝑛=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98148</xdr:colOff>
      <xdr:row>17</xdr:row>
      <xdr:rowOff>104409</xdr:rowOff>
    </xdr:from>
    <xdr:ext cx="1561133" cy="3674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3">
              <a:extLst>
                <a:ext uri="{FF2B5EF4-FFF2-40B4-BE49-F238E27FC236}">
                  <a16:creationId xmlns:a16="http://schemas.microsoft.com/office/drawing/2014/main" id="{56BE82FB-ADA8-084C-A9AE-FBFA7A99F0B4}"/>
                </a:ext>
              </a:extLst>
            </xdr:cNvPr>
            <xdr:cNvSpPr txBox="1"/>
          </xdr:nvSpPr>
          <xdr:spPr>
            <a:xfrm>
              <a:off x="2607172" y="4208677"/>
              <a:ext cx="1561133" cy="3674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𝑍</m:t>
                        </m:r>
                      </m:e>
                      <m:sub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1−</m:t>
                        </m:r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𝛼</m:t>
                            </m:r>
                          </m:num>
                          <m:den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den>
                        </m:f>
                      </m:e>
                    </m:d>
                    <m:r>
                      <a:rPr lang="pt-PT" sz="14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" name="CaixaDeTexto 13">
              <a:extLst>
                <a:ext uri="{FF2B5EF4-FFF2-40B4-BE49-F238E27FC236}">
                  <a16:creationId xmlns:a16="http://schemas.microsoft.com/office/drawing/2014/main" id="{56BE82FB-ADA8-084C-A9AE-FBFA7A99F0B4}"/>
                </a:ext>
              </a:extLst>
            </xdr:cNvPr>
            <xdr:cNvSpPr txBox="1"/>
          </xdr:nvSpPr>
          <xdr:spPr>
            <a:xfrm>
              <a:off x="2607172" y="4208677"/>
              <a:ext cx="1561133" cy="3674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𝑍_𝑐=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∅^(</a:t>
              </a:r>
              <a:r>
                <a:rPr lang="pt-PT" sz="1400" b="0" i="0">
                  <a:latin typeface="Cambria Math" panose="02040503050406030204" pitchFamily="18" charset="0"/>
                </a:rPr>
                <a:t>−1) (1−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𝛼/</a:t>
              </a:r>
              <a:r>
                <a:rPr lang="pt-PT" sz="1400" b="0" i="0">
                  <a:latin typeface="Cambria Math" panose="02040503050406030204" pitchFamily="18" charset="0"/>
                </a:rPr>
                <a:t>2)=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363980</xdr:colOff>
      <xdr:row>20</xdr:row>
      <xdr:rowOff>26451</xdr:rowOff>
    </xdr:from>
    <xdr:ext cx="1302793" cy="5456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14">
              <a:extLst>
                <a:ext uri="{FF2B5EF4-FFF2-40B4-BE49-F238E27FC236}">
                  <a16:creationId xmlns:a16="http://schemas.microsoft.com/office/drawing/2014/main" id="{7B6577F0-F43B-2443-85B9-5B6E09AE754B}"/>
                </a:ext>
              </a:extLst>
            </xdr:cNvPr>
            <xdr:cNvSpPr txBox="1"/>
          </xdr:nvSpPr>
          <xdr:spPr>
            <a:xfrm>
              <a:off x="2873004" y="4719256"/>
              <a:ext cx="1302793" cy="5456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2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∆</m:t>
                    </m:r>
                    <m:r>
                      <a:rPr lang="pt-PT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=</m:t>
                    </m:r>
                    <m:sSub>
                      <m:sSubPr>
                        <m:ctrlPr>
                          <a:rPr lang="pt-PT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pt-PT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𝑍</m:t>
                        </m:r>
                      </m:e>
                      <m:sub>
                        <m:r>
                          <a:rPr lang="pt-PT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𝑐</m:t>
                        </m:r>
                      </m:sub>
                    </m:sSub>
                    <m:rad>
                      <m:radPr>
                        <m:degHide m:val="on"/>
                        <m:ctrlPr>
                          <a:rPr lang="pt-PT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2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sSubSup>
                              <m:sSubSupPr>
                                <m:ctrlP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t-PT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b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</m:t>
                                </m:r>
                              </m:sub>
                              <m:sup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bSup>
                          </m:num>
                          <m:den>
                            <m:sSub>
                              <m:sSubPr>
                                <m:ctrlP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𝑛</m:t>
                                </m:r>
                              </m:e>
                              <m:sub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</m:t>
                                </m:r>
                              </m:sub>
                            </m:sSub>
                          </m:den>
                        </m:f>
                        <m:r>
                          <a:rPr lang="pt-PT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f>
                          <m:fPr>
                            <m:ctrlPr>
                              <a:rPr lang="pt-PT" sz="12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sSubSup>
                              <m:sSubSupPr>
                                <m:ctrlP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pt-PT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b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b>
                              <m:sup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bSup>
                          </m:num>
                          <m:den>
                            <m:sSub>
                              <m:sSubPr>
                                <m:ctrlP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𝑛</m:t>
                                </m:r>
                              </m:e>
                              <m:sub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b>
                            </m:sSub>
                          </m:den>
                        </m:f>
                      </m:e>
                    </m:rad>
                    <m:r>
                      <a:rPr lang="pt-PT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4" name="CaixaDeTexto 14">
              <a:extLst>
                <a:ext uri="{FF2B5EF4-FFF2-40B4-BE49-F238E27FC236}">
                  <a16:creationId xmlns:a16="http://schemas.microsoft.com/office/drawing/2014/main" id="{7B6577F0-F43B-2443-85B9-5B6E09AE754B}"/>
                </a:ext>
              </a:extLst>
            </xdr:cNvPr>
            <xdr:cNvSpPr txBox="1"/>
          </xdr:nvSpPr>
          <xdr:spPr>
            <a:xfrm>
              <a:off x="2873004" y="4719256"/>
              <a:ext cx="1302793" cy="5456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2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∆</a:t>
              </a:r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=𝑍_𝑐 √(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_1^2)/𝑛_1 +(</a:t>
              </a:r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_2^2)/𝑛_2 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pt-PT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8</xdr:col>
      <xdr:colOff>222250</xdr:colOff>
      <xdr:row>15</xdr:row>
      <xdr:rowOff>101600</xdr:rowOff>
    </xdr:from>
    <xdr:ext cx="65" cy="172098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179FC6C-F356-51D0-761E-1BE89D6A6897}"/>
            </a:ext>
          </a:extLst>
        </xdr:cNvPr>
        <xdr:cNvSpPr txBox="1"/>
      </xdr:nvSpPr>
      <xdr:spPr>
        <a:xfrm>
          <a:off x="8731250" y="3352800"/>
          <a:ext cx="65" cy="1720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532574</xdr:colOff>
      <xdr:row>13</xdr:row>
      <xdr:rowOff>373190</xdr:rowOff>
    </xdr:from>
    <xdr:ext cx="229807" cy="4371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15">
              <a:extLst>
                <a:ext uri="{FF2B5EF4-FFF2-40B4-BE49-F238E27FC236}">
                  <a16:creationId xmlns:a16="http://schemas.microsoft.com/office/drawing/2014/main" id="{7C2B36C1-4F05-8E48-9C45-0DD8724C4E61}"/>
                </a:ext>
              </a:extLst>
            </xdr:cNvPr>
            <xdr:cNvSpPr txBox="1"/>
          </xdr:nvSpPr>
          <xdr:spPr>
            <a:xfrm>
              <a:off x="3049483" y="3024796"/>
              <a:ext cx="229807" cy="4371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pt-PT" sz="13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pt-PT" sz="13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𝜎</m:t>
                            </m:r>
                          </m:e>
                          <m:sub>
                            <m:r>
                              <a:rPr lang="pt-PT" sz="13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  <m:sup>
                            <m:r>
                              <a:rPr lang="pt-PT" sz="13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pt-PT" sz="13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3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𝑛</m:t>
                            </m:r>
                          </m:e>
                          <m:sub>
                            <m:r>
                              <a:rPr lang="pt-PT" sz="13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pt-PT" sz="1300"/>
            </a:p>
          </xdr:txBody>
        </xdr:sp>
      </mc:Choice>
      <mc:Fallback xmlns="">
        <xdr:sp macro="" textlink="">
          <xdr:nvSpPr>
            <xdr:cNvPr id="6" name="CaixaDeTexto 15">
              <a:extLst>
                <a:ext uri="{FF2B5EF4-FFF2-40B4-BE49-F238E27FC236}">
                  <a16:creationId xmlns:a16="http://schemas.microsoft.com/office/drawing/2014/main" id="{7C2B36C1-4F05-8E48-9C45-0DD8724C4E61}"/>
                </a:ext>
              </a:extLst>
            </xdr:cNvPr>
            <xdr:cNvSpPr txBox="1"/>
          </xdr:nvSpPr>
          <xdr:spPr>
            <a:xfrm>
              <a:off x="3049483" y="3024796"/>
              <a:ext cx="229807" cy="4371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3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</a:t>
              </a:r>
              <a:r>
                <a:rPr lang="pt-PT" sz="13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_1^2)/𝑛_1 </a:t>
              </a:r>
              <a:endParaRPr lang="pt-PT" sz="1300"/>
            </a:p>
          </xdr:txBody>
        </xdr:sp>
      </mc:Fallback>
    </mc:AlternateContent>
    <xdr:clientData/>
  </xdr:oneCellAnchor>
  <xdr:oneCellAnchor>
    <xdr:from>
      <xdr:col>1</xdr:col>
      <xdr:colOff>512707</xdr:colOff>
      <xdr:row>14</xdr:row>
      <xdr:rowOff>439105</xdr:rowOff>
    </xdr:from>
    <xdr:ext cx="229807" cy="4372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5">
              <a:extLst>
                <a:ext uri="{FF2B5EF4-FFF2-40B4-BE49-F238E27FC236}">
                  <a16:creationId xmlns:a16="http://schemas.microsoft.com/office/drawing/2014/main" id="{8B3E7898-45C8-B442-A4FE-38930C63CA16}"/>
                </a:ext>
              </a:extLst>
            </xdr:cNvPr>
            <xdr:cNvSpPr txBox="1"/>
          </xdr:nvSpPr>
          <xdr:spPr>
            <a:xfrm>
              <a:off x="3029616" y="3471711"/>
              <a:ext cx="229807" cy="4372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pt-PT" sz="13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pt-PT" sz="13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𝜎</m:t>
                            </m:r>
                          </m:e>
                          <m:sub>
                            <m:r>
                              <a:rPr lang="pt-PT" sz="13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b>
                          <m:sup>
                            <m:r>
                              <a:rPr lang="pt-PT" sz="13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pt-PT" sz="13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PT" sz="13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𝑛</m:t>
                            </m:r>
                          </m:e>
                          <m:sub>
                            <m:r>
                              <a:rPr lang="pt-PT" sz="13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pt-PT" sz="1300"/>
            </a:p>
          </xdr:txBody>
        </xdr:sp>
      </mc:Choice>
      <mc:Fallback xmlns="">
        <xdr:sp macro="" textlink="">
          <xdr:nvSpPr>
            <xdr:cNvPr id="12" name="CaixaDeTexto 15">
              <a:extLst>
                <a:ext uri="{FF2B5EF4-FFF2-40B4-BE49-F238E27FC236}">
                  <a16:creationId xmlns:a16="http://schemas.microsoft.com/office/drawing/2014/main" id="{8B3E7898-45C8-B442-A4FE-38930C63CA16}"/>
                </a:ext>
              </a:extLst>
            </xdr:cNvPr>
            <xdr:cNvSpPr txBox="1"/>
          </xdr:nvSpPr>
          <xdr:spPr>
            <a:xfrm>
              <a:off x="3029616" y="3471711"/>
              <a:ext cx="229807" cy="4372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3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</a:t>
              </a:r>
              <a:r>
                <a:rPr lang="pt-PT" sz="13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_2^2)/𝑛_2 </a:t>
              </a:r>
              <a:endParaRPr lang="pt-PT" sz="1300"/>
            </a:p>
          </xdr:txBody>
        </xdr:sp>
      </mc:Fallback>
    </mc:AlternateContent>
    <xdr:clientData/>
  </xdr:oneCellAnchor>
  <xdr:oneCellAnchor>
    <xdr:from>
      <xdr:col>5</xdr:col>
      <xdr:colOff>231954</xdr:colOff>
      <xdr:row>12</xdr:row>
      <xdr:rowOff>173376</xdr:rowOff>
    </xdr:from>
    <xdr:ext cx="1977401" cy="3864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5F34A3F4-5218-B484-3167-BB3575BEF566}"/>
                </a:ext>
              </a:extLst>
            </xdr:cNvPr>
            <xdr:cNvSpPr txBox="1"/>
          </xdr:nvSpPr>
          <xdr:spPr>
            <a:xfrm>
              <a:off x="7585254" y="2611776"/>
              <a:ext cx="1977401" cy="3864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GB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sSub>
                          <m:sSub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𝑋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𝐼</m:t>
                            </m:r>
                          </m:sub>
                        </m:sSub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−</m:t>
                    </m:r>
                    <m:acc>
                      <m:accPr>
                        <m:chr m:val="̅"/>
                        <m:ctrlPr>
                          <a:rPr lang="en-GB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sSub>
                          <m:sSub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𝑋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𝐼𝐼</m:t>
                            </m:r>
                          </m:sub>
                        </m:sSub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~ </m:t>
                    </m:r>
                    <m:r>
                      <a:rPr lang="pt-PT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𝑁</m:t>
                    </m:r>
                    <m:d>
                      <m:dPr>
                        <m:ctrlP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pt-PT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pt-PT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,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sSubSup>
                              <m:sSub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SupPr>
                              <m:e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b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</m:t>
                                </m:r>
                              </m:sub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bSup>
                          </m:num>
                          <m:den>
                            <m:sSub>
                              <m:sSub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𝑛</m:t>
                                </m:r>
                              </m:e>
                              <m:sub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</m:t>
                                </m:r>
                              </m:sub>
                            </m:sSub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sSubSup>
                              <m:sSub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SupPr>
                              <m:e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</m:e>
                              <m:sub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b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bSup>
                          </m:num>
                          <m:den>
                            <m:sSub>
                              <m:sSub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𝑛</m:t>
                                </m:r>
                              </m:e>
                              <m:sub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b>
                            </m:sSub>
                          </m:den>
                        </m:f>
                      </m:e>
                    </m:d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5F34A3F4-5218-B484-3167-BB3575BEF566}"/>
                </a:ext>
              </a:extLst>
            </xdr:cNvPr>
            <xdr:cNvSpPr txBox="1"/>
          </xdr:nvSpPr>
          <xdr:spPr>
            <a:xfrm>
              <a:off x="7585254" y="2611776"/>
              <a:ext cx="1977401" cy="3864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GB" sz="1100" i="0">
                  <a:latin typeface="Cambria Math" panose="02040503050406030204" pitchFamily="18" charset="0"/>
                </a:rPr>
                <a:t>(</a:t>
              </a:r>
              <a:r>
                <a:rPr lang="pt-PT" sz="1100" b="0" i="0">
                  <a:latin typeface="Cambria Math" panose="02040503050406030204" pitchFamily="18" charset="0"/>
                </a:rPr>
                <a:t>𝑋_𝐼</a:t>
              </a:r>
              <a:r>
                <a:rPr lang="en-GB" sz="1100" b="0" i="0">
                  <a:latin typeface="Cambria Math" panose="02040503050406030204" pitchFamily="18" charset="0"/>
                </a:rPr>
                <a:t> ) ̅</a:t>
              </a:r>
              <a:r>
                <a:rPr lang="pt-PT" sz="1100" b="0" i="0">
                  <a:latin typeface="Cambria Math" panose="02040503050406030204" pitchFamily="18" charset="0"/>
                </a:rPr>
                <a:t>−</a:t>
              </a:r>
              <a:r>
                <a:rPr lang="en-GB" sz="1100" i="0">
                  <a:latin typeface="Cambria Math" panose="02040503050406030204" pitchFamily="18" charset="0"/>
                </a:rPr>
                <a:t>(</a:t>
              </a:r>
              <a:r>
                <a:rPr lang="pt-PT" sz="1100" b="0" i="0">
                  <a:latin typeface="Cambria Math" panose="02040503050406030204" pitchFamily="18" charset="0"/>
                </a:rPr>
                <a:t>𝑋_𝐼𝐼 </a:t>
              </a:r>
              <a:r>
                <a:rPr lang="en-GB" sz="1100" b="0" i="0">
                  <a:latin typeface="Cambria Math" panose="02040503050406030204" pitchFamily="18" charset="0"/>
                </a:rPr>
                <a:t>) ̅</a:t>
              </a:r>
              <a:r>
                <a:rPr lang="pt-PT" sz="1100" b="0" i="0">
                  <a:latin typeface="Cambria Math" panose="02040503050406030204" pitchFamily="18" charset="0"/>
                </a:rPr>
                <a:t>  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~ 𝑁(𝜇_1−𝜇_2,(𝜎_1^2)/𝑛_1 + (𝜎_2^2)/𝑛_2 )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4</xdr:col>
      <xdr:colOff>671720</xdr:colOff>
      <xdr:row>14</xdr:row>
      <xdr:rowOff>17581</xdr:rowOff>
    </xdr:from>
    <xdr:ext cx="3391569" cy="5432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C2E5ED62-4147-A1D8-5888-247D751214D9}"/>
                </a:ext>
              </a:extLst>
            </xdr:cNvPr>
            <xdr:cNvSpPr txBox="1"/>
          </xdr:nvSpPr>
          <xdr:spPr>
            <a:xfrm>
              <a:off x="5706764" y="3029616"/>
              <a:ext cx="3391569" cy="5432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d>
                      <m:dPr>
                        <m:begChr m:val="]"/>
                        <m:endChr m:val="["/>
                        <m:ctrlPr>
                          <a:rPr lang="en-GB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(</m:t>
                        </m:r>
                        <m:acc>
                          <m:accPr>
                            <m:chr m:val="̅"/>
                            <m:ctrlPr>
                              <a:rPr lang="en-GB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</m:e>
                              <m:sub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sub>
                            </m:sSub>
                          </m:e>
                        </m:acc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acc>
                          <m:accPr>
                            <m:chr m:val="̅"/>
                            <m:ctrlPr>
                              <a:rPr lang="en-GB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</m:e>
                              <m:sub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b>
                            </m:s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)</m:t>
                            </m:r>
                          </m:e>
                        </m:acc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𝑧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0.95</m:t>
                            </m:r>
                          </m:sub>
                        </m:sSub>
                        <m:rad>
                          <m:radPr>
                            <m:degHide m:val="on"/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bSup>
                                  <m:sSubSupPr>
                                    <m:ctrlP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𝜎</m:t>
                                    </m:r>
                                  </m:e>
                                  <m:sub>
                                    <m: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1</m:t>
                                    </m:r>
                                  </m:sub>
                                  <m:sup>
                                    <m: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bSup>
                              </m:num>
                              <m:den>
                                <m:sSub>
                                  <m:sSubPr>
                                    <m:ctrlP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𝑛</m:t>
                                    </m:r>
                                  </m:e>
                                  <m:sub>
                                    <m: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1</m:t>
                                    </m:r>
                                  </m:sub>
                                </m:sSub>
                              </m:den>
                            </m:f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bSup>
                                  <m:sSubSupPr>
                                    <m:ctrlP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𝜎</m:t>
                                    </m:r>
                                  </m:e>
                                  <m:sub>
                                    <m: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b>
                                  <m:sup>
                                    <m: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bSup>
                              </m:num>
                              <m:den>
                                <m:sSub>
                                  <m:sSubPr>
                                    <m:ctrlP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𝑛</m:t>
                                    </m:r>
                                  </m:e>
                                  <m:sub>
                                    <m: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b>
                                </m:sSub>
                              </m:den>
                            </m:f>
                          </m:e>
                        </m:rad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,(</m:t>
                        </m:r>
                        <m:acc>
                          <m:accPr>
                            <m:chr m:val="̅"/>
                            <m:ctrlPr>
                              <a:rPr lang="en-GB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</m:e>
                              <m:sub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sub>
                            </m:sSub>
                          </m:e>
                        </m:acc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acc>
                          <m:accPr>
                            <m:chr m:val="̅"/>
                            <m:ctrlPr>
                              <a:rPr lang="en-GB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sSub>
                              <m:sSub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</m:e>
                              <m:sub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b>
                            </m:s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)</m:t>
                            </m:r>
                          </m:e>
                        </m:acc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𝑧</m:t>
                            </m:r>
                          </m:e>
                          <m:sub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0.95</m:t>
                            </m:r>
                          </m:sub>
                        </m:sSub>
                        <m:rad>
                          <m:radPr>
                            <m:degHide m:val="on"/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bSup>
                                  <m:sSubSupPr>
                                    <m:ctrlP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𝜎</m:t>
                                    </m:r>
                                  </m:e>
                                  <m:sub>
                                    <m: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1</m:t>
                                    </m:r>
                                  </m:sub>
                                  <m:sup>
                                    <m: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bSup>
                              </m:num>
                              <m:den>
                                <m:sSub>
                                  <m:sSubPr>
                                    <m:ctrlP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𝑛</m:t>
                                    </m:r>
                                  </m:e>
                                  <m:sub>
                                    <m: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1</m:t>
                                    </m:r>
                                  </m:sub>
                                </m:sSub>
                              </m:den>
                            </m:f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bSup>
                                  <m:sSubSupPr>
                                    <m:ctrlP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𝜎</m:t>
                                    </m:r>
                                  </m:e>
                                  <m:sub>
                                    <m: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b>
                                  <m:sup>
                                    <m: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bSup>
                              </m:num>
                              <m:den>
                                <m:sSub>
                                  <m:sSubPr>
                                    <m:ctrlP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𝑛</m:t>
                                    </m:r>
                                  </m:e>
                                  <m:sub>
                                    <m: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b>
                                </m:sSub>
                              </m:den>
                            </m:f>
                          </m:e>
                        </m:rad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</m:e>
                    </m:d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C2E5ED62-4147-A1D8-5888-247D751214D9}"/>
                </a:ext>
              </a:extLst>
            </xdr:cNvPr>
            <xdr:cNvSpPr txBox="1"/>
          </xdr:nvSpPr>
          <xdr:spPr>
            <a:xfrm>
              <a:off x="5706764" y="3029616"/>
              <a:ext cx="3391569" cy="5432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</a:rPr>
                <a:t>├]</a:t>
              </a:r>
              <a:r>
                <a:rPr lang="pt-PT" sz="1100" b="0" i="0">
                  <a:latin typeface="Cambria Math" panose="02040503050406030204" pitchFamily="18" charset="0"/>
                </a:rPr>
                <a:t>(</a:t>
              </a:r>
              <a:r>
                <a:rPr lang="en-GB" sz="1100" b="0" i="0">
                  <a:latin typeface="Cambria Math" panose="02040503050406030204" pitchFamily="18" charset="0"/>
                </a:rPr>
                <a:t>(</a:t>
              </a:r>
              <a:r>
                <a:rPr lang="pt-PT" sz="1100" b="0" i="0">
                  <a:latin typeface="Cambria Math" panose="02040503050406030204" pitchFamily="18" charset="0"/>
                </a:rPr>
                <a:t>𝑥_1 </a:t>
              </a:r>
              <a:r>
                <a:rPr lang="en-GB" sz="1100" b="0" i="0">
                  <a:latin typeface="Cambria Math" panose="02040503050406030204" pitchFamily="18" charset="0"/>
                </a:rPr>
                <a:t>) ̅</a:t>
              </a:r>
              <a:r>
                <a:rPr lang="pt-PT" sz="1100" b="0" i="0">
                  <a:latin typeface="Cambria Math" panose="02040503050406030204" pitchFamily="18" charset="0"/>
                </a:rPr>
                <a:t>−</a:t>
              </a:r>
              <a:r>
                <a:rPr lang="en-GB" sz="1100" b="0" i="0">
                  <a:latin typeface="Cambria Math" panose="02040503050406030204" pitchFamily="18" charset="0"/>
                </a:rPr>
                <a:t>(</a:t>
              </a:r>
              <a:r>
                <a:rPr lang="pt-PT" sz="1100" b="0" i="0">
                  <a:latin typeface="Cambria Math" panose="02040503050406030204" pitchFamily="18" charset="0"/>
                </a:rPr>
                <a:t>𝑥_2)</a:t>
              </a:r>
              <a:r>
                <a:rPr lang="en-GB" sz="1100" b="0" i="0">
                  <a:latin typeface="Cambria Math" panose="02040503050406030204" pitchFamily="18" charset="0"/>
                </a:rPr>
                <a:t>) ̅</a:t>
              </a:r>
              <a:r>
                <a:rPr lang="pt-PT" sz="1100" b="0" i="0">
                  <a:latin typeface="Cambria Math" panose="02040503050406030204" pitchFamily="18" charset="0"/>
                </a:rPr>
                <a:t>−𝑧_0.95 √(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_1^2)/𝑛_1 +(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_2^2)/𝑛_2 )</a:t>
              </a:r>
              <a:r>
                <a:rPr lang="pt-PT" sz="1100" b="0" i="0">
                  <a:latin typeface="Cambria Math" panose="02040503050406030204" pitchFamily="18" charset="0"/>
                </a:rPr>
                <a:t>,(</a:t>
              </a:r>
              <a:r>
                <a:rPr lang="en-GB" sz="1100" b="0" i="0">
                  <a:latin typeface="Cambria Math" panose="02040503050406030204" pitchFamily="18" charset="0"/>
                </a:rPr>
                <a:t>(</a:t>
              </a:r>
              <a:r>
                <a:rPr lang="pt-PT" sz="1100" b="0" i="0">
                  <a:latin typeface="Cambria Math" panose="02040503050406030204" pitchFamily="18" charset="0"/>
                </a:rPr>
                <a:t>𝑥_1 </a:t>
              </a:r>
              <a:r>
                <a:rPr lang="en-GB" sz="1100" b="0" i="0">
                  <a:latin typeface="Cambria Math" panose="02040503050406030204" pitchFamily="18" charset="0"/>
                </a:rPr>
                <a:t>) ̅</a:t>
              </a:r>
              <a:r>
                <a:rPr lang="pt-PT" sz="1100" b="0" i="0">
                  <a:latin typeface="Cambria Math" panose="02040503050406030204" pitchFamily="18" charset="0"/>
                </a:rPr>
                <a:t>−</a:t>
              </a:r>
              <a:r>
                <a:rPr lang="en-GB" sz="1100" b="0" i="0">
                  <a:latin typeface="Cambria Math" panose="02040503050406030204" pitchFamily="18" charset="0"/>
                </a:rPr>
                <a:t>(</a:t>
              </a:r>
              <a:r>
                <a:rPr lang="pt-PT" sz="1100" b="0" i="0">
                  <a:latin typeface="Cambria Math" panose="02040503050406030204" pitchFamily="18" charset="0"/>
                </a:rPr>
                <a:t>𝑥_2)</a:t>
              </a:r>
              <a:r>
                <a:rPr lang="en-GB" sz="1100" b="0" i="0">
                  <a:latin typeface="Cambria Math" panose="02040503050406030204" pitchFamily="18" charset="0"/>
                </a:rPr>
                <a:t>) ̅</a:t>
              </a:r>
              <a:r>
                <a:rPr lang="pt-PT" sz="1100" b="0" i="0">
                  <a:latin typeface="Cambria Math" panose="02040503050406030204" pitchFamily="18" charset="0"/>
                </a:rPr>
                <a:t>+𝑧_0.95 √(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_1^2)/𝑛_1 +(</a:t>
              </a:r>
              <a:r>
                <a:rPr lang="pt-PT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_2^2)/𝑛_2 )  ┤[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4</xdr:col>
      <xdr:colOff>61803</xdr:colOff>
      <xdr:row>15</xdr:row>
      <xdr:rowOff>153411</xdr:rowOff>
    </xdr:from>
    <xdr:ext cx="4887748" cy="5518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DA34CFD9-1E9E-5C49-A1EA-6AD03C3E8D3B}"/>
                </a:ext>
              </a:extLst>
            </xdr:cNvPr>
            <xdr:cNvSpPr txBox="1"/>
          </xdr:nvSpPr>
          <xdr:spPr>
            <a:xfrm>
              <a:off x="5096847" y="3615004"/>
              <a:ext cx="4887748" cy="5518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d>
                      <m:dPr>
                        <m:begChr m:val="]"/>
                        <m:endChr m:val="["/>
                        <m:ctrlPr>
                          <a:rPr lang="en-GB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d>
                          <m:d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21,65−24,95</m:t>
                            </m:r>
                          </m:e>
                        </m:d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−1,96</m:t>
                        </m:r>
                        <m:rad>
                          <m:radPr>
                            <m:degHide m:val="on"/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2,69</m:t>
                                    </m:r>
                                  </m:e>
                                  <m:sup>
                                    <m: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200</m:t>
                                </m:r>
                              </m:den>
                            </m:f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2,79</m:t>
                                    </m:r>
                                  </m:e>
                                  <m:sup>
                                    <m: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200</m:t>
                                </m:r>
                              </m:den>
                            </m:f>
                          </m:e>
                        </m:rad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,</m:t>
                        </m:r>
                        <m:d>
                          <m:d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21,65−24,95</m:t>
                            </m:r>
                          </m:e>
                        </m:d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+1,96</m:t>
                        </m:r>
                        <m:rad>
                          <m:radPr>
                            <m:degHide m:val="on"/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2,69</m:t>
                                    </m:r>
                                  </m:e>
                                  <m:sup>
                                    <m: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200</m:t>
                                </m:r>
                              </m:den>
                            </m:f>
                            <m:r>
                              <a:rPr lang="pt-P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2,79</m:t>
                                    </m:r>
                                  </m:e>
                                  <m:sup>
                                    <m:r>
                                      <a:rPr lang="pt-P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200</m:t>
                                </m:r>
                              </m:den>
                            </m:f>
                          </m:e>
                        </m:rad>
                        <m:r>
                          <a:rPr lang="pt-P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</m:e>
                    </m:d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DA34CFD9-1E9E-5C49-A1EA-6AD03C3E8D3B}"/>
                </a:ext>
              </a:extLst>
            </xdr:cNvPr>
            <xdr:cNvSpPr txBox="1"/>
          </xdr:nvSpPr>
          <xdr:spPr>
            <a:xfrm>
              <a:off x="5096847" y="3615004"/>
              <a:ext cx="4887748" cy="5518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</a:rPr>
                <a:t>├]</a:t>
              </a:r>
              <a:r>
                <a:rPr lang="pt-PT" sz="1100" b="0" i="0">
                  <a:latin typeface="Cambria Math" panose="02040503050406030204" pitchFamily="18" charset="0"/>
                </a:rPr>
                <a:t>(21,65−24,95)−1,96√(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〖2,69〗^2/200+〖2,79〗^2/200)</a:t>
              </a:r>
              <a:r>
                <a:rPr lang="pt-PT" sz="1100" b="0" i="0">
                  <a:latin typeface="Cambria Math" panose="02040503050406030204" pitchFamily="18" charset="0"/>
                </a:rPr>
                <a:t>,(21,65−24,95)+1,96√(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〖2,69〗^2/200+〖2,79〗^2/200)  ┤[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5</xdr:col>
      <xdr:colOff>641350</xdr:colOff>
      <xdr:row>16</xdr:row>
      <xdr:rowOff>181734</xdr:rowOff>
    </xdr:from>
    <xdr:ext cx="1076513" cy="17209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B3F9781D-CA5A-064B-B0BE-3AF14FB3D85D}"/>
                </a:ext>
              </a:extLst>
            </xdr:cNvPr>
            <xdr:cNvSpPr txBox="1"/>
          </xdr:nvSpPr>
          <xdr:spPr>
            <a:xfrm>
              <a:off x="6923916" y="4092884"/>
              <a:ext cx="1076513" cy="17209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d>
                      <m:dPr>
                        <m:begChr m:val="]"/>
                        <m:endChr m:val="["/>
                        <m:ctrlPr>
                          <a:rPr lang="en-GB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−3,799,−2,725</m:t>
                        </m:r>
                      </m:e>
                    </m:d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B3F9781D-CA5A-064B-B0BE-3AF14FB3D85D}"/>
                </a:ext>
              </a:extLst>
            </xdr:cNvPr>
            <xdr:cNvSpPr txBox="1"/>
          </xdr:nvSpPr>
          <xdr:spPr>
            <a:xfrm>
              <a:off x="6923916" y="4092884"/>
              <a:ext cx="1076513" cy="17209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</a:rPr>
                <a:t>├]</a:t>
              </a:r>
              <a:r>
                <a:rPr lang="pt-PT" sz="1100" b="0" i="0">
                  <a:latin typeface="Cambria Math" panose="02040503050406030204" pitchFamily="18" charset="0"/>
                </a:rPr>
                <a:t>−3,799,−2,725┤[</a:t>
              </a:r>
              <a:endParaRPr lang="en-GB" sz="1100"/>
            </a:p>
          </xdr:txBody>
        </xdr:sp>
      </mc:Fallback>
    </mc:AlternateContent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0000000}" name="Tabela7" displayName="Tabela7" ref="B28:F35" totalsRowShown="0" headerRowCellStyle="Normal" dataCellStyle="Normal">
  <autoFilter ref="B28:F35" xr:uid="{00000000-0009-0000-0100-000007000000}"/>
  <tableColumns count="5">
    <tableColumn id="1" xr3:uid="{00000000-0010-0000-0000-000001000000}" name="Número de apartamentos vendidos" dataCellStyle="Normal"/>
    <tableColumn id="2" xr3:uid="{00000000-0010-0000-0000-000002000000}" name="Frequência absoluta ni" dataDxfId="49" dataCellStyle="Normal">
      <calculatedColumnFormula>COUNTIF(Dados!B1:B200,Tabela7[[#This Row],[Número de apartamentos vendidos]])</calculatedColumnFormula>
    </tableColumn>
    <tableColumn id="3" xr3:uid="{00000000-0010-0000-0000-000003000000}" name="Frequência relativa fi" dataDxfId="48" dataCellStyle="Normal"/>
    <tableColumn id="4" xr3:uid="{00000000-0010-0000-0000-000004000000}" name="Frequência acumulada absoluta Fi" dataDxfId="47" dataCellStyle="Normal"/>
    <tableColumn id="5" xr3:uid="{00000000-0010-0000-0000-000005000000}" name="Frequência acumulada relativa Fri" dataDxfId="46" dataCellStyle="Normal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1000000}" name="Tabela711" displayName="Tabela711" ref="B43:F50" totalsRowShown="0" headerRowCellStyle="Normal" dataCellStyle="Normal">
  <autoFilter ref="B43:F50" xr:uid="{00000000-0009-0000-0100-00000A000000}"/>
  <tableColumns count="5">
    <tableColumn id="1" xr3:uid="{00000000-0010-0000-0100-000001000000}" name="Número de apartamentos vendidos" dataCellStyle="Normal"/>
    <tableColumn id="2" xr3:uid="{00000000-0010-0000-0100-000002000000}" name="Frequência absoluta ni" dataDxfId="45" dataCellStyle="Normal">
      <calculatedColumnFormula>COUNTIF(Dados!C1:C200,Tabela711[[#This Row],[Número de apartamentos vendidos]])</calculatedColumnFormula>
    </tableColumn>
    <tableColumn id="3" xr3:uid="{00000000-0010-0000-0100-000003000000}" name="Frequência relativa fi" dataDxfId="44" dataCellStyle="Normal"/>
    <tableColumn id="4" xr3:uid="{00000000-0010-0000-0100-000004000000}" name="Frequência acumulada absoluta Fi" dataDxfId="43" dataCellStyle="Normal"/>
    <tableColumn id="5" xr3:uid="{00000000-0010-0000-0100-000005000000}" name="Frequência acumulada relativa Fri" dataDxfId="42" dataCellStyle="Norma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ela110" displayName="Tabela110" ref="B72:D75" totalsRowShown="0" headerRowDxfId="41" dataDxfId="40">
  <tableColumns count="3">
    <tableColumn id="1" xr3:uid="{00000000-0010-0000-0200-000001000000}" name="Medidas de tendencia central" dataDxfId="39"/>
    <tableColumn id="2" xr3:uid="{00000000-0010-0000-0200-000002000000}" name="rotina direta" dataDxfId="38"/>
    <tableColumn id="3" xr3:uid="{00000000-0010-0000-0200-000003000000}" name="rotina alternativa" dataDxfId="37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3000000}" name="Tabela11013" displayName="Tabela11013" ref="F72:H75" totalsRowShown="0" headerRowDxfId="36" dataDxfId="35">
  <tableColumns count="3">
    <tableColumn id="1" xr3:uid="{00000000-0010-0000-0300-000001000000}" name="Medidas de tendencia central" dataDxfId="34"/>
    <tableColumn id="2" xr3:uid="{00000000-0010-0000-0300-000002000000}" name="rotina direta" dataDxfId="33"/>
    <tableColumn id="3" xr3:uid="{00000000-0010-0000-0300-000003000000}" name="rotina alternativa" dataDxfId="32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4000000}" name="Tabela211" displayName="Tabela211" ref="B90:C91" totalsRowShown="0" headerRowDxfId="31" dataDxfId="30">
  <tableColumns count="2">
    <tableColumn id="1" xr3:uid="{00000000-0010-0000-0400-000001000000}" name="Medidas de dispersão" dataDxfId="29"/>
    <tableColumn id="3" xr3:uid="{00000000-0010-0000-0400-000003000000}" name="rotina direta" dataDxfId="28">
      <calculatedColumnFormula>_xlfn.STDEV.S(Dados!B3:B202)</calculatedColumnFormula>
    </tableColumn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5000000}" name="Tabela21115" displayName="Tabela21115" ref="E90:F91" totalsRowShown="0" headerRowDxfId="27" dataDxfId="26">
  <tableColumns count="2">
    <tableColumn id="1" xr3:uid="{00000000-0010-0000-0500-000001000000}" name="Medidas de dispersão" dataDxfId="25"/>
    <tableColumn id="3" xr3:uid="{00000000-0010-0000-0500-000003000000}" name="rotina direta" dataDxfId="24">
      <calculatedColumnFormula>_xlfn.STDEV.S(Dados!C2:C201)</calculatedColumnFormula>
    </tableColumn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ela612" displayName="Tabela612" ref="B125:C129" totalsRowShown="0" headerRowDxfId="23" dataDxfId="22">
  <tableColumns count="2">
    <tableColumn id="1" xr3:uid="{00000000-0010-0000-0600-000001000000}" name="Simetria" dataDxfId="21">
      <calculatedColumnFormula array="1">_xlfn.IFS(D113&gt;C114,IF(C114&gt;C115,"assimétrica positiva",""),D113&lt;C114, IF(C114&lt;C115,"assimétrica negativa",""),D113&lt;C114,IF(C114=C115,"simétrica",""))</calculatedColumnFormula>
    </tableColumn>
    <tableColumn id="2" xr3:uid="{00000000-0010-0000-0600-000002000000}" name="Coluna1" dataDxfId="20">
      <calculatedColumnFormula>IF(C72&gt;C73 &amp; C73&gt;C74,"Sim",Não)</calculatedColumnFormula>
    </tableColumn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Tabela61210" displayName="Tabela61210" ref="E125:F129" totalsRowShown="0" headerRowDxfId="19" dataDxfId="18">
  <tableColumns count="2">
    <tableColumn id="1" xr3:uid="{00000000-0010-0000-0700-000001000000}" name="Simetria" dataDxfId="17">
      <calculatedColumnFormula array="1">_xlfn.IFS(G113&gt;F114,IF(F114&gt;F115,"assimétrica positiva",""),G113&lt;F114, IF(F114&lt;F115,"assimétrica negativa",""),G113&lt;F114,IF(F114=F115,"simétrica",""))</calculatedColumnFormula>
    </tableColumn>
    <tableColumn id="2" xr3:uid="{00000000-0010-0000-0700-000002000000}" name="Coluna1" dataDxfId="16">
      <calculatedColumnFormula>IF(F72&gt;F73 &amp; F73&gt;F74,"Sim",Não)</calculatedColumnFormula>
    </tableColumn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982DB9-9DA7-4929-897F-ED625054D93F}" name="Tabela1103" displayName="Tabela1103" ref="D83:F85" totalsRowShown="0" headerRowDxfId="15" dataDxfId="14" headerRowBorderDxfId="12" tableBorderDxfId="13" totalsRowBorderDxfId="11">
  <tableColumns count="3">
    <tableColumn id="1" xr3:uid="{97BD3186-06DC-4513-BDF0-268C121ADF47}" name="Medidas de tendencia central" dataDxfId="10"/>
    <tableColumn id="2" xr3:uid="{6177384E-0CE7-44E2-9AB7-FD03954939C7}" name="Rotina direta" dataDxfId="9"/>
    <tableColumn id="3" xr3:uid="{1745DC15-A038-4117-91E0-D9FF58B6CB48}" name="Rotina alternativa" dataDxfId="8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79C0449-66DD-4542-84EA-E49D0B45E5E7}" name="Tabela110134" displayName="Tabela110134" ref="O83:Q85" totalsRowShown="0" headerRowDxfId="7" dataDxfId="6" headerRowBorderDxfId="4" tableBorderDxfId="5" totalsRowBorderDxfId="3">
  <tableColumns count="3">
    <tableColumn id="1" xr3:uid="{331F04BF-7609-40E6-AC96-ACEE17209840}" name="Medidas de tendencia central" dataDxfId="2"/>
    <tableColumn id="2" xr3:uid="{699DC294-FBC9-4FCD-B80D-D56B2F151516}" name="Rotina direta" dataDxfId="1"/>
    <tableColumn id="3" xr3:uid="{5711DC03-BE1D-409E-B374-C58E6A174AA1}" name="Rotina alternativa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table" Target="../tables/table1.xml"/><Relationship Id="rId7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10" Type="http://schemas.openxmlformats.org/officeDocument/2006/relationships/table" Target="../tables/table8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10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2"/>
  <sheetViews>
    <sheetView tabSelected="1" topLeftCell="A171" workbookViewId="0">
      <selection activeCell="D210" sqref="D210"/>
    </sheetView>
  </sheetViews>
  <sheetFormatPr defaultColWidth="11" defaultRowHeight="15.95"/>
  <cols>
    <col min="2" max="3" width="14" bestFit="1" customWidth="1"/>
    <col min="4" max="5" width="20" bestFit="1" customWidth="1"/>
  </cols>
  <sheetData>
    <row r="1" spans="1:5">
      <c r="B1" t="s">
        <v>0</v>
      </c>
      <c r="C1" t="s">
        <v>1</v>
      </c>
      <c r="D1" t="s">
        <v>0</v>
      </c>
      <c r="E1" t="s">
        <v>1</v>
      </c>
    </row>
    <row r="2" spans="1:5">
      <c r="A2" t="s">
        <v>2</v>
      </c>
      <c r="B2" t="s">
        <v>3</v>
      </c>
      <c r="C2" t="s">
        <v>3</v>
      </c>
      <c r="D2" t="s">
        <v>4</v>
      </c>
      <c r="E2" t="s">
        <v>4</v>
      </c>
    </row>
    <row r="3" spans="1:5">
      <c r="A3">
        <v>1</v>
      </c>
      <c r="B3">
        <v>1</v>
      </c>
      <c r="C3">
        <v>3</v>
      </c>
      <c r="D3" s="1">
        <v>20.48</v>
      </c>
      <c r="E3">
        <v>22.71</v>
      </c>
    </row>
    <row r="4" spans="1:5">
      <c r="A4">
        <v>2</v>
      </c>
      <c r="B4">
        <v>1</v>
      </c>
      <c r="C4">
        <v>3</v>
      </c>
      <c r="D4" s="1">
        <v>20.010000000000002</v>
      </c>
      <c r="E4">
        <v>22.13</v>
      </c>
    </row>
    <row r="5" spans="1:5">
      <c r="A5">
        <v>3</v>
      </c>
      <c r="B5">
        <v>1</v>
      </c>
      <c r="C5">
        <v>2</v>
      </c>
      <c r="D5" s="1">
        <v>17.86</v>
      </c>
      <c r="E5">
        <v>20.49</v>
      </c>
    </row>
    <row r="6" spans="1:5">
      <c r="A6">
        <v>4</v>
      </c>
      <c r="B6">
        <v>1</v>
      </c>
      <c r="C6">
        <v>1</v>
      </c>
      <c r="D6" s="1">
        <v>19.47</v>
      </c>
      <c r="E6">
        <v>21.56</v>
      </c>
    </row>
    <row r="7" spans="1:5">
      <c r="A7">
        <v>5</v>
      </c>
      <c r="B7">
        <v>1</v>
      </c>
      <c r="C7">
        <v>4</v>
      </c>
      <c r="D7" s="1">
        <v>19.21</v>
      </c>
      <c r="E7">
        <v>21.32</v>
      </c>
    </row>
    <row r="8" spans="1:5">
      <c r="A8">
        <v>6</v>
      </c>
      <c r="B8">
        <v>1</v>
      </c>
      <c r="C8">
        <v>3</v>
      </c>
      <c r="D8" s="1">
        <v>19.79</v>
      </c>
      <c r="E8">
        <v>21.88</v>
      </c>
    </row>
    <row r="9" spans="1:5">
      <c r="A9">
        <v>7</v>
      </c>
      <c r="B9">
        <v>5</v>
      </c>
      <c r="C9">
        <v>2</v>
      </c>
      <c r="D9" s="1">
        <v>25.54</v>
      </c>
      <c r="E9">
        <v>29.22</v>
      </c>
    </row>
    <row r="10" spans="1:5">
      <c r="A10">
        <v>8</v>
      </c>
      <c r="B10">
        <v>1</v>
      </c>
      <c r="C10">
        <v>6</v>
      </c>
      <c r="D10" s="1">
        <v>19.32</v>
      </c>
      <c r="E10">
        <v>21.42</v>
      </c>
    </row>
    <row r="11" spans="1:5">
      <c r="A11">
        <v>9</v>
      </c>
      <c r="B11">
        <v>5</v>
      </c>
      <c r="C11">
        <v>3</v>
      </c>
      <c r="D11" s="1">
        <v>24.9</v>
      </c>
      <c r="E11">
        <v>28.77</v>
      </c>
    </row>
    <row r="12" spans="1:5">
      <c r="A12">
        <v>10</v>
      </c>
      <c r="B12">
        <v>2</v>
      </c>
      <c r="C12">
        <v>4</v>
      </c>
      <c r="D12" s="1">
        <v>21.44</v>
      </c>
      <c r="E12">
        <v>24.11</v>
      </c>
    </row>
    <row r="13" spans="1:5">
      <c r="A13">
        <v>11</v>
      </c>
      <c r="B13">
        <v>2</v>
      </c>
      <c r="C13">
        <v>2</v>
      </c>
      <c r="D13" s="1">
        <v>20.87</v>
      </c>
      <c r="E13">
        <v>23.26</v>
      </c>
    </row>
    <row r="14" spans="1:5">
      <c r="A14">
        <v>12</v>
      </c>
      <c r="B14">
        <v>2</v>
      </c>
      <c r="C14">
        <v>2</v>
      </c>
      <c r="D14" s="1">
        <v>22.3</v>
      </c>
      <c r="E14">
        <v>25.47</v>
      </c>
    </row>
    <row r="15" spans="1:5">
      <c r="A15">
        <v>13</v>
      </c>
      <c r="B15">
        <v>2</v>
      </c>
      <c r="C15">
        <v>2</v>
      </c>
      <c r="D15" s="1">
        <v>21.1</v>
      </c>
      <c r="E15">
        <v>23.6</v>
      </c>
    </row>
    <row r="16" spans="1:5">
      <c r="A16">
        <v>14</v>
      </c>
      <c r="B16">
        <v>3</v>
      </c>
      <c r="C16">
        <v>2</v>
      </c>
      <c r="D16" s="1">
        <v>22.89</v>
      </c>
      <c r="E16">
        <v>26.38</v>
      </c>
    </row>
    <row r="17" spans="1:5">
      <c r="A17">
        <v>15</v>
      </c>
      <c r="B17">
        <v>3</v>
      </c>
      <c r="C17">
        <v>1</v>
      </c>
      <c r="D17" s="1">
        <v>22.75</v>
      </c>
      <c r="E17">
        <v>26.17</v>
      </c>
    </row>
    <row r="18" spans="1:5">
      <c r="A18">
        <v>16</v>
      </c>
      <c r="B18">
        <v>1</v>
      </c>
      <c r="C18">
        <v>4</v>
      </c>
      <c r="D18" s="1">
        <v>19.16</v>
      </c>
      <c r="E18">
        <v>21.28</v>
      </c>
    </row>
    <row r="19" spans="1:5">
      <c r="A19">
        <v>17</v>
      </c>
      <c r="B19">
        <v>1</v>
      </c>
      <c r="C19">
        <v>2</v>
      </c>
      <c r="D19" s="1">
        <v>19.37</v>
      </c>
      <c r="E19">
        <v>21.47</v>
      </c>
    </row>
    <row r="20" spans="1:5">
      <c r="A20">
        <v>18</v>
      </c>
      <c r="B20">
        <v>2</v>
      </c>
      <c r="C20">
        <v>1</v>
      </c>
      <c r="D20" s="1">
        <v>21.85</v>
      </c>
      <c r="E20">
        <v>24.76</v>
      </c>
    </row>
    <row r="21" spans="1:5">
      <c r="A21">
        <v>19</v>
      </c>
      <c r="B21">
        <v>2</v>
      </c>
      <c r="C21">
        <v>1</v>
      </c>
      <c r="D21" s="1">
        <v>21.07</v>
      </c>
      <c r="E21">
        <v>23.54</v>
      </c>
    </row>
    <row r="22" spans="1:5">
      <c r="A22">
        <v>20</v>
      </c>
      <c r="B22">
        <v>5</v>
      </c>
      <c r="C22">
        <v>4</v>
      </c>
      <c r="D22" s="1">
        <v>24.44</v>
      </c>
      <c r="E22">
        <v>28.35</v>
      </c>
    </row>
    <row r="23" spans="1:5">
      <c r="A23">
        <v>21</v>
      </c>
      <c r="B23">
        <v>2</v>
      </c>
      <c r="C23">
        <v>2</v>
      </c>
      <c r="D23" s="1">
        <v>20.89</v>
      </c>
      <c r="E23">
        <v>23.28</v>
      </c>
    </row>
    <row r="24" spans="1:5">
      <c r="A24">
        <v>22</v>
      </c>
      <c r="B24">
        <v>1</v>
      </c>
      <c r="C24">
        <v>2</v>
      </c>
      <c r="D24" s="1">
        <v>19.71</v>
      </c>
      <c r="E24">
        <v>21.79</v>
      </c>
    </row>
    <row r="25" spans="1:5">
      <c r="A25">
        <v>23</v>
      </c>
      <c r="B25">
        <v>1</v>
      </c>
      <c r="C25">
        <v>5</v>
      </c>
      <c r="D25" s="1">
        <v>17.37</v>
      </c>
      <c r="E25">
        <v>20.32</v>
      </c>
    </row>
    <row r="26" spans="1:5">
      <c r="A26">
        <v>24</v>
      </c>
      <c r="B26">
        <v>1</v>
      </c>
      <c r="C26">
        <v>1</v>
      </c>
      <c r="D26" s="1">
        <v>19.84</v>
      </c>
      <c r="E26">
        <v>21.94</v>
      </c>
    </row>
    <row r="27" spans="1:5">
      <c r="A27">
        <v>25</v>
      </c>
      <c r="B27">
        <v>1</v>
      </c>
      <c r="C27">
        <v>2</v>
      </c>
      <c r="D27" s="1">
        <v>20.59</v>
      </c>
      <c r="E27">
        <v>22.86</v>
      </c>
    </row>
    <row r="28" spans="1:5">
      <c r="A28">
        <v>26</v>
      </c>
      <c r="B28">
        <v>2</v>
      </c>
      <c r="C28">
        <v>2</v>
      </c>
      <c r="D28" s="1">
        <v>21.34</v>
      </c>
      <c r="E28">
        <v>23.97</v>
      </c>
    </row>
    <row r="29" spans="1:5">
      <c r="A29">
        <v>27</v>
      </c>
      <c r="B29">
        <v>6</v>
      </c>
      <c r="C29">
        <v>2</v>
      </c>
      <c r="D29" s="1">
        <v>26.29</v>
      </c>
      <c r="E29">
        <v>29.57</v>
      </c>
    </row>
    <row r="30" spans="1:5">
      <c r="A30">
        <v>28</v>
      </c>
      <c r="B30">
        <v>3</v>
      </c>
      <c r="C30">
        <v>2</v>
      </c>
      <c r="D30" s="1">
        <v>22.67</v>
      </c>
      <c r="E30">
        <v>26.06</v>
      </c>
    </row>
    <row r="31" spans="1:5">
      <c r="A31">
        <v>29</v>
      </c>
      <c r="B31">
        <v>6</v>
      </c>
      <c r="C31">
        <v>5</v>
      </c>
      <c r="D31" s="1">
        <v>26.12</v>
      </c>
      <c r="E31">
        <v>29.5</v>
      </c>
    </row>
    <row r="32" spans="1:5">
      <c r="A32">
        <v>30</v>
      </c>
      <c r="B32">
        <v>1</v>
      </c>
      <c r="C32">
        <v>3</v>
      </c>
      <c r="D32" s="1">
        <v>20.05</v>
      </c>
      <c r="E32">
        <v>22.18</v>
      </c>
    </row>
    <row r="33" spans="1:5">
      <c r="A33">
        <v>31</v>
      </c>
      <c r="B33">
        <v>1</v>
      </c>
      <c r="C33">
        <v>1</v>
      </c>
      <c r="D33" s="1">
        <v>18.399999999999999</v>
      </c>
      <c r="E33">
        <v>20.75</v>
      </c>
    </row>
    <row r="34" spans="1:5">
      <c r="A34">
        <v>32</v>
      </c>
      <c r="B34">
        <v>4</v>
      </c>
      <c r="C34">
        <v>3</v>
      </c>
      <c r="D34" s="1">
        <v>23.89</v>
      </c>
      <c r="E34">
        <v>27.76</v>
      </c>
    </row>
    <row r="35" spans="1:5">
      <c r="A35">
        <v>33</v>
      </c>
      <c r="B35">
        <v>3</v>
      </c>
      <c r="C35">
        <v>1</v>
      </c>
      <c r="D35" s="1">
        <v>22.81</v>
      </c>
      <c r="E35">
        <v>26.28</v>
      </c>
    </row>
    <row r="36" spans="1:5">
      <c r="A36">
        <v>34</v>
      </c>
      <c r="B36">
        <v>4</v>
      </c>
      <c r="C36">
        <v>3</v>
      </c>
      <c r="D36" s="1">
        <v>23.99</v>
      </c>
      <c r="E36">
        <v>27.87</v>
      </c>
    </row>
    <row r="37" spans="1:5">
      <c r="A37">
        <v>35</v>
      </c>
      <c r="B37">
        <v>1</v>
      </c>
      <c r="C37">
        <v>1</v>
      </c>
      <c r="D37" s="1">
        <v>20.399999999999999</v>
      </c>
      <c r="E37">
        <v>22.61</v>
      </c>
    </row>
    <row r="38" spans="1:5">
      <c r="A38">
        <v>36</v>
      </c>
      <c r="B38">
        <v>3</v>
      </c>
      <c r="C38">
        <v>3</v>
      </c>
      <c r="D38" s="1">
        <v>22.52</v>
      </c>
      <c r="E38">
        <v>25.82</v>
      </c>
    </row>
    <row r="39" spans="1:5">
      <c r="A39">
        <v>37</v>
      </c>
      <c r="B39">
        <v>1</v>
      </c>
      <c r="C39">
        <v>7</v>
      </c>
      <c r="D39" s="1">
        <v>20.57</v>
      </c>
      <c r="E39">
        <v>22.84</v>
      </c>
    </row>
    <row r="40" spans="1:5">
      <c r="A40">
        <v>38</v>
      </c>
      <c r="B40">
        <v>4</v>
      </c>
      <c r="C40">
        <v>3</v>
      </c>
      <c r="D40" s="1">
        <v>24.05</v>
      </c>
      <c r="E40">
        <v>27.3</v>
      </c>
    </row>
    <row r="41" spans="1:5">
      <c r="A41">
        <v>39</v>
      </c>
      <c r="B41">
        <v>2</v>
      </c>
      <c r="C41">
        <v>1</v>
      </c>
      <c r="D41" s="1">
        <v>19.5</v>
      </c>
      <c r="E41">
        <v>24.4</v>
      </c>
    </row>
    <row r="42" spans="1:5">
      <c r="A42">
        <v>40</v>
      </c>
      <c r="B42">
        <v>3</v>
      </c>
      <c r="C42">
        <v>4</v>
      </c>
      <c r="D42" s="1">
        <v>18.78</v>
      </c>
      <c r="E42">
        <v>27.02</v>
      </c>
    </row>
    <row r="43" spans="1:5">
      <c r="A43">
        <v>41</v>
      </c>
      <c r="B43">
        <v>3</v>
      </c>
      <c r="C43">
        <v>1</v>
      </c>
      <c r="D43" s="1">
        <v>20.77</v>
      </c>
      <c r="E43">
        <v>26.99</v>
      </c>
    </row>
    <row r="44" spans="1:5">
      <c r="A44">
        <v>42</v>
      </c>
      <c r="B44">
        <v>1</v>
      </c>
      <c r="C44">
        <v>5</v>
      </c>
      <c r="D44" s="1">
        <v>21.69</v>
      </c>
      <c r="E44">
        <v>22.24</v>
      </c>
    </row>
    <row r="45" spans="1:5">
      <c r="A45">
        <v>43</v>
      </c>
      <c r="B45">
        <v>5</v>
      </c>
      <c r="C45">
        <v>2</v>
      </c>
      <c r="D45" s="1">
        <v>22.36</v>
      </c>
      <c r="E45">
        <v>28.97</v>
      </c>
    </row>
    <row r="46" spans="1:5">
      <c r="A46">
        <v>44</v>
      </c>
      <c r="B46">
        <v>3</v>
      </c>
      <c r="C46">
        <v>3</v>
      </c>
      <c r="D46" s="1">
        <v>20.45</v>
      </c>
      <c r="E46">
        <v>26.75</v>
      </c>
    </row>
    <row r="47" spans="1:5">
      <c r="A47">
        <v>45</v>
      </c>
      <c r="B47">
        <v>1</v>
      </c>
      <c r="C47">
        <v>3</v>
      </c>
      <c r="D47" s="1">
        <v>23.19</v>
      </c>
      <c r="E47">
        <v>20.69</v>
      </c>
    </row>
    <row r="48" spans="1:5">
      <c r="A48">
        <v>46</v>
      </c>
      <c r="B48">
        <v>5</v>
      </c>
      <c r="C48">
        <v>4</v>
      </c>
      <c r="D48" s="1">
        <v>22.93</v>
      </c>
      <c r="E48">
        <v>29.21</v>
      </c>
    </row>
    <row r="49" spans="1:5">
      <c r="A49">
        <v>47</v>
      </c>
      <c r="B49">
        <v>4</v>
      </c>
      <c r="C49">
        <v>2</v>
      </c>
      <c r="D49" s="1">
        <v>23.32</v>
      </c>
      <c r="E49">
        <v>27.94</v>
      </c>
    </row>
    <row r="50" spans="1:5">
      <c r="A50">
        <v>48</v>
      </c>
      <c r="B50">
        <v>3</v>
      </c>
      <c r="C50">
        <v>2</v>
      </c>
      <c r="D50" s="1">
        <v>23.35</v>
      </c>
      <c r="E50">
        <v>26.49</v>
      </c>
    </row>
    <row r="51" spans="1:5">
      <c r="A51">
        <v>49</v>
      </c>
      <c r="B51">
        <v>2</v>
      </c>
      <c r="C51">
        <v>3</v>
      </c>
      <c r="D51" s="1">
        <v>22.18</v>
      </c>
      <c r="E51">
        <v>24.62</v>
      </c>
    </row>
    <row r="52" spans="1:5">
      <c r="A52">
        <v>50</v>
      </c>
      <c r="B52">
        <v>5</v>
      </c>
      <c r="C52">
        <v>2</v>
      </c>
      <c r="D52" s="1">
        <v>20.399999999999999</v>
      </c>
      <c r="E52">
        <v>28.47</v>
      </c>
    </row>
    <row r="53" spans="1:5">
      <c r="A53">
        <v>51</v>
      </c>
      <c r="B53">
        <v>6</v>
      </c>
      <c r="C53">
        <v>2</v>
      </c>
      <c r="D53" s="1">
        <v>21.73</v>
      </c>
      <c r="E53">
        <v>29.32</v>
      </c>
    </row>
    <row r="54" spans="1:5">
      <c r="A54">
        <v>52</v>
      </c>
      <c r="B54">
        <v>1</v>
      </c>
      <c r="C54">
        <v>1</v>
      </c>
      <c r="D54" s="1">
        <v>18.47</v>
      </c>
      <c r="E54">
        <v>20.170000000000002</v>
      </c>
    </row>
    <row r="55" spans="1:5">
      <c r="A55">
        <v>53</v>
      </c>
      <c r="B55">
        <v>4</v>
      </c>
      <c r="C55">
        <v>2</v>
      </c>
      <c r="D55" s="1">
        <v>28.04</v>
      </c>
      <c r="E55">
        <v>27.69</v>
      </c>
    </row>
    <row r="56" spans="1:5">
      <c r="A56">
        <v>54</v>
      </c>
      <c r="B56">
        <v>1</v>
      </c>
      <c r="C56">
        <v>1</v>
      </c>
      <c r="D56" s="1">
        <v>20.95</v>
      </c>
      <c r="E56">
        <v>22.23</v>
      </c>
    </row>
    <row r="57" spans="1:5">
      <c r="A57">
        <v>55</v>
      </c>
      <c r="B57">
        <v>1</v>
      </c>
      <c r="C57">
        <v>6</v>
      </c>
      <c r="D57" s="1">
        <v>21.65</v>
      </c>
      <c r="E57">
        <v>21.5</v>
      </c>
    </row>
    <row r="58" spans="1:5">
      <c r="A58">
        <v>56</v>
      </c>
      <c r="B58">
        <v>2</v>
      </c>
      <c r="C58">
        <v>2</v>
      </c>
      <c r="D58" s="1">
        <v>21.71</v>
      </c>
      <c r="E58">
        <v>24.23</v>
      </c>
    </row>
    <row r="59" spans="1:5">
      <c r="A59">
        <v>57</v>
      </c>
      <c r="B59">
        <v>4</v>
      </c>
      <c r="C59">
        <v>2</v>
      </c>
      <c r="D59" s="1">
        <v>19.04</v>
      </c>
      <c r="E59">
        <v>27.81</v>
      </c>
    </row>
    <row r="60" spans="1:5">
      <c r="A60">
        <v>58</v>
      </c>
      <c r="B60">
        <v>3</v>
      </c>
      <c r="C60">
        <v>4</v>
      </c>
      <c r="D60" s="1">
        <v>18.59</v>
      </c>
      <c r="E60">
        <v>27</v>
      </c>
    </row>
    <row r="61" spans="1:5">
      <c r="A61">
        <v>59</v>
      </c>
      <c r="B61">
        <v>1</v>
      </c>
      <c r="C61">
        <v>3</v>
      </c>
      <c r="D61" s="1">
        <v>14.73</v>
      </c>
      <c r="E61">
        <v>22.73</v>
      </c>
    </row>
    <row r="62" spans="1:5">
      <c r="A62">
        <v>60</v>
      </c>
      <c r="B62">
        <v>2</v>
      </c>
      <c r="C62">
        <v>2</v>
      </c>
      <c r="D62" s="1">
        <v>16.52</v>
      </c>
      <c r="E62">
        <v>24.36</v>
      </c>
    </row>
    <row r="63" spans="1:5">
      <c r="A63">
        <v>61</v>
      </c>
      <c r="B63">
        <v>5</v>
      </c>
      <c r="C63">
        <v>3</v>
      </c>
      <c r="D63" s="1">
        <v>17.690000000000001</v>
      </c>
      <c r="E63">
        <v>28.93</v>
      </c>
    </row>
    <row r="64" spans="1:5">
      <c r="A64">
        <v>62</v>
      </c>
      <c r="B64">
        <v>2</v>
      </c>
      <c r="C64">
        <v>6</v>
      </c>
      <c r="D64" s="1">
        <v>22.14</v>
      </c>
      <c r="E64">
        <v>24.67</v>
      </c>
    </row>
    <row r="65" spans="1:5">
      <c r="A65">
        <v>63</v>
      </c>
      <c r="B65">
        <v>3</v>
      </c>
      <c r="C65">
        <v>2</v>
      </c>
      <c r="D65" s="1">
        <v>22.17</v>
      </c>
      <c r="E65">
        <v>26.93</v>
      </c>
    </row>
    <row r="66" spans="1:5">
      <c r="A66">
        <v>64</v>
      </c>
      <c r="B66">
        <v>2</v>
      </c>
      <c r="C66">
        <v>4</v>
      </c>
      <c r="D66" s="1">
        <v>23.92</v>
      </c>
      <c r="E66">
        <v>25.42</v>
      </c>
    </row>
    <row r="67" spans="1:5">
      <c r="A67">
        <v>65</v>
      </c>
      <c r="B67">
        <v>5</v>
      </c>
      <c r="C67">
        <v>1</v>
      </c>
      <c r="D67" s="1">
        <v>22.54</v>
      </c>
      <c r="E67">
        <v>28.97</v>
      </c>
    </row>
    <row r="68" spans="1:5">
      <c r="A68">
        <v>66</v>
      </c>
      <c r="B68">
        <v>3</v>
      </c>
      <c r="C68">
        <v>5</v>
      </c>
      <c r="D68" s="1">
        <v>21.33</v>
      </c>
      <c r="E68">
        <v>27.04</v>
      </c>
    </row>
    <row r="69" spans="1:5">
      <c r="A69">
        <v>67</v>
      </c>
      <c r="B69">
        <v>2</v>
      </c>
      <c r="C69">
        <v>1</v>
      </c>
      <c r="D69" s="1">
        <v>23.8</v>
      </c>
      <c r="E69">
        <v>23.95</v>
      </c>
    </row>
    <row r="70" spans="1:5">
      <c r="A70">
        <v>68</v>
      </c>
      <c r="B70">
        <v>6</v>
      </c>
      <c r="C70">
        <v>1</v>
      </c>
      <c r="D70" s="1">
        <v>17.899999999999999</v>
      </c>
      <c r="E70">
        <v>29.31</v>
      </c>
    </row>
    <row r="71" spans="1:5">
      <c r="A71">
        <v>69</v>
      </c>
      <c r="B71">
        <v>7</v>
      </c>
      <c r="C71">
        <v>6</v>
      </c>
      <c r="D71" s="1">
        <v>16.43</v>
      </c>
      <c r="E71">
        <v>29.96</v>
      </c>
    </row>
    <row r="72" spans="1:5">
      <c r="A72">
        <v>70</v>
      </c>
      <c r="B72">
        <v>1</v>
      </c>
      <c r="C72">
        <v>2</v>
      </c>
      <c r="D72" s="1">
        <v>19.5</v>
      </c>
      <c r="E72">
        <v>22.12</v>
      </c>
    </row>
    <row r="73" spans="1:5">
      <c r="A73">
        <v>71</v>
      </c>
      <c r="B73">
        <v>1</v>
      </c>
      <c r="C73">
        <v>1</v>
      </c>
      <c r="D73" s="1">
        <v>19.59</v>
      </c>
      <c r="E73">
        <v>21.39</v>
      </c>
    </row>
    <row r="74" spans="1:5">
      <c r="A74">
        <v>72</v>
      </c>
      <c r="B74">
        <v>5</v>
      </c>
      <c r="C74">
        <v>7</v>
      </c>
      <c r="D74" s="1">
        <v>24.1</v>
      </c>
      <c r="E74">
        <v>28.5</v>
      </c>
    </row>
    <row r="75" spans="1:5">
      <c r="A75">
        <v>73</v>
      </c>
      <c r="B75">
        <v>1</v>
      </c>
      <c r="C75">
        <v>4</v>
      </c>
      <c r="D75" s="1">
        <v>22.22</v>
      </c>
      <c r="E75">
        <v>20.88</v>
      </c>
    </row>
    <row r="76" spans="1:5">
      <c r="A76">
        <v>74</v>
      </c>
      <c r="B76">
        <v>4</v>
      </c>
      <c r="C76">
        <v>5</v>
      </c>
      <c r="D76" s="1">
        <v>21.29</v>
      </c>
      <c r="E76">
        <v>27.3</v>
      </c>
    </row>
    <row r="77" spans="1:5">
      <c r="A77">
        <v>75</v>
      </c>
      <c r="B77">
        <v>4</v>
      </c>
      <c r="C77">
        <v>2</v>
      </c>
      <c r="D77" s="1">
        <v>20.91</v>
      </c>
      <c r="E77">
        <v>27.95</v>
      </c>
    </row>
    <row r="78" spans="1:5">
      <c r="A78">
        <v>76</v>
      </c>
      <c r="B78">
        <v>5</v>
      </c>
      <c r="C78">
        <v>3</v>
      </c>
      <c r="D78" s="1">
        <v>25.2</v>
      </c>
      <c r="E78">
        <v>28.55</v>
      </c>
    </row>
    <row r="79" spans="1:5">
      <c r="A79">
        <v>77</v>
      </c>
      <c r="B79">
        <v>6</v>
      </c>
      <c r="C79">
        <v>3</v>
      </c>
      <c r="D79" s="1">
        <v>19.059999999999999</v>
      </c>
      <c r="E79">
        <v>29.79</v>
      </c>
    </row>
    <row r="80" spans="1:5">
      <c r="A80">
        <v>78</v>
      </c>
      <c r="B80">
        <v>3</v>
      </c>
      <c r="C80">
        <v>3</v>
      </c>
      <c r="D80" s="1">
        <v>21.76</v>
      </c>
      <c r="E80">
        <v>26.3</v>
      </c>
    </row>
    <row r="81" spans="1:5">
      <c r="A81">
        <v>79</v>
      </c>
      <c r="B81">
        <v>1</v>
      </c>
      <c r="C81">
        <v>1</v>
      </c>
      <c r="D81" s="1">
        <v>25.44</v>
      </c>
      <c r="E81">
        <v>21.7</v>
      </c>
    </row>
    <row r="82" spans="1:5">
      <c r="A82">
        <v>80</v>
      </c>
      <c r="B82">
        <v>1</v>
      </c>
      <c r="C82">
        <v>4</v>
      </c>
      <c r="D82" s="1">
        <v>20.91</v>
      </c>
      <c r="E82">
        <v>22.47</v>
      </c>
    </row>
    <row r="83" spans="1:5">
      <c r="A83">
        <v>81</v>
      </c>
      <c r="B83">
        <v>1</v>
      </c>
      <c r="C83">
        <v>3</v>
      </c>
      <c r="D83" s="1">
        <v>19.82</v>
      </c>
      <c r="E83">
        <v>22.69</v>
      </c>
    </row>
    <row r="84" spans="1:5">
      <c r="A84">
        <v>82</v>
      </c>
      <c r="B84">
        <v>3</v>
      </c>
      <c r="C84">
        <v>4</v>
      </c>
      <c r="D84" s="1">
        <v>20.89</v>
      </c>
      <c r="E84">
        <v>26.99</v>
      </c>
    </row>
    <row r="85" spans="1:5">
      <c r="A85">
        <v>83</v>
      </c>
      <c r="B85">
        <v>2</v>
      </c>
      <c r="C85">
        <v>1</v>
      </c>
      <c r="D85" s="1">
        <v>20.77</v>
      </c>
      <c r="E85">
        <v>23.68</v>
      </c>
    </row>
    <row r="86" spans="1:5">
      <c r="A86">
        <v>84</v>
      </c>
      <c r="B86">
        <v>2</v>
      </c>
      <c r="C86">
        <v>1</v>
      </c>
      <c r="D86" s="1">
        <v>18.190000000000001</v>
      </c>
      <c r="E86">
        <v>23.08</v>
      </c>
    </row>
    <row r="87" spans="1:5">
      <c r="A87">
        <v>85</v>
      </c>
      <c r="B87">
        <v>4</v>
      </c>
      <c r="C87">
        <v>5</v>
      </c>
      <c r="D87" s="1">
        <v>19.12</v>
      </c>
      <c r="E87">
        <v>28.18</v>
      </c>
    </row>
    <row r="88" spans="1:5">
      <c r="A88">
        <v>86</v>
      </c>
      <c r="B88">
        <v>2</v>
      </c>
      <c r="C88">
        <v>2</v>
      </c>
      <c r="D88" s="1">
        <v>19.89</v>
      </c>
      <c r="E88">
        <v>23.25</v>
      </c>
    </row>
    <row r="89" spans="1:5">
      <c r="A89">
        <v>87</v>
      </c>
      <c r="B89">
        <v>3</v>
      </c>
      <c r="C89">
        <v>1</v>
      </c>
      <c r="D89" s="1">
        <v>19.510000000000002</v>
      </c>
      <c r="E89">
        <v>25.64</v>
      </c>
    </row>
    <row r="90" spans="1:5">
      <c r="A90">
        <v>88</v>
      </c>
      <c r="B90">
        <v>2</v>
      </c>
      <c r="C90">
        <v>1</v>
      </c>
      <c r="D90" s="1">
        <v>22.32</v>
      </c>
      <c r="E90">
        <v>23.42</v>
      </c>
    </row>
    <row r="91" spans="1:5">
      <c r="A91">
        <v>89</v>
      </c>
      <c r="B91">
        <v>3</v>
      </c>
      <c r="C91">
        <v>2</v>
      </c>
      <c r="D91" s="1">
        <v>24.15</v>
      </c>
      <c r="E91">
        <v>26.77</v>
      </c>
    </row>
    <row r="92" spans="1:5">
      <c r="A92">
        <v>90</v>
      </c>
      <c r="B92">
        <v>5</v>
      </c>
      <c r="C92">
        <v>5</v>
      </c>
      <c r="D92" s="1">
        <v>22.88</v>
      </c>
      <c r="E92">
        <v>28.49</v>
      </c>
    </row>
    <row r="93" spans="1:5">
      <c r="A93">
        <v>91</v>
      </c>
      <c r="B93">
        <v>6</v>
      </c>
      <c r="C93">
        <v>1</v>
      </c>
      <c r="D93" s="1">
        <v>23.07</v>
      </c>
      <c r="E93">
        <v>29.65</v>
      </c>
    </row>
    <row r="94" spans="1:5">
      <c r="A94">
        <v>92</v>
      </c>
      <c r="B94">
        <v>1</v>
      </c>
      <c r="C94">
        <v>3</v>
      </c>
      <c r="D94" s="1">
        <v>22.88</v>
      </c>
      <c r="E94">
        <v>21.17</v>
      </c>
    </row>
    <row r="95" spans="1:5">
      <c r="A95">
        <v>93</v>
      </c>
      <c r="B95">
        <v>1</v>
      </c>
      <c r="C95">
        <v>2</v>
      </c>
      <c r="D95" s="1">
        <v>23.71</v>
      </c>
      <c r="E95">
        <v>20.54</v>
      </c>
    </row>
    <row r="96" spans="1:5">
      <c r="A96">
        <v>94</v>
      </c>
      <c r="B96">
        <v>1</v>
      </c>
      <c r="C96">
        <v>3</v>
      </c>
      <c r="D96" s="1">
        <v>17.100000000000001</v>
      </c>
      <c r="E96">
        <v>21.64</v>
      </c>
    </row>
    <row r="97" spans="1:5">
      <c r="A97">
        <v>95</v>
      </c>
      <c r="B97">
        <v>3</v>
      </c>
      <c r="C97">
        <v>4</v>
      </c>
      <c r="D97" s="1">
        <v>27.77</v>
      </c>
      <c r="E97">
        <v>26.36</v>
      </c>
    </row>
    <row r="98" spans="1:5">
      <c r="A98">
        <v>96</v>
      </c>
      <c r="B98">
        <v>1</v>
      </c>
      <c r="C98">
        <v>3</v>
      </c>
      <c r="D98" s="1">
        <v>20</v>
      </c>
      <c r="E98">
        <v>20.91</v>
      </c>
    </row>
    <row r="99" spans="1:5">
      <c r="A99">
        <v>97</v>
      </c>
      <c r="B99">
        <v>3</v>
      </c>
      <c r="C99">
        <v>5</v>
      </c>
      <c r="D99" s="1">
        <v>26.42</v>
      </c>
      <c r="E99">
        <v>26.24</v>
      </c>
    </row>
    <row r="100" spans="1:5">
      <c r="A100">
        <v>98</v>
      </c>
      <c r="B100">
        <v>3</v>
      </c>
      <c r="C100">
        <v>5</v>
      </c>
      <c r="D100" s="1">
        <v>24.17</v>
      </c>
      <c r="E100">
        <v>26.78</v>
      </c>
    </row>
    <row r="101" spans="1:5">
      <c r="A101">
        <v>99</v>
      </c>
      <c r="B101">
        <v>2</v>
      </c>
      <c r="C101">
        <v>2</v>
      </c>
      <c r="D101" s="1">
        <v>26.28</v>
      </c>
      <c r="E101">
        <v>23.11</v>
      </c>
    </row>
    <row r="102" spans="1:5">
      <c r="A102">
        <v>100</v>
      </c>
      <c r="B102">
        <v>2</v>
      </c>
      <c r="C102">
        <v>2</v>
      </c>
      <c r="D102" s="1">
        <v>23.9</v>
      </c>
      <c r="E102">
        <v>25.42</v>
      </c>
    </row>
    <row r="103" spans="1:5">
      <c r="A103">
        <v>101</v>
      </c>
      <c r="B103">
        <v>1</v>
      </c>
      <c r="C103">
        <v>3</v>
      </c>
      <c r="D103" s="1">
        <v>26.16</v>
      </c>
      <c r="E103">
        <v>20.65</v>
      </c>
    </row>
    <row r="104" spans="1:5">
      <c r="A104">
        <v>102</v>
      </c>
      <c r="B104">
        <v>4</v>
      </c>
      <c r="C104">
        <v>3</v>
      </c>
      <c r="D104" s="1">
        <v>20.2</v>
      </c>
      <c r="E104">
        <v>28.22</v>
      </c>
    </row>
    <row r="105" spans="1:5">
      <c r="A105">
        <v>103</v>
      </c>
      <c r="B105">
        <v>2</v>
      </c>
      <c r="C105">
        <v>2</v>
      </c>
      <c r="D105" s="1">
        <v>21.72</v>
      </c>
      <c r="E105">
        <v>23.75</v>
      </c>
    </row>
    <row r="106" spans="1:5">
      <c r="A106">
        <v>104</v>
      </c>
      <c r="B106">
        <v>1</v>
      </c>
      <c r="C106">
        <v>4</v>
      </c>
      <c r="D106" s="1">
        <v>24.04</v>
      </c>
      <c r="E106">
        <v>22.84</v>
      </c>
    </row>
    <row r="107" spans="1:5">
      <c r="A107">
        <v>105</v>
      </c>
      <c r="B107">
        <v>4</v>
      </c>
      <c r="C107">
        <v>2</v>
      </c>
      <c r="D107" s="1">
        <v>20.329999999999998</v>
      </c>
      <c r="E107">
        <v>27.98</v>
      </c>
    </row>
    <row r="108" spans="1:5">
      <c r="A108">
        <v>106</v>
      </c>
      <c r="B108">
        <v>6</v>
      </c>
      <c r="C108">
        <v>3</v>
      </c>
      <c r="D108" s="1">
        <v>22.52</v>
      </c>
      <c r="E108">
        <v>29.58</v>
      </c>
    </row>
    <row r="109" spans="1:5">
      <c r="A109">
        <v>107</v>
      </c>
      <c r="B109">
        <v>1</v>
      </c>
      <c r="C109">
        <v>2</v>
      </c>
      <c r="D109" s="1">
        <v>20.2</v>
      </c>
      <c r="E109">
        <v>22.63</v>
      </c>
    </row>
    <row r="110" spans="1:5">
      <c r="A110">
        <v>108</v>
      </c>
      <c r="B110">
        <v>3</v>
      </c>
      <c r="C110">
        <v>1</v>
      </c>
      <c r="D110" s="1">
        <v>19.95</v>
      </c>
      <c r="E110">
        <v>26.48</v>
      </c>
    </row>
    <row r="111" spans="1:5">
      <c r="A111">
        <v>109</v>
      </c>
      <c r="B111">
        <v>1</v>
      </c>
      <c r="C111">
        <v>4</v>
      </c>
      <c r="D111" s="1">
        <v>22.43</v>
      </c>
      <c r="E111">
        <v>21.31</v>
      </c>
    </row>
    <row r="112" spans="1:5">
      <c r="A112">
        <v>110</v>
      </c>
      <c r="B112">
        <v>5</v>
      </c>
      <c r="C112">
        <v>3</v>
      </c>
      <c r="D112" s="1">
        <v>22.13</v>
      </c>
      <c r="E112">
        <v>29.26</v>
      </c>
    </row>
    <row r="113" spans="1:5">
      <c r="A113">
        <v>111</v>
      </c>
      <c r="B113">
        <v>1</v>
      </c>
      <c r="C113">
        <v>1</v>
      </c>
      <c r="D113" s="1">
        <v>21.19</v>
      </c>
      <c r="E113">
        <v>22.23</v>
      </c>
    </row>
    <row r="114" spans="1:5">
      <c r="A114">
        <v>112</v>
      </c>
      <c r="B114">
        <v>2</v>
      </c>
      <c r="C114">
        <v>4</v>
      </c>
      <c r="D114" s="1">
        <v>25.83</v>
      </c>
      <c r="E114">
        <v>24.88</v>
      </c>
    </row>
    <row r="115" spans="1:5">
      <c r="A115">
        <v>113</v>
      </c>
      <c r="B115">
        <v>2</v>
      </c>
      <c r="C115">
        <v>3</v>
      </c>
      <c r="D115" s="1">
        <v>24.18</v>
      </c>
      <c r="E115">
        <v>23.94</v>
      </c>
    </row>
    <row r="116" spans="1:5">
      <c r="A116">
        <v>114</v>
      </c>
      <c r="B116">
        <v>4</v>
      </c>
      <c r="C116">
        <v>2</v>
      </c>
      <c r="D116" s="1">
        <v>18.29</v>
      </c>
      <c r="E116">
        <v>27.52</v>
      </c>
    </row>
    <row r="117" spans="1:5">
      <c r="A117">
        <v>115</v>
      </c>
      <c r="B117">
        <v>3</v>
      </c>
      <c r="C117">
        <v>6</v>
      </c>
      <c r="D117" s="1">
        <v>19.71</v>
      </c>
      <c r="E117">
        <v>27.19</v>
      </c>
    </row>
    <row r="118" spans="1:5">
      <c r="A118">
        <v>116</v>
      </c>
      <c r="B118">
        <v>4</v>
      </c>
      <c r="C118">
        <v>2</v>
      </c>
      <c r="D118" s="1">
        <v>24.06</v>
      </c>
      <c r="E118">
        <v>27.47</v>
      </c>
    </row>
    <row r="119" spans="1:5">
      <c r="A119">
        <v>117</v>
      </c>
      <c r="B119">
        <v>6</v>
      </c>
      <c r="C119">
        <v>3</v>
      </c>
      <c r="D119" s="1">
        <v>23.1</v>
      </c>
      <c r="E119">
        <v>29.44</v>
      </c>
    </row>
    <row r="120" spans="1:5">
      <c r="A120">
        <v>118</v>
      </c>
      <c r="B120">
        <v>2</v>
      </c>
      <c r="C120">
        <v>2</v>
      </c>
      <c r="D120" s="1">
        <v>19.39</v>
      </c>
      <c r="E120">
        <v>23.37</v>
      </c>
    </row>
    <row r="121" spans="1:5">
      <c r="A121">
        <v>119</v>
      </c>
      <c r="B121">
        <v>3</v>
      </c>
      <c r="C121">
        <v>4</v>
      </c>
      <c r="D121" s="1">
        <v>24.54</v>
      </c>
      <c r="E121">
        <v>26.52</v>
      </c>
    </row>
    <row r="122" spans="1:5">
      <c r="A122">
        <v>120</v>
      </c>
      <c r="B122">
        <v>2</v>
      </c>
      <c r="C122">
        <v>3</v>
      </c>
      <c r="D122" s="1">
        <v>18.670000000000002</v>
      </c>
      <c r="E122">
        <v>24.07</v>
      </c>
    </row>
    <row r="123" spans="1:5">
      <c r="A123">
        <v>121</v>
      </c>
      <c r="B123">
        <v>2</v>
      </c>
      <c r="C123">
        <v>2</v>
      </c>
      <c r="D123" s="1">
        <v>22.77</v>
      </c>
      <c r="E123">
        <v>25.47</v>
      </c>
    </row>
    <row r="124" spans="1:5">
      <c r="A124">
        <v>122</v>
      </c>
      <c r="B124">
        <v>2</v>
      </c>
      <c r="C124">
        <v>5</v>
      </c>
      <c r="D124" s="1">
        <v>26.76</v>
      </c>
      <c r="E124">
        <v>25.47</v>
      </c>
    </row>
    <row r="125" spans="1:5">
      <c r="A125">
        <v>123</v>
      </c>
      <c r="B125">
        <v>2</v>
      </c>
      <c r="C125">
        <v>2</v>
      </c>
      <c r="D125" s="1">
        <v>21.92</v>
      </c>
      <c r="E125">
        <v>25.49</v>
      </c>
    </row>
    <row r="126" spans="1:5">
      <c r="A126">
        <v>124</v>
      </c>
      <c r="B126">
        <v>3</v>
      </c>
      <c r="C126">
        <v>6</v>
      </c>
      <c r="D126" s="1">
        <v>21</v>
      </c>
      <c r="E126">
        <v>25.9</v>
      </c>
    </row>
    <row r="127" spans="1:5">
      <c r="A127">
        <v>125</v>
      </c>
      <c r="B127">
        <v>3</v>
      </c>
      <c r="C127">
        <v>3</v>
      </c>
      <c r="D127" s="1">
        <v>22.59</v>
      </c>
      <c r="E127">
        <v>26.36</v>
      </c>
    </row>
    <row r="128" spans="1:5">
      <c r="A128">
        <v>126</v>
      </c>
      <c r="B128">
        <v>2</v>
      </c>
      <c r="C128">
        <v>4</v>
      </c>
      <c r="D128" s="1">
        <v>19.399999999999999</v>
      </c>
      <c r="E128">
        <v>23.62</v>
      </c>
    </row>
    <row r="129" spans="1:5">
      <c r="A129">
        <v>127</v>
      </c>
      <c r="B129">
        <v>1</v>
      </c>
      <c r="C129">
        <v>4</v>
      </c>
      <c r="D129" s="1">
        <v>20.149999999999999</v>
      </c>
      <c r="E129">
        <v>20.45</v>
      </c>
    </row>
    <row r="130" spans="1:5">
      <c r="A130">
        <v>128</v>
      </c>
      <c r="B130">
        <v>1</v>
      </c>
      <c r="C130">
        <v>3</v>
      </c>
      <c r="D130" s="1">
        <v>24.66</v>
      </c>
      <c r="E130">
        <v>20.94</v>
      </c>
    </row>
    <row r="131" spans="1:5">
      <c r="A131">
        <v>129</v>
      </c>
      <c r="B131">
        <v>5</v>
      </c>
      <c r="C131">
        <v>2</v>
      </c>
      <c r="D131" s="1">
        <v>24.01</v>
      </c>
      <c r="E131">
        <v>28.69</v>
      </c>
    </row>
    <row r="132" spans="1:5">
      <c r="A132">
        <v>130</v>
      </c>
      <c r="B132">
        <v>1</v>
      </c>
      <c r="C132">
        <v>2</v>
      </c>
      <c r="D132" s="1">
        <v>22.72</v>
      </c>
      <c r="E132">
        <v>20.100000000000001</v>
      </c>
    </row>
    <row r="133" spans="1:5">
      <c r="A133">
        <v>131</v>
      </c>
      <c r="B133">
        <v>3</v>
      </c>
      <c r="C133">
        <v>2</v>
      </c>
      <c r="D133" s="1">
        <v>21.04</v>
      </c>
      <c r="E133">
        <v>25.67</v>
      </c>
    </row>
    <row r="134" spans="1:5">
      <c r="A134">
        <v>132</v>
      </c>
      <c r="B134">
        <v>1</v>
      </c>
      <c r="C134">
        <v>1</v>
      </c>
      <c r="D134" s="1">
        <v>25.21</v>
      </c>
      <c r="E134">
        <v>21.49</v>
      </c>
    </row>
    <row r="135" spans="1:5">
      <c r="A135">
        <v>133</v>
      </c>
      <c r="B135">
        <v>3</v>
      </c>
      <c r="C135">
        <v>1</v>
      </c>
      <c r="D135" s="1">
        <v>21.66</v>
      </c>
      <c r="E135">
        <v>25.78</v>
      </c>
    </row>
    <row r="136" spans="1:5">
      <c r="A136">
        <v>134</v>
      </c>
      <c r="B136">
        <v>4</v>
      </c>
      <c r="C136">
        <v>3</v>
      </c>
      <c r="D136" s="1">
        <v>22.89</v>
      </c>
      <c r="E136">
        <v>28.14</v>
      </c>
    </row>
    <row r="137" spans="1:5">
      <c r="A137">
        <v>135</v>
      </c>
      <c r="B137">
        <v>2</v>
      </c>
      <c r="C137">
        <v>5</v>
      </c>
      <c r="D137" s="1">
        <v>22.14</v>
      </c>
      <c r="E137">
        <v>23.71</v>
      </c>
    </row>
    <row r="138" spans="1:5">
      <c r="A138">
        <v>136</v>
      </c>
      <c r="B138">
        <v>1</v>
      </c>
      <c r="C138">
        <v>3</v>
      </c>
      <c r="D138" s="1">
        <v>24.57</v>
      </c>
      <c r="E138">
        <v>21.68</v>
      </c>
    </row>
    <row r="139" spans="1:5">
      <c r="A139">
        <v>137</v>
      </c>
      <c r="B139">
        <v>2</v>
      </c>
      <c r="C139">
        <v>6</v>
      </c>
      <c r="D139" s="1">
        <v>22.47</v>
      </c>
      <c r="E139">
        <v>23.65</v>
      </c>
    </row>
    <row r="140" spans="1:5">
      <c r="A140">
        <v>138</v>
      </c>
      <c r="B140">
        <v>2</v>
      </c>
      <c r="C140">
        <v>2</v>
      </c>
      <c r="D140" s="1">
        <v>22.19</v>
      </c>
      <c r="E140">
        <v>22.99</v>
      </c>
    </row>
    <row r="141" spans="1:5">
      <c r="A141">
        <v>139</v>
      </c>
      <c r="B141">
        <v>2</v>
      </c>
      <c r="C141">
        <v>1</v>
      </c>
      <c r="D141" s="1">
        <v>23.14</v>
      </c>
      <c r="E141">
        <v>23.31</v>
      </c>
    </row>
    <row r="142" spans="1:5">
      <c r="A142">
        <v>140</v>
      </c>
      <c r="B142">
        <v>4</v>
      </c>
      <c r="C142">
        <v>1</v>
      </c>
      <c r="D142" s="1">
        <v>15.85</v>
      </c>
      <c r="E142">
        <v>27.68</v>
      </c>
    </row>
    <row r="143" spans="1:5">
      <c r="A143">
        <v>141</v>
      </c>
      <c r="B143">
        <v>2</v>
      </c>
      <c r="C143">
        <v>3</v>
      </c>
      <c r="D143" s="1">
        <v>18.739999999999998</v>
      </c>
      <c r="E143">
        <v>24.21</v>
      </c>
    </row>
    <row r="144" spans="1:5">
      <c r="A144">
        <v>142</v>
      </c>
      <c r="B144">
        <v>2</v>
      </c>
      <c r="C144">
        <v>5</v>
      </c>
      <c r="D144" s="1">
        <v>22.18</v>
      </c>
      <c r="E144">
        <v>24</v>
      </c>
    </row>
    <row r="145" spans="1:5">
      <c r="A145">
        <v>143</v>
      </c>
      <c r="B145">
        <v>3</v>
      </c>
      <c r="C145">
        <v>1</v>
      </c>
      <c r="D145" s="1">
        <v>21.07</v>
      </c>
      <c r="E145">
        <v>26.87</v>
      </c>
    </row>
    <row r="146" spans="1:5">
      <c r="A146">
        <v>144</v>
      </c>
      <c r="B146">
        <v>2</v>
      </c>
      <c r="C146">
        <v>4</v>
      </c>
      <c r="D146" s="1">
        <v>26.49</v>
      </c>
      <c r="E146">
        <v>23.54</v>
      </c>
    </row>
    <row r="147" spans="1:5">
      <c r="A147">
        <v>145</v>
      </c>
      <c r="B147">
        <v>4</v>
      </c>
      <c r="C147">
        <v>7</v>
      </c>
      <c r="D147" s="1">
        <v>23.13</v>
      </c>
      <c r="E147">
        <v>27.24</v>
      </c>
    </row>
    <row r="148" spans="1:5">
      <c r="A148">
        <v>146</v>
      </c>
      <c r="B148">
        <v>2</v>
      </c>
      <c r="C148">
        <v>3</v>
      </c>
      <c r="D148" s="1">
        <v>21.62</v>
      </c>
      <c r="E148">
        <v>22.96</v>
      </c>
    </row>
    <row r="149" spans="1:5">
      <c r="A149">
        <v>147</v>
      </c>
      <c r="B149">
        <v>1</v>
      </c>
      <c r="C149">
        <v>4</v>
      </c>
      <c r="D149" s="1">
        <v>17.8</v>
      </c>
      <c r="E149">
        <v>22.23</v>
      </c>
    </row>
    <row r="150" spans="1:5">
      <c r="A150">
        <v>148</v>
      </c>
      <c r="B150">
        <v>1</v>
      </c>
      <c r="C150">
        <v>3</v>
      </c>
      <c r="D150" s="1">
        <v>25.63</v>
      </c>
      <c r="E150">
        <v>21.9</v>
      </c>
    </row>
    <row r="151" spans="1:5">
      <c r="A151">
        <v>149</v>
      </c>
      <c r="B151">
        <v>2</v>
      </c>
      <c r="C151">
        <v>3</v>
      </c>
      <c r="D151" s="1">
        <v>20.47</v>
      </c>
      <c r="E151">
        <v>24.32</v>
      </c>
    </row>
    <row r="152" spans="1:5">
      <c r="A152">
        <v>150</v>
      </c>
      <c r="B152">
        <v>1</v>
      </c>
      <c r="C152">
        <v>2</v>
      </c>
      <c r="D152" s="1">
        <v>18.48</v>
      </c>
      <c r="E152">
        <v>20.52</v>
      </c>
    </row>
    <row r="153" spans="1:5">
      <c r="A153">
        <v>151</v>
      </c>
      <c r="B153">
        <v>1</v>
      </c>
      <c r="C153">
        <v>3</v>
      </c>
      <c r="D153" s="1">
        <v>27.1</v>
      </c>
      <c r="E153">
        <v>20.079999999999998</v>
      </c>
    </row>
    <row r="154" spans="1:5">
      <c r="A154">
        <v>152</v>
      </c>
      <c r="B154">
        <v>4</v>
      </c>
      <c r="C154">
        <v>1</v>
      </c>
      <c r="D154" s="1">
        <v>21.26</v>
      </c>
      <c r="E154">
        <v>28.23</v>
      </c>
    </row>
    <row r="155" spans="1:5">
      <c r="A155">
        <v>153</v>
      </c>
      <c r="B155">
        <v>5</v>
      </c>
      <c r="C155">
        <v>2</v>
      </c>
      <c r="D155" s="1">
        <v>24.8</v>
      </c>
      <c r="E155">
        <v>28.89</v>
      </c>
    </row>
    <row r="156" spans="1:5">
      <c r="A156">
        <v>154</v>
      </c>
      <c r="B156">
        <v>2</v>
      </c>
      <c r="C156">
        <v>3</v>
      </c>
      <c r="D156" s="1">
        <v>20.38</v>
      </c>
      <c r="E156">
        <v>24.32</v>
      </c>
    </row>
    <row r="157" spans="1:5">
      <c r="A157">
        <v>155</v>
      </c>
      <c r="B157">
        <v>2</v>
      </c>
      <c r="C157">
        <v>1</v>
      </c>
      <c r="D157" s="1">
        <v>21.12</v>
      </c>
      <c r="E157">
        <v>23.3</v>
      </c>
    </row>
    <row r="158" spans="1:5">
      <c r="A158">
        <v>156</v>
      </c>
      <c r="B158">
        <v>5</v>
      </c>
      <c r="C158">
        <v>1</v>
      </c>
      <c r="D158" s="1">
        <v>20.97</v>
      </c>
      <c r="E158">
        <v>28.73</v>
      </c>
    </row>
    <row r="159" spans="1:5">
      <c r="A159">
        <v>157</v>
      </c>
      <c r="B159">
        <v>2</v>
      </c>
      <c r="C159">
        <v>2</v>
      </c>
      <c r="D159" s="1">
        <v>20.48</v>
      </c>
      <c r="E159">
        <v>23.99</v>
      </c>
    </row>
    <row r="160" spans="1:5">
      <c r="A160">
        <v>158</v>
      </c>
      <c r="B160">
        <v>1</v>
      </c>
      <c r="C160">
        <v>1</v>
      </c>
      <c r="D160" s="1">
        <v>18.22</v>
      </c>
      <c r="E160">
        <v>20.59</v>
      </c>
    </row>
    <row r="161" spans="1:5">
      <c r="A161">
        <v>159</v>
      </c>
      <c r="B161">
        <v>5</v>
      </c>
      <c r="C161">
        <v>2</v>
      </c>
      <c r="D161" s="1">
        <v>23.71</v>
      </c>
      <c r="E161">
        <v>29.06</v>
      </c>
    </row>
    <row r="162" spans="1:5">
      <c r="A162">
        <v>160</v>
      </c>
      <c r="B162">
        <v>2</v>
      </c>
      <c r="C162">
        <v>5</v>
      </c>
      <c r="D162" s="1">
        <v>18.329999999999998</v>
      </c>
      <c r="E162">
        <v>23.57</v>
      </c>
    </row>
    <row r="163" spans="1:5">
      <c r="A163">
        <v>161</v>
      </c>
      <c r="B163">
        <v>3</v>
      </c>
      <c r="C163">
        <v>2</v>
      </c>
      <c r="D163" s="1">
        <v>24.31</v>
      </c>
      <c r="E163">
        <v>26.05</v>
      </c>
    </row>
    <row r="164" spans="1:5">
      <c r="A164">
        <v>162</v>
      </c>
      <c r="B164">
        <v>1</v>
      </c>
      <c r="C164">
        <v>1</v>
      </c>
      <c r="D164" s="1">
        <v>22.34</v>
      </c>
      <c r="E164">
        <v>22.04</v>
      </c>
    </row>
    <row r="165" spans="1:5">
      <c r="A165">
        <v>163</v>
      </c>
      <c r="B165">
        <v>1</v>
      </c>
      <c r="C165">
        <v>1</v>
      </c>
      <c r="D165" s="1">
        <v>23.1</v>
      </c>
      <c r="E165">
        <v>21.72</v>
      </c>
    </row>
    <row r="166" spans="1:5">
      <c r="A166">
        <v>164</v>
      </c>
      <c r="B166">
        <v>2</v>
      </c>
      <c r="C166">
        <v>3</v>
      </c>
      <c r="D166" s="1">
        <v>21.5</v>
      </c>
      <c r="E166">
        <v>23.41</v>
      </c>
    </row>
    <row r="167" spans="1:5">
      <c r="A167">
        <v>165</v>
      </c>
      <c r="B167">
        <v>2</v>
      </c>
      <c r="C167">
        <v>2</v>
      </c>
      <c r="D167" s="1">
        <v>17.670000000000002</v>
      </c>
      <c r="E167">
        <v>23.57</v>
      </c>
    </row>
    <row r="168" spans="1:5">
      <c r="A168">
        <v>166</v>
      </c>
      <c r="B168">
        <v>3</v>
      </c>
      <c r="C168">
        <v>5</v>
      </c>
      <c r="D168" s="1">
        <v>22.4</v>
      </c>
      <c r="E168">
        <v>26.36</v>
      </c>
    </row>
    <row r="169" spans="1:5">
      <c r="A169">
        <v>167</v>
      </c>
      <c r="B169">
        <v>1</v>
      </c>
      <c r="C169">
        <v>3</v>
      </c>
      <c r="D169" s="1">
        <v>22.67</v>
      </c>
      <c r="E169">
        <v>22.69</v>
      </c>
    </row>
    <row r="170" spans="1:5">
      <c r="A170">
        <v>168</v>
      </c>
      <c r="B170">
        <v>3</v>
      </c>
      <c r="C170">
        <v>7</v>
      </c>
      <c r="D170" s="1">
        <v>20.77</v>
      </c>
      <c r="E170">
        <v>26.97</v>
      </c>
    </row>
    <row r="171" spans="1:5">
      <c r="A171">
        <v>169</v>
      </c>
      <c r="B171">
        <v>3</v>
      </c>
      <c r="C171">
        <v>5</v>
      </c>
      <c r="D171" s="1">
        <v>24.81</v>
      </c>
      <c r="E171">
        <v>25.88</v>
      </c>
    </row>
    <row r="172" spans="1:5">
      <c r="A172">
        <v>170</v>
      </c>
      <c r="B172">
        <v>1</v>
      </c>
      <c r="C172">
        <v>5</v>
      </c>
      <c r="D172" s="1">
        <v>20.45</v>
      </c>
      <c r="E172">
        <v>20.47</v>
      </c>
    </row>
    <row r="173" spans="1:5">
      <c r="A173">
        <v>171</v>
      </c>
      <c r="B173">
        <v>3</v>
      </c>
      <c r="C173">
        <v>3</v>
      </c>
      <c r="D173" s="1">
        <v>15.21</v>
      </c>
      <c r="E173">
        <v>26.71</v>
      </c>
    </row>
    <row r="174" spans="1:5">
      <c r="A174">
        <v>172</v>
      </c>
      <c r="B174">
        <v>4</v>
      </c>
      <c r="C174">
        <v>5</v>
      </c>
      <c r="D174" s="1">
        <v>26.17</v>
      </c>
      <c r="E174">
        <v>27.89</v>
      </c>
    </row>
    <row r="175" spans="1:5">
      <c r="A175">
        <v>173</v>
      </c>
      <c r="B175">
        <v>3</v>
      </c>
      <c r="C175">
        <v>3</v>
      </c>
      <c r="D175" s="1">
        <v>20.62</v>
      </c>
      <c r="E175">
        <v>26.17</v>
      </c>
    </row>
    <row r="176" spans="1:5">
      <c r="A176">
        <v>174</v>
      </c>
      <c r="B176">
        <v>1</v>
      </c>
      <c r="C176">
        <v>2</v>
      </c>
      <c r="D176" s="1">
        <v>17.54</v>
      </c>
      <c r="E176">
        <v>20.99</v>
      </c>
    </row>
    <row r="177" spans="1:5">
      <c r="A177">
        <v>175</v>
      </c>
      <c r="B177">
        <v>2</v>
      </c>
      <c r="C177">
        <v>4</v>
      </c>
      <c r="D177" s="1">
        <v>26.03</v>
      </c>
      <c r="E177">
        <v>23.85</v>
      </c>
    </row>
    <row r="178" spans="1:5">
      <c r="A178">
        <v>176</v>
      </c>
      <c r="B178">
        <v>1</v>
      </c>
      <c r="C178">
        <v>3</v>
      </c>
      <c r="D178" s="1">
        <v>15.98</v>
      </c>
      <c r="E178">
        <v>21.23</v>
      </c>
    </row>
    <row r="179" spans="1:5">
      <c r="A179">
        <v>177</v>
      </c>
      <c r="B179">
        <v>3</v>
      </c>
      <c r="C179">
        <v>2</v>
      </c>
      <c r="D179" s="1">
        <v>21.02</v>
      </c>
      <c r="E179">
        <v>25.94</v>
      </c>
    </row>
    <row r="180" spans="1:5">
      <c r="A180">
        <v>178</v>
      </c>
      <c r="B180">
        <v>2</v>
      </c>
      <c r="C180">
        <v>3</v>
      </c>
      <c r="D180" s="1">
        <v>20.21</v>
      </c>
      <c r="E180">
        <v>24</v>
      </c>
    </row>
    <row r="181" spans="1:5">
      <c r="A181">
        <v>179</v>
      </c>
      <c r="B181">
        <v>5</v>
      </c>
      <c r="C181">
        <v>3</v>
      </c>
      <c r="D181" s="1">
        <v>26.98</v>
      </c>
      <c r="E181">
        <v>28.68</v>
      </c>
    </row>
    <row r="182" spans="1:5">
      <c r="A182">
        <v>180</v>
      </c>
      <c r="B182">
        <v>1</v>
      </c>
      <c r="C182">
        <v>5</v>
      </c>
      <c r="D182" s="1">
        <v>19.39</v>
      </c>
      <c r="E182">
        <v>22.57</v>
      </c>
    </row>
    <row r="183" spans="1:5">
      <c r="A183">
        <v>181</v>
      </c>
      <c r="B183">
        <v>2</v>
      </c>
      <c r="C183">
        <v>3</v>
      </c>
      <c r="D183" s="1">
        <v>22.72</v>
      </c>
      <c r="E183">
        <v>24.82</v>
      </c>
    </row>
    <row r="184" spans="1:5">
      <c r="A184">
        <v>182</v>
      </c>
      <c r="B184">
        <v>4</v>
      </c>
      <c r="C184">
        <v>2</v>
      </c>
      <c r="D184" s="1">
        <v>19.71</v>
      </c>
      <c r="E184">
        <v>27.67</v>
      </c>
    </row>
    <row r="185" spans="1:5">
      <c r="A185">
        <v>183</v>
      </c>
      <c r="B185">
        <v>2</v>
      </c>
      <c r="C185">
        <v>2</v>
      </c>
      <c r="D185" s="1">
        <v>21.46</v>
      </c>
      <c r="E185">
        <v>24.89</v>
      </c>
    </row>
    <row r="186" spans="1:5">
      <c r="A186">
        <v>184</v>
      </c>
      <c r="B186">
        <v>3</v>
      </c>
      <c r="C186">
        <v>1</v>
      </c>
      <c r="D186" s="1">
        <v>21.11</v>
      </c>
      <c r="E186">
        <v>25.68</v>
      </c>
    </row>
    <row r="187" spans="1:5">
      <c r="A187">
        <v>185</v>
      </c>
      <c r="B187">
        <v>1</v>
      </c>
      <c r="C187">
        <v>2</v>
      </c>
      <c r="D187" s="1">
        <v>28.79</v>
      </c>
      <c r="E187">
        <v>20.34</v>
      </c>
    </row>
    <row r="188" spans="1:5">
      <c r="A188">
        <v>186</v>
      </c>
      <c r="B188">
        <v>1</v>
      </c>
      <c r="C188">
        <v>3</v>
      </c>
      <c r="D188" s="1">
        <v>21.5</v>
      </c>
      <c r="E188">
        <v>20.58</v>
      </c>
    </row>
    <row r="189" spans="1:5">
      <c r="A189">
        <v>187</v>
      </c>
      <c r="B189">
        <v>1</v>
      </c>
      <c r="C189">
        <v>2</v>
      </c>
      <c r="D189" s="1">
        <v>21.09</v>
      </c>
      <c r="E189">
        <v>22.52</v>
      </c>
    </row>
    <row r="190" spans="1:5">
      <c r="A190">
        <v>188</v>
      </c>
      <c r="B190">
        <v>4</v>
      </c>
      <c r="C190">
        <v>4</v>
      </c>
      <c r="D190" s="1">
        <v>19.18</v>
      </c>
      <c r="E190">
        <v>27.52</v>
      </c>
    </row>
    <row r="191" spans="1:5">
      <c r="A191">
        <v>189</v>
      </c>
      <c r="B191">
        <v>6</v>
      </c>
      <c r="C191">
        <v>2</v>
      </c>
      <c r="D191" s="1">
        <v>23.57</v>
      </c>
      <c r="E191">
        <v>29.69</v>
      </c>
    </row>
    <row r="192" spans="1:5">
      <c r="A192">
        <v>190</v>
      </c>
      <c r="B192">
        <v>2</v>
      </c>
      <c r="C192">
        <v>2</v>
      </c>
      <c r="D192" s="1">
        <v>21.84</v>
      </c>
      <c r="E192">
        <v>25.12</v>
      </c>
    </row>
    <row r="193" spans="1:5">
      <c r="A193">
        <v>191</v>
      </c>
      <c r="B193">
        <v>5</v>
      </c>
      <c r="C193">
        <v>4</v>
      </c>
      <c r="D193" s="1">
        <v>19.559999999999999</v>
      </c>
      <c r="E193">
        <v>28.77</v>
      </c>
    </row>
    <row r="194" spans="1:5">
      <c r="A194">
        <v>192</v>
      </c>
      <c r="B194">
        <v>6</v>
      </c>
      <c r="C194">
        <v>2</v>
      </c>
      <c r="D194" s="1">
        <v>21.76</v>
      </c>
      <c r="E194">
        <v>29.54</v>
      </c>
    </row>
    <row r="195" spans="1:5">
      <c r="A195">
        <v>193</v>
      </c>
      <c r="B195">
        <v>3</v>
      </c>
      <c r="C195">
        <v>1</v>
      </c>
      <c r="D195" s="1">
        <v>20.8</v>
      </c>
      <c r="E195">
        <v>25.77</v>
      </c>
    </row>
    <row r="196" spans="1:5">
      <c r="A196">
        <v>194</v>
      </c>
      <c r="B196">
        <v>5</v>
      </c>
      <c r="C196">
        <v>3</v>
      </c>
      <c r="D196" s="1">
        <v>27.51</v>
      </c>
      <c r="E196">
        <v>28.86</v>
      </c>
    </row>
    <row r="197" spans="1:5">
      <c r="A197">
        <v>195</v>
      </c>
      <c r="B197">
        <v>4</v>
      </c>
      <c r="C197">
        <v>4</v>
      </c>
      <c r="D197" s="1">
        <v>17.18</v>
      </c>
      <c r="E197">
        <v>27.22</v>
      </c>
    </row>
    <row r="198" spans="1:5">
      <c r="A198">
        <v>196</v>
      </c>
      <c r="B198">
        <v>2</v>
      </c>
      <c r="C198">
        <v>3</v>
      </c>
      <c r="D198" s="1">
        <v>18.29</v>
      </c>
      <c r="E198">
        <v>23.02</v>
      </c>
    </row>
    <row r="199" spans="1:5">
      <c r="A199">
        <v>197</v>
      </c>
      <c r="B199">
        <v>2</v>
      </c>
      <c r="C199">
        <v>3</v>
      </c>
      <c r="D199" s="1">
        <v>22.87</v>
      </c>
      <c r="E199">
        <v>24.76</v>
      </c>
    </row>
    <row r="200" spans="1:5">
      <c r="A200">
        <v>198</v>
      </c>
      <c r="B200">
        <v>6</v>
      </c>
      <c r="C200">
        <v>1</v>
      </c>
      <c r="D200" s="1">
        <v>25.94</v>
      </c>
      <c r="E200">
        <v>29.68</v>
      </c>
    </row>
    <row r="201" spans="1:5">
      <c r="A201">
        <v>199</v>
      </c>
      <c r="B201">
        <v>1</v>
      </c>
      <c r="C201">
        <v>3</v>
      </c>
      <c r="D201" s="1">
        <v>23.69</v>
      </c>
      <c r="E201">
        <v>22.81</v>
      </c>
    </row>
    <row r="202" spans="1:5">
      <c r="A202">
        <v>200</v>
      </c>
      <c r="B202">
        <v>2</v>
      </c>
      <c r="C202">
        <v>4</v>
      </c>
      <c r="D202" s="1">
        <v>17.25</v>
      </c>
      <c r="E202">
        <v>23.14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58"/>
  <sheetViews>
    <sheetView topLeftCell="A91" zoomScale="75" zoomScaleNormal="80" workbookViewId="0">
      <selection activeCell="B114" sqref="B114"/>
    </sheetView>
  </sheetViews>
  <sheetFormatPr defaultColWidth="8.875" defaultRowHeight="15.95"/>
  <cols>
    <col min="1" max="1" width="17.5" customWidth="1"/>
    <col min="2" max="2" width="35" customWidth="1"/>
    <col min="3" max="3" width="21.875" customWidth="1"/>
    <col min="4" max="4" width="21.5" customWidth="1"/>
    <col min="5" max="5" width="21.375" customWidth="1"/>
    <col min="6" max="6" width="21.5" customWidth="1"/>
    <col min="7" max="7" width="21.375" customWidth="1"/>
    <col min="8" max="13" width="21.5" customWidth="1"/>
  </cols>
  <sheetData>
    <row r="1" spans="1:21">
      <c r="A1" s="153" t="s">
        <v>5</v>
      </c>
      <c r="B1" s="154"/>
      <c r="C1" s="154"/>
      <c r="D1" s="154"/>
      <c r="E1" s="154"/>
      <c r="F1" s="154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>
      <c r="A2" s="154"/>
      <c r="B2" s="154"/>
      <c r="C2" s="154"/>
      <c r="D2" s="154"/>
      <c r="E2" s="154"/>
      <c r="F2" s="154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1:21">
      <c r="A3" s="154"/>
      <c r="B3" s="154"/>
      <c r="C3" s="154"/>
      <c r="D3" s="154"/>
      <c r="E3" s="154"/>
      <c r="F3" s="154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1:2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 spans="1:2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 spans="1:21">
      <c r="A7" s="3"/>
      <c r="B7" s="3"/>
      <c r="C7" s="3"/>
      <c r="D7" s="3"/>
      <c r="E7" s="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 spans="1:21">
      <c r="A8" s="3"/>
      <c r="B8" s="3"/>
      <c r="C8" s="3"/>
      <c r="D8" s="3"/>
      <c r="E8" s="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 spans="1:21">
      <c r="A9" s="3"/>
      <c r="B9" s="3"/>
      <c r="C9" s="3"/>
      <c r="D9" s="3"/>
      <c r="E9" s="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 spans="1:2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 spans="1:2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 spans="1:2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 spans="1:2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 spans="1:2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 spans="1:2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 spans="1:21">
      <c r="A16" s="2" t="s">
        <v>6</v>
      </c>
      <c r="B16" s="2"/>
      <c r="C16" s="2">
        <f>200</f>
        <v>200</v>
      </c>
      <c r="D16" s="2"/>
      <c r="E16" s="2"/>
      <c r="F16" s="2"/>
      <c r="G16" s="2"/>
      <c r="H16" s="2"/>
      <c r="I16" s="2"/>
      <c r="J16" s="2" t="s">
        <v>6</v>
      </c>
      <c r="K16" s="2"/>
      <c r="L16" s="2">
        <f>200</f>
        <v>200</v>
      </c>
      <c r="M16" s="2"/>
      <c r="N16" s="2"/>
      <c r="O16" s="2"/>
      <c r="P16" s="2"/>
      <c r="Q16" s="2"/>
      <c r="R16" s="2"/>
      <c r="S16" s="2"/>
      <c r="T16" s="2"/>
      <c r="U16" s="2"/>
    </row>
    <row r="17" spans="1:2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 spans="1:2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 spans="1:2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 spans="1:2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</row>
    <row r="21" spans="1:21">
      <c r="A21" s="3"/>
      <c r="B21" s="3"/>
      <c r="C21" s="3"/>
      <c r="D21" s="3"/>
      <c r="E21" s="3"/>
      <c r="F21" s="2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2"/>
    </row>
    <row r="22" spans="1:21">
      <c r="A22" s="3"/>
      <c r="B22" s="3"/>
      <c r="C22" s="3"/>
      <c r="D22" s="3"/>
      <c r="E22" s="3"/>
      <c r="F22" s="2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2"/>
    </row>
    <row r="23" spans="1:21">
      <c r="A23" s="3"/>
      <c r="B23" s="3"/>
      <c r="C23" s="3"/>
      <c r="D23" s="3"/>
      <c r="E23" s="3"/>
      <c r="F23" s="2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2"/>
    </row>
    <row r="24" spans="1:2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spans="1:2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spans="1:2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spans="1:2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spans="1:21">
      <c r="A28" s="2"/>
      <c r="B28" t="s">
        <v>7</v>
      </c>
      <c r="C28" t="s">
        <v>8</v>
      </c>
      <c r="D28" t="s">
        <v>9</v>
      </c>
      <c r="E28" t="s">
        <v>10</v>
      </c>
      <c r="F28" t="s">
        <v>11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spans="1:21">
      <c r="A29" s="2"/>
      <c r="B29">
        <v>1</v>
      </c>
      <c r="C29" s="5">
        <f>COUNTIF(Dados!B3:B202,Tabela7[[#This Row],[Número de apartamentos vendidos]])</f>
        <v>59</v>
      </c>
      <c r="D29" s="4">
        <f>Tabela7[[#This Row],[Frequência absoluta ni]]/C37</f>
        <v>0.29499999999999998</v>
      </c>
      <c r="E29" s="5">
        <f>C29</f>
        <v>59</v>
      </c>
      <c r="F29" s="4">
        <f>Tabela7[[#This Row],[Frequência relativa fi]]</f>
        <v>0.29499999999999998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spans="1:21">
      <c r="A30" s="2"/>
      <c r="B30">
        <v>2</v>
      </c>
      <c r="C30" s="5">
        <f>COUNTIF(Dados!B3:B202,Tabela7[[#This Row],[Número de apartamentos vendidos]])</f>
        <v>53</v>
      </c>
      <c r="D30" s="4">
        <f>Tabela7[[#This Row],[Frequência absoluta ni]]/C37</f>
        <v>0.26500000000000001</v>
      </c>
      <c r="E30" s="5">
        <f>Tabela7[[#This Row],[Frequência absoluta ni]]+E29</f>
        <v>112</v>
      </c>
      <c r="F30" s="4">
        <f>Tabela7[[#This Row],[Frequência relativa fi]]+F29</f>
        <v>0.56000000000000005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spans="1:21">
      <c r="A31" s="2"/>
      <c r="B31">
        <v>3</v>
      </c>
      <c r="C31" s="5">
        <f>COUNTIF(Dados!B3:B202,Tabela7[[#This Row],[Número de apartamentos vendidos]])</f>
        <v>36</v>
      </c>
      <c r="D31" s="4">
        <f>Tabela7[[#This Row],[Frequência absoluta ni]]/C37</f>
        <v>0.18</v>
      </c>
      <c r="E31" s="5">
        <f>Tabela7[[#This Row],[Frequência absoluta ni]]+E30</f>
        <v>148</v>
      </c>
      <c r="F31" s="4">
        <f>Tabela7[[#This Row],[Frequência relativa fi]]+F30</f>
        <v>0.74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spans="1:21">
      <c r="A32" s="2"/>
      <c r="B32">
        <v>4</v>
      </c>
      <c r="C32" s="5">
        <f>COUNTIF(Dados!B3:B202,Tabela7[[#This Row],[Número de apartamentos vendidos]])</f>
        <v>21</v>
      </c>
      <c r="D32" s="4">
        <f>Tabela7[[#This Row],[Frequência absoluta ni]]/C37</f>
        <v>0.105</v>
      </c>
      <c r="E32" s="5">
        <f>Tabela7[[#This Row],[Frequência absoluta ni]]+E31</f>
        <v>169</v>
      </c>
      <c r="F32" s="4">
        <f>Tabela7[[#This Row],[Frequência relativa fi]]+F31</f>
        <v>0.84499999999999997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  <row r="33" spans="1:21">
      <c r="A33" s="2"/>
      <c r="B33">
        <v>5</v>
      </c>
      <c r="C33" s="5">
        <f>COUNTIF(Dados!B3:B202,Tabela7[[#This Row],[Número de apartamentos vendidos]])</f>
        <v>19</v>
      </c>
      <c r="D33" s="4">
        <f>Tabela7[[#This Row],[Frequência absoluta ni]]/C37</f>
        <v>9.5000000000000001E-2</v>
      </c>
      <c r="E33" s="5">
        <f>Tabela7[[#This Row],[Frequência absoluta ni]]+E32</f>
        <v>188</v>
      </c>
      <c r="F33" s="4">
        <f>Tabela7[[#This Row],[Frequência relativa fi]]+F32</f>
        <v>0.94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</row>
    <row r="34" spans="1:21">
      <c r="A34" s="2"/>
      <c r="B34">
        <v>6</v>
      </c>
      <c r="C34" s="5">
        <f>COUNTIF(Dados!B3:B202,Tabela7[[#This Row],[Número de apartamentos vendidos]])</f>
        <v>11</v>
      </c>
      <c r="D34" s="4">
        <f>Tabela7[[#This Row],[Frequência absoluta ni]]/C37</f>
        <v>5.5E-2</v>
      </c>
      <c r="E34" s="5">
        <f>Tabela7[[#This Row],[Frequência absoluta ni]]+E33</f>
        <v>199</v>
      </c>
      <c r="F34" s="4">
        <f>Tabela7[[#This Row],[Frequência relativa fi]]+F33</f>
        <v>0.995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spans="1:21">
      <c r="A35" s="2"/>
      <c r="B35">
        <v>7</v>
      </c>
      <c r="C35" s="5">
        <f>COUNTIF(Dados!B3:B202,Tabela7[[#This Row],[Número de apartamentos vendidos]])</f>
        <v>1</v>
      </c>
      <c r="D35" s="4">
        <f>Tabela7[[#This Row],[Frequência absoluta ni]]/C37</f>
        <v>5.0000000000000001E-3</v>
      </c>
      <c r="E35" s="5">
        <f>Tabela7[[#This Row],[Frequência absoluta ni]]+E34</f>
        <v>200</v>
      </c>
      <c r="F35" s="4">
        <f>D35+F34</f>
        <v>1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spans="1:2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spans="1:21">
      <c r="A37" s="2"/>
      <c r="B37" s="2" t="s">
        <v>12</v>
      </c>
      <c r="C37" s="2">
        <f>SUM(Tabela7[Frequência absoluta ni])</f>
        <v>200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spans="1:2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spans="1:2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spans="1:2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spans="1:2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spans="1:2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spans="1:21">
      <c r="A43" s="2"/>
      <c r="B43" t="s">
        <v>7</v>
      </c>
      <c r="C43" t="s">
        <v>8</v>
      </c>
      <c r="D43" t="s">
        <v>9</v>
      </c>
      <c r="E43" t="s">
        <v>10</v>
      </c>
      <c r="F43" t="s">
        <v>11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spans="1:21">
      <c r="A44" s="2"/>
      <c r="B44">
        <v>1</v>
      </c>
      <c r="C44" s="5">
        <f>COUNTIF(Dados!C1:C200,Tabela711[[#This Row],[Número de apartamentos vendidos]])</f>
        <v>38</v>
      </c>
      <c r="D44" s="4">
        <f>Tabela711[[#This Row],[Frequência absoluta ni]]/C52</f>
        <v>0.19</v>
      </c>
      <c r="E44" s="5">
        <f>C44</f>
        <v>38</v>
      </c>
      <c r="F44" s="4">
        <f>Tabela711[[#This Row],[Frequência relativa fi]]</f>
        <v>0.19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spans="1:21">
      <c r="A45" s="2"/>
      <c r="B45">
        <v>2</v>
      </c>
      <c r="C45" s="5">
        <f>COUNTIF(Dados!C2:C201,Tabela711[[#This Row],[Número de apartamentos vendidos]])</f>
        <v>57</v>
      </c>
      <c r="D45" s="4">
        <f>Tabela711[[#This Row],[Frequência absoluta ni]]/C52</f>
        <v>0.28499999999999998</v>
      </c>
      <c r="E45" s="5">
        <f>Tabela711[[#This Row],[Frequência absoluta ni]]+E44</f>
        <v>95</v>
      </c>
      <c r="F45" s="4">
        <f>Tabela711[[#This Row],[Frequência relativa fi]]+F44</f>
        <v>0.47499999999999998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spans="1:21">
      <c r="A46" s="2"/>
      <c r="B46">
        <v>3</v>
      </c>
      <c r="C46" s="5">
        <f>COUNTIF(Dados!C3:C202,Tabela711[[#This Row],[Número de apartamentos vendidos]])</f>
        <v>51</v>
      </c>
      <c r="D46" s="4">
        <f>Tabela711[[#This Row],[Frequência absoluta ni]]/C52</f>
        <v>0.255</v>
      </c>
      <c r="E46" s="5">
        <f>Tabela711[[#This Row],[Frequência absoluta ni]]+E45</f>
        <v>146</v>
      </c>
      <c r="F46" s="4">
        <f>Tabela711[[#This Row],[Frequência relativa fi]]+F45</f>
        <v>0.73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spans="1:21">
      <c r="A47" s="2"/>
      <c r="B47">
        <v>4</v>
      </c>
      <c r="C47" s="5">
        <f>COUNTIF(Dados!C3:C202,Tabela711[[#This Row],[Número de apartamentos vendidos]])</f>
        <v>25</v>
      </c>
      <c r="D47" s="4">
        <f>Tabela711[[#This Row],[Frequência absoluta ni]]/C52</f>
        <v>0.125</v>
      </c>
      <c r="E47" s="5">
        <f>Tabela711[[#This Row],[Frequência absoluta ni]]+E46</f>
        <v>171</v>
      </c>
      <c r="F47" s="4">
        <f>Tabela711[[#This Row],[Frequência relativa fi]]+F46</f>
        <v>0.85499999999999998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spans="1:21">
      <c r="A48" s="2"/>
      <c r="B48">
        <v>5</v>
      </c>
      <c r="C48" s="5">
        <f>COUNTIF(Dados!C3:C202,Tabela711[[#This Row],[Número de apartamentos vendidos]])</f>
        <v>18</v>
      </c>
      <c r="D48" s="4">
        <f>Tabela711[[#This Row],[Frequência absoluta ni]]/C52</f>
        <v>0.09</v>
      </c>
      <c r="E48" s="5">
        <f>Tabela711[[#This Row],[Frequência absoluta ni]]+E47</f>
        <v>189</v>
      </c>
      <c r="F48" s="4">
        <f>Tabela711[[#This Row],[Frequência relativa fi]]+F47</f>
        <v>0.94499999999999995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</row>
    <row r="49" spans="1:21">
      <c r="A49" s="2"/>
      <c r="B49">
        <v>6</v>
      </c>
      <c r="C49" s="5">
        <f>COUNTIF(Dados!C3:C202,Tabela711[[#This Row],[Número de apartamentos vendidos]])</f>
        <v>7</v>
      </c>
      <c r="D49" s="4">
        <f>Tabela711[[#This Row],[Frequência absoluta ni]]/C52</f>
        <v>3.5000000000000003E-2</v>
      </c>
      <c r="E49" s="5">
        <f>Tabela711[[#This Row],[Frequência absoluta ni]]+E48</f>
        <v>196</v>
      </c>
      <c r="F49" s="4">
        <f>Tabela711[[#This Row],[Frequência relativa fi]]+F48</f>
        <v>0.98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</row>
    <row r="50" spans="1:21">
      <c r="A50" s="2"/>
      <c r="B50">
        <v>7</v>
      </c>
      <c r="C50" s="5">
        <f>COUNTIF(Dados!C3:C202,Tabela711[[#This Row],[Número de apartamentos vendidos]])</f>
        <v>4</v>
      </c>
      <c r="D50" s="4">
        <f>Tabela711[[#This Row],[Frequência absoluta ni]]/C52</f>
        <v>0.02</v>
      </c>
      <c r="E50" s="5">
        <f>Tabela711[[#This Row],[Frequência absoluta ni]]+E49</f>
        <v>200</v>
      </c>
      <c r="F50" s="4">
        <f>D50+F49</f>
        <v>1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</row>
    <row r="51" spans="1:2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</row>
    <row r="52" spans="1:21">
      <c r="A52" s="2"/>
      <c r="B52" s="2" t="s">
        <v>12</v>
      </c>
      <c r="C52" s="2">
        <f>200</f>
        <v>200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</row>
    <row r="53" spans="1:2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</row>
    <row r="54" spans="1:2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</row>
    <row r="55" spans="1:2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</row>
    <row r="56" spans="1:2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</row>
    <row r="57" spans="1:2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</row>
    <row r="58" spans="1:2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spans="1:2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spans="1:2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spans="1:2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spans="1:2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spans="1:2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spans="1:2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spans="1:21">
      <c r="A65" s="3"/>
      <c r="B65" s="3"/>
      <c r="C65" s="3"/>
      <c r="D65" s="3"/>
      <c r="E65" s="3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spans="1:21">
      <c r="A66" s="3"/>
      <c r="B66" s="3"/>
      <c r="C66" s="3"/>
      <c r="D66" s="3"/>
      <c r="E66" s="3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spans="1:21">
      <c r="A67" s="3"/>
      <c r="B67" s="3"/>
      <c r="C67" s="3"/>
      <c r="D67" s="3"/>
      <c r="E67" s="3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spans="1:2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spans="1:2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spans="1:2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spans="1:2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spans="1:21" ht="33.950000000000003">
      <c r="A72" s="2"/>
      <c r="B72" s="6" t="s">
        <v>13</v>
      </c>
      <c r="C72" s="6" t="s">
        <v>14</v>
      </c>
      <c r="D72" s="6" t="s">
        <v>15</v>
      </c>
      <c r="E72" s="2"/>
      <c r="F72" s="6" t="s">
        <v>13</v>
      </c>
      <c r="G72" s="6" t="s">
        <v>14</v>
      </c>
      <c r="H72" s="6" t="s">
        <v>15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spans="1:21">
      <c r="A73" s="2"/>
      <c r="B73" s="7" t="s">
        <v>16</v>
      </c>
      <c r="C73" s="8">
        <f>AVERAGE(Dados!B3:B202)</f>
        <v>2.625</v>
      </c>
      <c r="D73" s="8">
        <f>SUMPRODUCT(Tabela7[Número de apartamentos vendidos],Tabela7[Frequência absoluta ni])/C52</f>
        <v>2.625</v>
      </c>
      <c r="E73" s="2"/>
      <c r="F73" s="7" t="s">
        <v>16</v>
      </c>
      <c r="G73" s="8">
        <f>AVERAGE(Dados!C3:C202)</f>
        <v>2.8250000000000002</v>
      </c>
      <c r="H73" s="8">
        <f>SUMPRODUCT(Tabela711[Número de apartamentos vendidos],Tabela711[Frequência absoluta ni])/C52</f>
        <v>2.8250000000000002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spans="1:21">
      <c r="A74" s="2"/>
      <c r="B74" s="7" t="s">
        <v>17</v>
      </c>
      <c r="C74" s="7">
        <f>MEDIAN(Dados!B3:B202)</f>
        <v>2</v>
      </c>
      <c r="D74" s="9"/>
      <c r="E74" s="2"/>
      <c r="F74" s="7" t="s">
        <v>17</v>
      </c>
      <c r="G74" s="7">
        <f>MEDIAN(Dados!C3:C202)</f>
        <v>3</v>
      </c>
      <c r="H74" s="9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spans="1:21">
      <c r="A75" s="2"/>
      <c r="B75" s="7" t="s">
        <v>18</v>
      </c>
      <c r="C75" s="7">
        <f>MODE(Dados!B3:B202)</f>
        <v>1</v>
      </c>
      <c r="D75" s="7">
        <f>INDEX(Tabela7[Número de apartamentos vendidos],MATCH(MAX(Tabela7[Frequência absoluta ni]),Tabela7[Frequência absoluta ni],0),1)</f>
        <v>1</v>
      </c>
      <c r="E75" s="2"/>
      <c r="F75" s="7" t="s">
        <v>18</v>
      </c>
      <c r="G75" s="7">
        <f>MODE(Dados!C3:C202)</f>
        <v>2</v>
      </c>
      <c r="H75" s="7">
        <f>INDEX(Tabela711[Número de apartamentos vendidos],MATCH(MAX(Tabela711[Frequência absoluta ni]),Tabela711[Frequência absoluta ni],0),1)</f>
        <v>2</v>
      </c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spans="1:2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</row>
    <row r="77" spans="1:2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</row>
    <row r="78" spans="1:2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</row>
    <row r="79" spans="1:2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</row>
    <row r="80" spans="1:2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</row>
    <row r="81" spans="1:2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</row>
    <row r="82" spans="1:2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</row>
    <row r="83" spans="1:2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</row>
    <row r="84" spans="1:2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</row>
    <row r="85" spans="1:21">
      <c r="A85" s="3"/>
      <c r="B85" s="3"/>
      <c r="C85" s="3"/>
      <c r="D85" s="3"/>
      <c r="E85" s="3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</row>
    <row r="86" spans="1:21">
      <c r="A86" s="3"/>
      <c r="B86" s="3"/>
      <c r="C86" s="3"/>
      <c r="D86" s="3"/>
      <c r="E86" s="3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</row>
    <row r="87" spans="1:21">
      <c r="A87" s="3"/>
      <c r="B87" s="3"/>
      <c r="C87" s="3"/>
      <c r="D87" s="3"/>
      <c r="E87" s="3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</row>
    <row r="88" spans="1:2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</row>
    <row r="89" spans="1:2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</row>
    <row r="90" spans="1:21">
      <c r="A90" s="2"/>
      <c r="B90" s="7" t="s">
        <v>19</v>
      </c>
      <c r="C90" s="7" t="s">
        <v>14</v>
      </c>
      <c r="D90" s="2"/>
      <c r="E90" s="7" t="s">
        <v>19</v>
      </c>
      <c r="F90" s="7" t="s">
        <v>14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</row>
    <row r="91" spans="1:21">
      <c r="A91" s="2"/>
      <c r="B91" s="7" t="s">
        <v>20</v>
      </c>
      <c r="C91" s="8">
        <f>_xlfn.STDEV.S(Dados!B3:B202)</f>
        <v>1.5415110383669119</v>
      </c>
      <c r="D91" s="2"/>
      <c r="E91" s="7" t="s">
        <v>20</v>
      </c>
      <c r="F91" s="8">
        <f>_xlfn.STDEV.S(Dados!C2:C201)</f>
        <v>1.465921706788595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</row>
    <row r="92" spans="1:2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</row>
    <row r="93" spans="1:2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</row>
    <row r="94" spans="1:21" ht="17.100000000000001">
      <c r="A94" s="2"/>
      <c r="B94" s="10" t="s">
        <v>21</v>
      </c>
      <c r="C94" s="10" t="s">
        <v>14</v>
      </c>
      <c r="D94" s="2"/>
      <c r="E94" s="10" t="s">
        <v>21</v>
      </c>
      <c r="F94" s="10" t="s">
        <v>14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</row>
    <row r="95" spans="1:21">
      <c r="A95" s="2"/>
      <c r="B95" s="11" t="s">
        <v>22</v>
      </c>
      <c r="C95" s="12">
        <f>C73-Tabela211[rotina direta]</f>
        <v>1.0834889616330881</v>
      </c>
      <c r="D95" s="2"/>
      <c r="E95" s="11" t="s">
        <v>22</v>
      </c>
      <c r="F95" s="12">
        <f>G73-Tabela21115[rotina direta]</f>
        <v>1.3590782932114052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</row>
    <row r="96" spans="1:21">
      <c r="A96" s="2"/>
      <c r="B96" s="7" t="s">
        <v>23</v>
      </c>
      <c r="C96" s="8">
        <f>C73+Tabela211[rotina direta]</f>
        <v>4.1665110383669122</v>
      </c>
      <c r="D96" s="2"/>
      <c r="E96" s="7" t="s">
        <v>23</v>
      </c>
      <c r="F96" s="8">
        <f>G73+Tabela21115[rotina direta]</f>
        <v>4.2909217067885947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</row>
    <row r="97" spans="1:2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</row>
    <row r="98" spans="1:21">
      <c r="A98" s="2"/>
      <c r="B98" s="2" t="s">
        <v>24</v>
      </c>
      <c r="C98" s="2">
        <f>SUMIF(Tabela7[Número de apartamentos vendidos],"&lt;"&amp;C96,Tabela7[Frequência absoluta ni])-SUMIF(Tabela7[Número de apartamentos vendidos],"&lt;"&amp;C95,Tabela7[Frequência absoluta ni])</f>
        <v>110</v>
      </c>
      <c r="D98" s="2"/>
      <c r="E98" s="2" t="s">
        <v>24</v>
      </c>
      <c r="F98" s="2">
        <f>SUMIF(Tabela711[Número de apartamentos vendidos],"&lt;"&amp;C96,Tabela711[Frequência absoluta ni])-SUMIF(Tabela711[Número de apartamentos vendidos],"&lt;"&amp;C95,Tabela711[Frequência absoluta ni])</f>
        <v>133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</row>
    <row r="99" spans="1:2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</row>
    <row r="100" spans="1:2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</row>
    <row r="101" spans="1:2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</row>
    <row r="102" spans="1:2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</row>
    <row r="103" spans="1:2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</row>
    <row r="104" spans="1:2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</row>
    <row r="105" spans="1:2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</row>
    <row r="106" spans="1:2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</row>
    <row r="107" spans="1:21">
      <c r="A107" s="3"/>
      <c r="B107" s="3"/>
      <c r="C107" s="3"/>
      <c r="D107" s="3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</row>
    <row r="108" spans="1:21">
      <c r="A108" s="3"/>
      <c r="B108" s="3"/>
      <c r="C108" s="3"/>
      <c r="D108" s="3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</row>
    <row r="109" spans="1:21">
      <c r="A109" s="3"/>
      <c r="B109" s="3"/>
      <c r="C109" s="3"/>
      <c r="D109" s="3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</row>
    <row r="110" spans="1:2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</row>
    <row r="111" spans="1:2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</row>
    <row r="112" spans="1:21">
      <c r="A112" s="2"/>
      <c r="B112" s="83"/>
      <c r="C112" s="83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</row>
    <row r="113" spans="1:21" ht="21">
      <c r="A113" s="42"/>
      <c r="B113" s="113" t="s">
        <v>25</v>
      </c>
      <c r="C113" s="113" t="s">
        <v>26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</row>
    <row r="114" spans="1:21">
      <c r="A114" s="111" t="s">
        <v>27</v>
      </c>
      <c r="B114" s="112">
        <f>_xlfn.PERCENTILE.INC(Dados!B3:B202,0.25)</f>
        <v>1</v>
      </c>
      <c r="C114" s="112">
        <f>_xlfn.PERCENTILE.INC(Dados!C3:C202,0.25)</f>
        <v>2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</row>
    <row r="115" spans="1:2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</row>
    <row r="116" spans="1:21">
      <c r="A116" s="2"/>
      <c r="B116" s="164" t="s">
        <v>28</v>
      </c>
      <c r="C116" s="165"/>
      <c r="D116" s="165"/>
      <c r="E116" s="165"/>
      <c r="F116" s="166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</row>
    <row r="117" spans="1:21">
      <c r="A117" s="2"/>
      <c r="B117" s="167"/>
      <c r="C117" s="168"/>
      <c r="D117" s="168"/>
      <c r="E117" s="168"/>
      <c r="F117" s="169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</row>
    <row r="118" spans="1:21">
      <c r="A118" s="2"/>
      <c r="B118" s="167"/>
      <c r="C118" s="168"/>
      <c r="D118" s="168"/>
      <c r="E118" s="168"/>
      <c r="F118" s="169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</row>
    <row r="119" spans="1:21">
      <c r="A119" s="2"/>
      <c r="B119" s="170"/>
      <c r="C119" s="171"/>
      <c r="D119" s="171"/>
      <c r="E119" s="171"/>
      <c r="F119" s="17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</row>
    <row r="120" spans="1:21">
      <c r="A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</row>
    <row r="121" spans="1:21">
      <c r="A121" s="15"/>
      <c r="B121" s="15"/>
      <c r="C121" s="15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</row>
    <row r="122" spans="1:21">
      <c r="A122" s="15"/>
      <c r="B122" s="15"/>
      <c r="C122" s="15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</row>
    <row r="123" spans="1:2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</row>
    <row r="124" spans="1:2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</row>
    <row r="125" spans="1:21">
      <c r="A125" s="2"/>
      <c r="B125" s="7" t="s">
        <v>29</v>
      </c>
      <c r="C125" s="7" t="s">
        <v>30</v>
      </c>
      <c r="D125" s="2"/>
      <c r="E125" s="7" t="s">
        <v>29</v>
      </c>
      <c r="F125" s="7" t="s">
        <v>30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</row>
    <row r="126" spans="1:21">
      <c r="A126" s="2"/>
      <c r="B126" s="7" t="s">
        <v>31</v>
      </c>
      <c r="C126" s="7"/>
      <c r="D126" s="2"/>
      <c r="E126" s="7" t="s">
        <v>31</v>
      </c>
      <c r="F126" s="7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</row>
    <row r="127" spans="1:21">
      <c r="A127" s="2"/>
      <c r="B127" s="7" t="s">
        <v>32</v>
      </c>
      <c r="C127" s="7" t="str">
        <f>IF(C73&gt;C74 &amp; C74&gt;C75,"Sim",Não)</f>
        <v>Sim</v>
      </c>
      <c r="D127" s="2"/>
      <c r="E127" s="7" t="s">
        <v>32</v>
      </c>
      <c r="F127" s="7" t="str">
        <f>IF(G73&gt;G74 &amp; G74&gt;G75,"Sim",Não)</f>
        <v>Sim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</row>
    <row r="128" spans="1:21">
      <c r="A128" s="2"/>
      <c r="B128" s="7" t="s">
        <v>33</v>
      </c>
      <c r="C128" s="7" t="str">
        <f>IF(C73&lt;C74 &amp; C74&lt;C75,"Sim","Não")</f>
        <v>Não</v>
      </c>
      <c r="D128" s="2"/>
      <c r="E128" s="7" t="s">
        <v>33</v>
      </c>
      <c r="F128" s="7" t="str">
        <f>IF(G73&lt;G74 &amp; G74&lt;G75,"Sim","Não")</f>
        <v>Não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</row>
    <row r="129" spans="1:21">
      <c r="A129" s="2"/>
      <c r="B129" s="7" t="s">
        <v>34</v>
      </c>
      <c r="C129" s="7" t="str">
        <f>IF(C73&lt;C74 &amp; C74=C75,"Sim","Não")</f>
        <v>Não</v>
      </c>
      <c r="D129" s="2"/>
      <c r="E129" s="7" t="s">
        <v>34</v>
      </c>
      <c r="F129" s="7" t="str">
        <f>IF(G73&lt;G74 &amp; G74=G75,"Sim","Não")</f>
        <v>Não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</row>
    <row r="130" spans="1:2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</row>
    <row r="131" spans="1:2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</row>
    <row r="132" spans="1:2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</row>
    <row r="133" spans="1:2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</row>
    <row r="134" spans="1:21">
      <c r="A134" s="15"/>
      <c r="B134" s="15"/>
      <c r="C134" s="15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</row>
    <row r="135" spans="1:21">
      <c r="A135" s="15"/>
      <c r="B135" s="15"/>
      <c r="C135" s="15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</row>
    <row r="136" spans="1:2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</row>
    <row r="137" spans="1:21" ht="18.75" customHeight="1">
      <c r="A137" s="2"/>
      <c r="B137" s="155" t="s">
        <v>35</v>
      </c>
      <c r="C137" s="156"/>
      <c r="D137" s="156"/>
      <c r="E137" s="156"/>
      <c r="F137" s="156"/>
      <c r="G137" s="156"/>
      <c r="H137" s="156"/>
      <c r="I137" s="156"/>
      <c r="J137" s="156"/>
      <c r="K137" s="156"/>
      <c r="L137" s="157"/>
      <c r="M137" s="2"/>
      <c r="N137" s="2"/>
      <c r="O137" s="2"/>
      <c r="P137" s="2"/>
      <c r="Q137" s="2"/>
      <c r="R137" s="2"/>
      <c r="S137" s="2"/>
      <c r="T137" s="2"/>
      <c r="U137" s="2"/>
    </row>
    <row r="138" spans="1:21">
      <c r="A138" s="2"/>
      <c r="B138" s="158"/>
      <c r="C138" s="159"/>
      <c r="D138" s="159"/>
      <c r="E138" s="159"/>
      <c r="F138" s="159"/>
      <c r="G138" s="159"/>
      <c r="H138" s="159"/>
      <c r="I138" s="159"/>
      <c r="J138" s="159"/>
      <c r="K138" s="159"/>
      <c r="L138" s="160"/>
      <c r="M138" s="2"/>
      <c r="N138" s="2"/>
      <c r="O138" s="2"/>
      <c r="P138" s="2"/>
      <c r="Q138" s="2"/>
      <c r="R138" s="2"/>
      <c r="S138" s="2"/>
      <c r="T138" s="2"/>
      <c r="U138" s="2"/>
    </row>
    <row r="139" spans="1:21">
      <c r="A139" s="2"/>
      <c r="B139" s="158"/>
      <c r="C139" s="159"/>
      <c r="D139" s="159"/>
      <c r="E139" s="159"/>
      <c r="F139" s="159"/>
      <c r="G139" s="159"/>
      <c r="H139" s="159"/>
      <c r="I139" s="159"/>
      <c r="J139" s="159"/>
      <c r="K139" s="159"/>
      <c r="L139" s="160"/>
      <c r="M139" s="2"/>
      <c r="N139" s="2"/>
      <c r="O139" s="2"/>
      <c r="P139" s="2"/>
      <c r="Q139" s="2"/>
      <c r="R139" s="2"/>
      <c r="S139" s="2"/>
      <c r="T139" s="2"/>
      <c r="U139" s="2"/>
    </row>
    <row r="140" spans="1:21">
      <c r="A140" s="2"/>
      <c r="B140" s="158"/>
      <c r="C140" s="159"/>
      <c r="D140" s="159"/>
      <c r="E140" s="159"/>
      <c r="F140" s="159"/>
      <c r="G140" s="159"/>
      <c r="H140" s="159"/>
      <c r="I140" s="159"/>
      <c r="J140" s="159"/>
      <c r="K140" s="159"/>
      <c r="L140" s="160"/>
      <c r="M140" s="2"/>
      <c r="N140" s="2"/>
      <c r="O140" s="2"/>
      <c r="P140" s="2"/>
      <c r="Q140" s="2"/>
      <c r="R140" s="2"/>
      <c r="S140" s="2"/>
      <c r="T140" s="2"/>
      <c r="U140" s="2"/>
    </row>
    <row r="141" spans="1:21">
      <c r="A141" s="2"/>
      <c r="B141" s="158"/>
      <c r="C141" s="159"/>
      <c r="D141" s="159"/>
      <c r="E141" s="159"/>
      <c r="F141" s="159"/>
      <c r="G141" s="159"/>
      <c r="H141" s="159"/>
      <c r="I141" s="159"/>
      <c r="J141" s="159"/>
      <c r="K141" s="159"/>
      <c r="L141" s="160"/>
      <c r="M141" s="2"/>
      <c r="N141" s="2"/>
      <c r="O141" s="2"/>
      <c r="P141" s="2"/>
      <c r="Q141" s="2"/>
      <c r="R141" s="2"/>
      <c r="S141" s="2"/>
      <c r="T141" s="2"/>
      <c r="U141" s="2"/>
    </row>
    <row r="142" spans="1:21">
      <c r="A142" s="2"/>
      <c r="B142" s="158"/>
      <c r="C142" s="159"/>
      <c r="D142" s="159"/>
      <c r="E142" s="159"/>
      <c r="F142" s="159"/>
      <c r="G142" s="159"/>
      <c r="H142" s="159"/>
      <c r="I142" s="159"/>
      <c r="J142" s="159"/>
      <c r="K142" s="159"/>
      <c r="L142" s="160"/>
      <c r="M142" s="2"/>
      <c r="N142" s="2"/>
      <c r="O142" s="2"/>
      <c r="P142" s="2"/>
      <c r="Q142" s="2"/>
      <c r="R142" s="2"/>
      <c r="S142" s="2"/>
      <c r="T142" s="2"/>
      <c r="U142" s="2"/>
    </row>
    <row r="143" spans="1:21">
      <c r="A143" s="2"/>
      <c r="B143" s="158"/>
      <c r="C143" s="159"/>
      <c r="D143" s="159"/>
      <c r="E143" s="159"/>
      <c r="F143" s="159"/>
      <c r="G143" s="159"/>
      <c r="H143" s="159"/>
      <c r="I143" s="159"/>
      <c r="J143" s="159"/>
      <c r="K143" s="159"/>
      <c r="L143" s="160"/>
      <c r="M143" s="2"/>
      <c r="N143" s="2"/>
      <c r="O143" s="2"/>
      <c r="P143" s="2"/>
      <c r="Q143" s="2"/>
      <c r="R143" s="2"/>
      <c r="S143" s="2"/>
      <c r="T143" s="2"/>
      <c r="U143" s="2"/>
    </row>
    <row r="144" spans="1:21">
      <c r="A144" s="2"/>
      <c r="B144" s="158"/>
      <c r="C144" s="159"/>
      <c r="D144" s="159"/>
      <c r="E144" s="159"/>
      <c r="F144" s="159"/>
      <c r="G144" s="159"/>
      <c r="H144" s="159"/>
      <c r="I144" s="159"/>
      <c r="J144" s="159"/>
      <c r="K144" s="159"/>
      <c r="L144" s="160"/>
      <c r="M144" s="2"/>
      <c r="N144" s="2"/>
      <c r="O144" s="2"/>
      <c r="P144" s="2"/>
      <c r="Q144" s="2"/>
      <c r="R144" s="2"/>
      <c r="S144" s="2"/>
      <c r="T144" s="2"/>
      <c r="U144" s="2"/>
    </row>
    <row r="145" spans="1:21">
      <c r="A145" s="2"/>
      <c r="B145" s="158"/>
      <c r="C145" s="159"/>
      <c r="D145" s="159"/>
      <c r="E145" s="159"/>
      <c r="F145" s="159"/>
      <c r="G145" s="159"/>
      <c r="H145" s="159"/>
      <c r="I145" s="159"/>
      <c r="J145" s="159"/>
      <c r="K145" s="159"/>
      <c r="L145" s="160"/>
      <c r="M145" s="2"/>
      <c r="N145" s="2"/>
      <c r="O145" s="2"/>
      <c r="P145" s="2"/>
      <c r="Q145" s="2"/>
      <c r="R145" s="2"/>
      <c r="S145" s="2"/>
      <c r="T145" s="2"/>
      <c r="U145" s="2"/>
    </row>
    <row r="146" spans="1:21">
      <c r="A146" s="2"/>
      <c r="B146" s="158"/>
      <c r="C146" s="159"/>
      <c r="D146" s="159"/>
      <c r="E146" s="159"/>
      <c r="F146" s="159"/>
      <c r="G146" s="159"/>
      <c r="H146" s="159"/>
      <c r="I146" s="159"/>
      <c r="J146" s="159"/>
      <c r="K146" s="159"/>
      <c r="L146" s="160"/>
      <c r="M146" s="2"/>
      <c r="N146" s="2"/>
      <c r="O146" s="2"/>
      <c r="P146" s="2"/>
      <c r="Q146" s="2"/>
      <c r="R146" s="2"/>
      <c r="S146" s="2"/>
      <c r="T146" s="2"/>
      <c r="U146" s="2"/>
    </row>
    <row r="147" spans="1:21">
      <c r="A147" s="2"/>
      <c r="B147" s="158"/>
      <c r="C147" s="159"/>
      <c r="D147" s="159"/>
      <c r="E147" s="159"/>
      <c r="F147" s="159"/>
      <c r="G147" s="159"/>
      <c r="H147" s="159"/>
      <c r="I147" s="159"/>
      <c r="J147" s="159"/>
      <c r="K147" s="159"/>
      <c r="L147" s="160"/>
      <c r="M147" s="2"/>
      <c r="N147" s="2"/>
      <c r="O147" s="2"/>
      <c r="P147" s="2"/>
      <c r="Q147" s="2"/>
      <c r="R147" s="2"/>
      <c r="S147" s="2"/>
      <c r="T147" s="2"/>
      <c r="U147" s="2"/>
    </row>
    <row r="148" spans="1:21">
      <c r="A148" s="2"/>
      <c r="B148" s="158"/>
      <c r="C148" s="159"/>
      <c r="D148" s="159"/>
      <c r="E148" s="159"/>
      <c r="F148" s="159"/>
      <c r="G148" s="159"/>
      <c r="H148" s="159"/>
      <c r="I148" s="159"/>
      <c r="J148" s="159"/>
      <c r="K148" s="159"/>
      <c r="L148" s="160"/>
      <c r="M148" s="2"/>
      <c r="N148" s="2"/>
      <c r="O148" s="2"/>
      <c r="P148" s="2"/>
      <c r="Q148" s="2"/>
      <c r="R148" s="2"/>
      <c r="S148" s="2"/>
      <c r="T148" s="2"/>
      <c r="U148" s="2"/>
    </row>
    <row r="149" spans="1:21">
      <c r="A149" s="2"/>
      <c r="B149" s="158"/>
      <c r="C149" s="159"/>
      <c r="D149" s="159"/>
      <c r="E149" s="159"/>
      <c r="F149" s="159"/>
      <c r="G149" s="159"/>
      <c r="H149" s="159"/>
      <c r="I149" s="159"/>
      <c r="J149" s="159"/>
      <c r="K149" s="159"/>
      <c r="L149" s="160"/>
      <c r="M149" s="2"/>
      <c r="N149" s="2"/>
      <c r="O149" s="2"/>
      <c r="P149" s="2"/>
      <c r="Q149" s="2"/>
      <c r="R149" s="2"/>
      <c r="S149" s="2"/>
      <c r="T149" s="2"/>
      <c r="U149" s="2"/>
    </row>
    <row r="150" spans="1:21">
      <c r="A150" s="2"/>
      <c r="B150" s="158"/>
      <c r="C150" s="159"/>
      <c r="D150" s="159"/>
      <c r="E150" s="159"/>
      <c r="F150" s="159"/>
      <c r="G150" s="159"/>
      <c r="H150" s="159"/>
      <c r="I150" s="159"/>
      <c r="J150" s="159"/>
      <c r="K150" s="159"/>
      <c r="L150" s="160"/>
      <c r="M150" s="2"/>
      <c r="N150" s="2"/>
      <c r="O150" s="2"/>
      <c r="P150" s="2"/>
      <c r="Q150" s="2"/>
      <c r="R150" s="2"/>
      <c r="S150" s="2"/>
      <c r="T150" s="2"/>
      <c r="U150" s="2"/>
    </row>
    <row r="151" spans="1:21">
      <c r="A151" s="2"/>
      <c r="B151" s="158"/>
      <c r="C151" s="159"/>
      <c r="D151" s="159"/>
      <c r="E151" s="159"/>
      <c r="F151" s="159"/>
      <c r="G151" s="159"/>
      <c r="H151" s="159"/>
      <c r="I151" s="159"/>
      <c r="J151" s="159"/>
      <c r="K151" s="159"/>
      <c r="L151" s="160"/>
      <c r="M151" s="2"/>
      <c r="N151" s="2"/>
      <c r="O151" s="2"/>
      <c r="P151" s="2"/>
      <c r="Q151" s="2"/>
      <c r="R151" s="2"/>
      <c r="S151" s="2"/>
      <c r="T151" s="2"/>
      <c r="U151" s="2"/>
    </row>
    <row r="152" spans="1:21">
      <c r="A152" s="2"/>
      <c r="B152" s="158"/>
      <c r="C152" s="159"/>
      <c r="D152" s="159"/>
      <c r="E152" s="159"/>
      <c r="F152" s="159"/>
      <c r="G152" s="159"/>
      <c r="H152" s="159"/>
      <c r="I152" s="159"/>
      <c r="J152" s="159"/>
      <c r="K152" s="159"/>
      <c r="L152" s="160"/>
      <c r="M152" s="2"/>
      <c r="N152" s="2"/>
      <c r="O152" s="2"/>
      <c r="P152" s="2"/>
      <c r="Q152" s="2"/>
      <c r="R152" s="2"/>
      <c r="S152" s="2"/>
      <c r="T152" s="2"/>
      <c r="U152" s="2"/>
    </row>
    <row r="153" spans="1:21">
      <c r="A153" s="2"/>
      <c r="B153" s="158"/>
      <c r="C153" s="159"/>
      <c r="D153" s="159"/>
      <c r="E153" s="159"/>
      <c r="F153" s="159"/>
      <c r="G153" s="159"/>
      <c r="H153" s="159"/>
      <c r="I153" s="159"/>
      <c r="J153" s="159"/>
      <c r="K153" s="159"/>
      <c r="L153" s="160"/>
      <c r="M153" s="2"/>
      <c r="N153" s="2"/>
      <c r="O153" s="2"/>
      <c r="P153" s="2"/>
      <c r="Q153" s="2"/>
      <c r="R153" s="2"/>
      <c r="S153" s="2"/>
      <c r="T153" s="2"/>
      <c r="U153" s="2"/>
    </row>
    <row r="154" spans="1:21">
      <c r="A154" s="2"/>
      <c r="B154" s="158"/>
      <c r="C154" s="159"/>
      <c r="D154" s="159"/>
      <c r="E154" s="159"/>
      <c r="F154" s="159"/>
      <c r="G154" s="159"/>
      <c r="H154" s="159"/>
      <c r="I154" s="159"/>
      <c r="J154" s="159"/>
      <c r="K154" s="159"/>
      <c r="L154" s="160"/>
      <c r="M154" s="2"/>
      <c r="N154" s="2"/>
      <c r="O154" s="2"/>
      <c r="P154" s="2"/>
      <c r="Q154" s="2"/>
      <c r="R154" s="2"/>
      <c r="S154" s="2"/>
      <c r="T154" s="2"/>
      <c r="U154" s="2"/>
    </row>
    <row r="155" spans="1:21">
      <c r="A155" s="2"/>
      <c r="B155" s="158"/>
      <c r="C155" s="159"/>
      <c r="D155" s="159"/>
      <c r="E155" s="159"/>
      <c r="F155" s="159"/>
      <c r="G155" s="159"/>
      <c r="H155" s="159"/>
      <c r="I155" s="159"/>
      <c r="J155" s="159"/>
      <c r="K155" s="159"/>
      <c r="L155" s="160"/>
      <c r="M155" s="2"/>
      <c r="N155" s="2"/>
      <c r="O155" s="2"/>
      <c r="P155" s="2"/>
      <c r="Q155" s="2"/>
      <c r="R155" s="2"/>
      <c r="S155" s="2"/>
      <c r="T155" s="2"/>
      <c r="U155" s="2"/>
    </row>
    <row r="156" spans="1:21">
      <c r="A156" s="2"/>
      <c r="B156" s="158"/>
      <c r="C156" s="159"/>
      <c r="D156" s="159"/>
      <c r="E156" s="159"/>
      <c r="F156" s="159"/>
      <c r="G156" s="159"/>
      <c r="H156" s="159"/>
      <c r="I156" s="159"/>
      <c r="J156" s="159"/>
      <c r="K156" s="159"/>
      <c r="L156" s="160"/>
      <c r="M156" s="2"/>
      <c r="N156" s="2"/>
      <c r="O156" s="2"/>
      <c r="P156" s="2"/>
      <c r="Q156" s="2"/>
      <c r="R156" s="2"/>
      <c r="S156" s="2"/>
      <c r="T156" s="2"/>
      <c r="U156" s="2"/>
    </row>
    <row r="157" spans="1:21">
      <c r="A157" s="2"/>
      <c r="B157" s="161"/>
      <c r="C157" s="162"/>
      <c r="D157" s="162"/>
      <c r="E157" s="162"/>
      <c r="F157" s="162"/>
      <c r="G157" s="162"/>
      <c r="H157" s="162"/>
      <c r="I157" s="162"/>
      <c r="J157" s="162"/>
      <c r="K157" s="162"/>
      <c r="L157" s="163"/>
      <c r="M157" s="2"/>
      <c r="N157" s="2"/>
      <c r="O157" s="2"/>
      <c r="P157" s="2"/>
      <c r="Q157" s="2"/>
      <c r="R157" s="2"/>
      <c r="S157" s="2"/>
      <c r="T157" s="2"/>
      <c r="U157" s="2"/>
    </row>
    <row r="158" spans="1:2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</row>
  </sheetData>
  <mergeCells count="3">
    <mergeCell ref="A1:F3"/>
    <mergeCell ref="B137:L157"/>
    <mergeCell ref="B116:F119"/>
  </mergeCells>
  <pageMargins left="0.7" right="0.7" top="0.75" bottom="0.75" header="0.3" footer="0.3"/>
  <pageSetup paperSize="9" orientation="portrait" r:id="rId1"/>
  <drawing r:id="rId2"/>
  <tableParts count="8"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62"/>
  <sheetViews>
    <sheetView zoomScale="69" zoomScaleNormal="200" workbookViewId="0">
      <selection activeCell="U121" sqref="U121"/>
    </sheetView>
  </sheetViews>
  <sheetFormatPr defaultColWidth="8.875" defaultRowHeight="15.95"/>
  <cols>
    <col min="1" max="1" width="15" customWidth="1"/>
    <col min="2" max="2" width="27.5" customWidth="1"/>
    <col min="3" max="11" width="15" customWidth="1"/>
    <col min="12" max="12" width="27.5" customWidth="1"/>
    <col min="13" max="15" width="15" customWidth="1"/>
    <col min="16" max="16" width="14.875" customWidth="1"/>
    <col min="17" max="20" width="15" customWidth="1"/>
    <col min="21" max="21" width="14.875" customWidth="1"/>
  </cols>
  <sheetData>
    <row r="1" spans="1:21">
      <c r="A1" s="45"/>
      <c r="B1" s="46"/>
      <c r="C1" s="46"/>
      <c r="D1" s="46"/>
      <c r="E1" s="46"/>
      <c r="F1" s="46"/>
      <c r="G1" s="46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3"/>
    </row>
    <row r="2" spans="1:21">
      <c r="A2" s="47"/>
      <c r="B2" s="48"/>
      <c r="C2" s="48"/>
      <c r="D2" s="48"/>
      <c r="E2" s="48"/>
      <c r="F2" s="48"/>
      <c r="G2" s="48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5"/>
    </row>
    <row r="3" spans="1:21">
      <c r="A3" s="25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6"/>
    </row>
    <row r="4" spans="1:21">
      <c r="A4" s="25"/>
      <c r="B4" s="2"/>
      <c r="C4" s="22"/>
      <c r="D4" s="23"/>
      <c r="E4" s="23"/>
      <c r="F4" s="23"/>
      <c r="G4" s="23"/>
      <c r="H4" s="23"/>
      <c r="I4" s="24"/>
      <c r="J4" s="2"/>
      <c r="K4" s="2"/>
      <c r="L4" s="2"/>
      <c r="M4" s="22"/>
      <c r="N4" s="23"/>
      <c r="O4" s="23"/>
      <c r="P4" s="23"/>
      <c r="Q4" s="23"/>
      <c r="R4" s="24"/>
      <c r="S4" s="2"/>
      <c r="T4" s="2"/>
      <c r="U4" s="26"/>
    </row>
    <row r="5" spans="1:21">
      <c r="A5" s="25"/>
      <c r="B5" s="2"/>
      <c r="C5" s="25"/>
      <c r="D5" s="2"/>
      <c r="E5" s="2"/>
      <c r="F5" s="2"/>
      <c r="G5" s="2"/>
      <c r="H5" s="2"/>
      <c r="I5" s="26"/>
      <c r="J5" s="2"/>
      <c r="K5" s="2"/>
      <c r="L5" s="2"/>
      <c r="M5" s="25"/>
      <c r="N5" s="2"/>
      <c r="O5" s="2"/>
      <c r="P5" s="2"/>
      <c r="Q5" s="2"/>
      <c r="R5" s="26"/>
      <c r="S5" s="2"/>
      <c r="T5" s="2"/>
      <c r="U5" s="26"/>
    </row>
    <row r="6" spans="1:21">
      <c r="A6" s="25"/>
      <c r="B6" s="2"/>
      <c r="C6" s="25"/>
      <c r="D6" s="2"/>
      <c r="E6" s="2"/>
      <c r="F6" s="2"/>
      <c r="G6" s="2"/>
      <c r="H6" s="2"/>
      <c r="I6" s="26"/>
      <c r="J6" s="2"/>
      <c r="K6" s="2"/>
      <c r="L6" s="2"/>
      <c r="M6" s="25"/>
      <c r="N6" s="2"/>
      <c r="O6" s="2"/>
      <c r="P6" s="2"/>
      <c r="Q6" s="2"/>
      <c r="R6" s="26"/>
      <c r="S6" s="2"/>
      <c r="T6" s="2"/>
      <c r="U6" s="26"/>
    </row>
    <row r="7" spans="1:21">
      <c r="A7" s="25"/>
      <c r="B7" s="2"/>
      <c r="C7" s="42"/>
      <c r="D7" s="43"/>
      <c r="E7" s="43"/>
      <c r="F7" s="43"/>
      <c r="G7" s="43"/>
      <c r="H7" s="43"/>
      <c r="I7" s="44"/>
      <c r="J7" s="2"/>
      <c r="K7" s="2"/>
      <c r="L7" s="2"/>
      <c r="M7" s="42"/>
      <c r="N7" s="43"/>
      <c r="O7" s="43"/>
      <c r="P7" s="43"/>
      <c r="Q7" s="43"/>
      <c r="R7" s="44"/>
      <c r="S7" s="2"/>
      <c r="T7" s="2"/>
      <c r="U7" s="26"/>
    </row>
    <row r="8" spans="1:21">
      <c r="A8" s="2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6"/>
    </row>
    <row r="9" spans="1:21">
      <c r="A9" s="45"/>
      <c r="B9" s="46"/>
      <c r="C9" s="46"/>
      <c r="D9" s="46"/>
      <c r="E9" s="46"/>
      <c r="F9" s="46"/>
      <c r="G9" s="46"/>
      <c r="H9" s="56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3"/>
    </row>
    <row r="10" spans="1:21">
      <c r="A10" s="47"/>
      <c r="B10" s="48"/>
      <c r="C10" s="48"/>
      <c r="D10" s="48"/>
      <c r="E10" s="48"/>
      <c r="F10" s="48"/>
      <c r="G10" s="48"/>
      <c r="H10" s="78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5"/>
    </row>
    <row r="11" spans="1:21">
      <c r="A11" s="76"/>
      <c r="B11" s="77"/>
      <c r="C11" s="77"/>
      <c r="D11" s="77"/>
      <c r="E11" s="77"/>
      <c r="F11" s="77"/>
      <c r="G11" s="77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U11" s="26"/>
    </row>
    <row r="12" spans="1:21">
      <c r="A12" s="76"/>
      <c r="B12" s="120"/>
      <c r="C12" s="118"/>
      <c r="D12" s="118"/>
      <c r="E12" s="118"/>
      <c r="F12" s="118"/>
      <c r="G12" s="118"/>
      <c r="H12" s="23"/>
      <c r="I12" s="23"/>
      <c r="J12" s="24"/>
      <c r="K12" s="2"/>
      <c r="L12" s="22"/>
      <c r="M12" s="23"/>
      <c r="N12" s="23"/>
      <c r="O12" s="23"/>
      <c r="P12" s="23"/>
      <c r="Q12" s="23"/>
      <c r="R12" s="23"/>
      <c r="S12" s="23"/>
      <c r="T12" s="114"/>
      <c r="U12" s="26"/>
    </row>
    <row r="13" spans="1:21" ht="21">
      <c r="A13" s="25"/>
      <c r="B13" s="25"/>
      <c r="C13" s="2"/>
      <c r="D13" s="173" t="s">
        <v>36</v>
      </c>
      <c r="E13" s="174"/>
      <c r="F13" s="174"/>
      <c r="G13" s="175"/>
      <c r="H13" s="2"/>
      <c r="I13" s="2"/>
      <c r="J13" s="26"/>
      <c r="K13" s="2"/>
      <c r="L13" s="25"/>
      <c r="M13" s="2"/>
      <c r="N13" s="173" t="s">
        <v>37</v>
      </c>
      <c r="O13" s="174"/>
      <c r="P13" s="174"/>
      <c r="Q13" s="175"/>
      <c r="R13" s="2"/>
      <c r="S13" s="2"/>
      <c r="T13" s="26"/>
      <c r="U13" s="26"/>
    </row>
    <row r="14" spans="1:21" ht="18.95">
      <c r="A14" s="25"/>
      <c r="B14" s="25"/>
      <c r="C14" s="2"/>
      <c r="D14" s="119"/>
      <c r="E14" s="119"/>
      <c r="F14" s="115"/>
      <c r="G14" s="115"/>
      <c r="H14" s="2"/>
      <c r="I14" s="2"/>
      <c r="J14" s="26"/>
      <c r="K14" s="2"/>
      <c r="L14" s="25"/>
      <c r="M14" s="2"/>
      <c r="N14" s="43"/>
      <c r="O14" s="2"/>
      <c r="P14" s="2"/>
      <c r="Q14" s="2"/>
      <c r="R14" s="2"/>
      <c r="S14" s="2"/>
      <c r="T14" s="26"/>
      <c r="U14" s="26"/>
    </row>
    <row r="15" spans="1:21" ht="33.950000000000003">
      <c r="A15" s="25"/>
      <c r="B15" s="25"/>
      <c r="C15" s="2"/>
      <c r="D15" s="116" t="s">
        <v>38</v>
      </c>
      <c r="E15" s="117" t="s">
        <v>30</v>
      </c>
      <c r="F15" s="18"/>
      <c r="G15" s="2"/>
      <c r="H15" s="2"/>
      <c r="I15" s="2"/>
      <c r="J15" s="26"/>
      <c r="K15" s="2"/>
      <c r="L15" s="25"/>
      <c r="M15" s="26"/>
      <c r="N15" s="71" t="s">
        <v>38</v>
      </c>
      <c r="O15" s="33" t="s">
        <v>30</v>
      </c>
      <c r="P15" s="2"/>
      <c r="Q15" s="2"/>
      <c r="R15" s="2"/>
      <c r="S15" s="2"/>
      <c r="T15" s="26"/>
      <c r="U15" s="26"/>
    </row>
    <row r="16" spans="1:21">
      <c r="A16" s="25"/>
      <c r="B16" s="25"/>
      <c r="C16" s="2"/>
      <c r="D16" s="32"/>
      <c r="E16" s="34"/>
      <c r="F16" s="18"/>
      <c r="G16" s="58" t="s">
        <v>39</v>
      </c>
      <c r="H16" s="59" t="s">
        <v>40</v>
      </c>
      <c r="I16" s="2"/>
      <c r="J16" s="26"/>
      <c r="K16" s="2"/>
      <c r="L16" s="25"/>
      <c r="M16" s="26"/>
      <c r="N16" s="38"/>
      <c r="O16" s="38"/>
      <c r="P16" s="2"/>
      <c r="Q16" s="58" t="s">
        <v>39</v>
      </c>
      <c r="R16" s="58" t="s">
        <v>40</v>
      </c>
      <c r="S16" s="2"/>
      <c r="T16" s="26"/>
      <c r="U16" s="26"/>
    </row>
    <row r="17" spans="1:21" ht="17.100000000000001">
      <c r="A17" s="25"/>
      <c r="B17" s="25"/>
      <c r="C17" s="2"/>
      <c r="D17" s="35" t="s">
        <v>41</v>
      </c>
      <c r="E17" s="36">
        <f>INT(LOG(COUNT(Dados!D3:D202),2))+1</f>
        <v>8</v>
      </c>
      <c r="F17" s="18"/>
      <c r="G17" s="39">
        <f>MIN(Dados!D3:D202)</f>
        <v>14.73</v>
      </c>
      <c r="H17" s="39">
        <f>MAX(Dados!D3:D202)</f>
        <v>28.79</v>
      </c>
      <c r="I17" s="2"/>
      <c r="J17" s="26"/>
      <c r="K17" s="2"/>
      <c r="L17" s="25"/>
      <c r="M17" s="26"/>
      <c r="N17" s="40" t="s">
        <v>41</v>
      </c>
      <c r="O17" s="41">
        <f>INT(LOG(COUNT(Dados!E3:E202),2))+1</f>
        <v>8</v>
      </c>
      <c r="P17" s="18"/>
      <c r="Q17" s="39">
        <f>MIN(Dados!E3:E202)</f>
        <v>20.079999999999998</v>
      </c>
      <c r="R17" s="39">
        <f>MAX(Dados!E3:E202)</f>
        <v>29.96</v>
      </c>
      <c r="S17" s="2"/>
      <c r="T17" s="26"/>
      <c r="U17" s="26"/>
    </row>
    <row r="18" spans="1:21" ht="33.950000000000003">
      <c r="A18" s="25"/>
      <c r="B18" s="25"/>
      <c r="C18" s="2"/>
      <c r="D18" s="37" t="s">
        <v>42</v>
      </c>
      <c r="E18" s="65">
        <f>INT((H17-G17)/8)+1</f>
        <v>2</v>
      </c>
      <c r="F18" s="18"/>
      <c r="G18" s="18"/>
      <c r="H18" s="18"/>
      <c r="I18" s="2"/>
      <c r="J18" s="26"/>
      <c r="K18" s="2"/>
      <c r="L18" s="25"/>
      <c r="M18" s="26"/>
      <c r="N18" s="69" t="s">
        <v>42</v>
      </c>
      <c r="O18" s="38">
        <f>INT((R17-Q17)/8)+1</f>
        <v>2</v>
      </c>
      <c r="P18" s="18"/>
      <c r="Q18" s="18"/>
      <c r="R18" s="2"/>
      <c r="S18" s="2"/>
      <c r="T18" s="26"/>
      <c r="U18" s="26"/>
    </row>
    <row r="19" spans="1:21">
      <c r="A19" s="25"/>
      <c r="B19" s="42"/>
      <c r="C19" s="2"/>
      <c r="D19" s="2"/>
      <c r="E19" s="2"/>
      <c r="F19" s="2"/>
      <c r="G19" s="2"/>
      <c r="H19" s="2"/>
      <c r="I19" s="2"/>
      <c r="J19" s="26"/>
      <c r="K19" s="2"/>
      <c r="L19" s="42"/>
      <c r="M19" s="43"/>
      <c r="N19" s="66"/>
      <c r="O19" s="2"/>
      <c r="P19" s="2"/>
      <c r="Q19" s="2"/>
      <c r="R19" s="2"/>
      <c r="S19" s="2"/>
      <c r="T19" s="26"/>
      <c r="U19" s="26"/>
    </row>
    <row r="20" spans="1:21" ht="24">
      <c r="A20" s="25"/>
      <c r="B20" s="49" t="s">
        <v>43</v>
      </c>
      <c r="C20" s="64"/>
      <c r="D20" s="50" t="s">
        <v>44</v>
      </c>
      <c r="E20" s="50" t="s">
        <v>45</v>
      </c>
      <c r="F20" s="50" t="s">
        <v>46</v>
      </c>
      <c r="G20" s="63" t="s">
        <v>47</v>
      </c>
      <c r="H20" s="67" t="s">
        <v>48</v>
      </c>
      <c r="I20" s="68" t="s">
        <v>49</v>
      </c>
      <c r="J20" s="67" t="s">
        <v>50</v>
      </c>
      <c r="K20" s="2"/>
      <c r="L20" s="49" t="s">
        <v>43</v>
      </c>
      <c r="M20" s="64"/>
      <c r="N20" s="70" t="s">
        <v>44</v>
      </c>
      <c r="O20" s="50" t="s">
        <v>45</v>
      </c>
      <c r="P20" s="50" t="s">
        <v>46</v>
      </c>
      <c r="Q20" s="63" t="s">
        <v>47</v>
      </c>
      <c r="R20" s="67" t="s">
        <v>48</v>
      </c>
      <c r="S20" s="68" t="s">
        <v>49</v>
      </c>
      <c r="T20" s="67" t="s">
        <v>50</v>
      </c>
      <c r="U20" s="26"/>
    </row>
    <row r="21" spans="1:21" ht="17.100000000000001">
      <c r="A21" s="25"/>
      <c r="B21" s="64" t="s">
        <v>51</v>
      </c>
      <c r="C21" s="64" t="s">
        <v>52</v>
      </c>
      <c r="D21" s="64" t="s">
        <v>53</v>
      </c>
      <c r="E21" s="64" t="s">
        <v>54</v>
      </c>
      <c r="F21" s="64" t="s">
        <v>55</v>
      </c>
      <c r="G21" s="72" t="s">
        <v>56</v>
      </c>
      <c r="H21" s="62"/>
      <c r="I21" s="73"/>
      <c r="J21" s="61"/>
      <c r="K21" s="2"/>
      <c r="L21" s="64" t="s">
        <v>51</v>
      </c>
      <c r="M21" s="64" t="s">
        <v>52</v>
      </c>
      <c r="N21" s="64" t="s">
        <v>53</v>
      </c>
      <c r="O21" s="64" t="s">
        <v>54</v>
      </c>
      <c r="P21" s="64" t="s">
        <v>55</v>
      </c>
      <c r="Q21" s="72" t="s">
        <v>56</v>
      </c>
      <c r="R21" s="60"/>
      <c r="S21" s="73"/>
      <c r="T21" s="61"/>
      <c r="U21" s="26"/>
    </row>
    <row r="22" spans="1:21" ht="17.100000000000001">
      <c r="A22" s="25"/>
      <c r="B22" s="64" t="str">
        <f>"["&amp;$G$17&amp;";    "&amp;$G$17+E18&amp;"["</f>
        <v>[14,73;    16,73[</v>
      </c>
      <c r="C22" s="64">
        <f>( $G$17+$G$17+E18)/2</f>
        <v>15.73</v>
      </c>
      <c r="D22" s="64">
        <f>COUNTIFS(Dados!D3:D202,"&gt;="&amp;$G$17,Dados!D3:D202,"&lt;"&amp;$G$17+E18)</f>
        <v>6</v>
      </c>
      <c r="E22" s="74">
        <f>D22/C31</f>
        <v>0.03</v>
      </c>
      <c r="F22" s="64">
        <f>D22</f>
        <v>6</v>
      </c>
      <c r="G22" s="75">
        <f>E22</f>
        <v>0.03</v>
      </c>
      <c r="H22" s="100">
        <f>(C22-F84)^3</f>
        <v>-208.52785699999995</v>
      </c>
      <c r="I22" s="101">
        <f>(C22-F84)^4</f>
        <v>1236.5701920099998</v>
      </c>
      <c r="J22" s="102">
        <f>(C22-F84)^2</f>
        <v>35.164899999999996</v>
      </c>
      <c r="K22" s="2"/>
      <c r="L22" s="64" t="str">
        <f>"["&amp;$Q$17&amp;";    "&amp;$Q$17+O18&amp;"["</f>
        <v>[20,08;    22,08[</v>
      </c>
      <c r="M22" s="64">
        <f>( $Q$17+$Q$17+O18)/2</f>
        <v>21.08</v>
      </c>
      <c r="N22" s="64">
        <f>COUNTIFS(Dados!E3:E202,"&gt;="&amp;$Q$17,Dados!E3:E202,"&lt;"&amp;$Q$17+O18)</f>
        <v>39</v>
      </c>
      <c r="O22" s="74">
        <f>N22/M31</f>
        <v>0.19500000000000001</v>
      </c>
      <c r="P22" s="64">
        <f>N22</f>
        <v>39</v>
      </c>
      <c r="Q22" s="75">
        <f>O22</f>
        <v>0.19500000000000001</v>
      </c>
      <c r="R22" s="102">
        <f>(M22-Q84)^3</f>
        <v>-55.742968000000012</v>
      </c>
      <c r="S22" s="101">
        <f>(M22-Q84)^4</f>
        <v>212.93813776000005</v>
      </c>
      <c r="T22" s="102">
        <f>(M22-Q84)^2</f>
        <v>14.592400000000001</v>
      </c>
      <c r="U22" s="26"/>
    </row>
    <row r="23" spans="1:21" ht="17.100000000000001">
      <c r="A23" s="25"/>
      <c r="B23" s="64" t="str">
        <f>"["&amp;$G$17+E18&amp;"    ;    "&amp;$G$17+E18+E18&amp;"["</f>
        <v>[16,73    ;    18,73[</v>
      </c>
      <c r="C23" s="64">
        <f>( $G$17+E18+$G$17+E18+E18)/2</f>
        <v>17.73</v>
      </c>
      <c r="D23" s="64">
        <f>COUNTIFS(Dados!D3:D202,"&gt;="&amp;$G$17+E18,Dados!D3:D202,"&lt;"&amp;$G$17+E18+E18)</f>
        <v>20</v>
      </c>
      <c r="E23" s="74">
        <f>D23/C31</f>
        <v>0.1</v>
      </c>
      <c r="F23" s="64">
        <f t="shared" ref="F23:G29" si="0">D23+F22</f>
        <v>26</v>
      </c>
      <c r="G23" s="75">
        <f t="shared" si="0"/>
        <v>0.13</v>
      </c>
      <c r="H23" s="100">
        <f>(C23-F84)^3</f>
        <v>-60.698456999999983</v>
      </c>
      <c r="I23" s="101">
        <f>(C23-F84)^4</f>
        <v>238.5449360099999</v>
      </c>
      <c r="J23" s="102">
        <f>(C23-F84)^2</f>
        <v>15.444899999999997</v>
      </c>
      <c r="K23" s="2"/>
      <c r="L23" s="64" t="str">
        <f>"["&amp;$Q$17+O18&amp;";    "&amp;$Q$17+O18+O18&amp;"["</f>
        <v>[22,08;    24,08[</v>
      </c>
      <c r="M23" s="64">
        <f>( $Q$17+O18+$Q$17+O18+O18)/2</f>
        <v>23.08</v>
      </c>
      <c r="N23" s="64">
        <f>COUNTIFS(Dados!E3:E202,"&gt;="&amp;$Q$17+O18,Dados!E3:E202,"&lt;"&amp;$Q$17+O18+O18)</f>
        <v>52</v>
      </c>
      <c r="O23" s="74">
        <f>N23/M31</f>
        <v>0.26</v>
      </c>
      <c r="P23" s="64">
        <f t="shared" ref="P23:Q29" si="1">N23+P22</f>
        <v>91</v>
      </c>
      <c r="Q23" s="75">
        <f t="shared" si="1"/>
        <v>0.45500000000000002</v>
      </c>
      <c r="R23" s="102">
        <f>(M23-Q84)^3</f>
        <v>-6.0285680000000026</v>
      </c>
      <c r="S23" s="101">
        <f>(M23-Q84)^4</f>
        <v>10.971993760000007</v>
      </c>
      <c r="T23" s="102">
        <f>(M23-Q84)^2</f>
        <v>3.3124000000000011</v>
      </c>
      <c r="U23" s="26"/>
    </row>
    <row r="24" spans="1:21" ht="17.100000000000001">
      <c r="A24" s="25"/>
      <c r="B24" s="64" t="str">
        <f>"["&amp;$G$17+E18+E18&amp;"   ;     "&amp;$G$17+E18+E18+E18&amp;"["</f>
        <v>[18,73   ;     20,73[</v>
      </c>
      <c r="C24" s="64">
        <f>( $G$17+E18+E18+$G$17+E18+E18+E18)/2</f>
        <v>19.73</v>
      </c>
      <c r="D24" s="64">
        <f>COUNTIFS(Dados!D3:D202,"&gt;="&amp;$G$17+E18+E18,Dados!D3:D202,"&lt;"&amp;$G$17+E18+E18+E18)</f>
        <v>46</v>
      </c>
      <c r="E24" s="74">
        <f>D24/C31</f>
        <v>0.23</v>
      </c>
      <c r="F24" s="64">
        <f t="shared" si="0"/>
        <v>72</v>
      </c>
      <c r="G24" s="75">
        <f t="shared" si="0"/>
        <v>0.36</v>
      </c>
      <c r="H24" s="100">
        <f>(C24-F84)^3</f>
        <v>-7.1890569999999974</v>
      </c>
      <c r="I24" s="101">
        <f>(C24-F84)^4</f>
        <v>13.874880009999993</v>
      </c>
      <c r="J24" s="102">
        <f>(C24-F84)^2</f>
        <v>3.724899999999999</v>
      </c>
      <c r="K24" s="2"/>
      <c r="L24" s="64" t="str">
        <f>"["&amp;$Q$17+O18+O18&amp;";    "&amp;$Q$17+O18+O18+O18&amp;"["</f>
        <v>[24,08;    26,08[</v>
      </c>
      <c r="M24" s="64">
        <f>( $Q$17+O18+O18+$Q$17+O18+O18+O18)/2</f>
        <v>25.08</v>
      </c>
      <c r="N24" s="64">
        <f>COUNTIFS(Dados!E3:E202,"&gt;="&amp;$Q$17+O18+O18,Dados!E3:E202,"&lt;"&amp;$Q$17+O18+O18+O18)</f>
        <v>32</v>
      </c>
      <c r="O24" s="74">
        <f>N24/M31</f>
        <v>0.16</v>
      </c>
      <c r="P24" s="64">
        <f t="shared" si="1"/>
        <v>123</v>
      </c>
      <c r="Q24" s="75">
        <f t="shared" si="1"/>
        <v>0.61499999999999999</v>
      </c>
      <c r="R24" s="102">
        <f>(M24-Q84)^3</f>
        <v>5.8319999999999726E-3</v>
      </c>
      <c r="S24" s="101">
        <f>(M24-Q84)^4</f>
        <v>1.0497599999999936E-3</v>
      </c>
      <c r="T24" s="102">
        <f>(M24-Q84)^2</f>
        <v>3.2399999999999901E-2</v>
      </c>
      <c r="U24" s="26"/>
    </row>
    <row r="25" spans="1:21" ht="17.100000000000001">
      <c r="A25" s="25"/>
      <c r="B25" s="64" t="str">
        <f>"["&amp;$G$17+E18+E18+E18&amp;"  ;    "&amp;$G$17+E18+E18+E18+E18&amp;"["</f>
        <v>[20,73  ;    22,73[</v>
      </c>
      <c r="C25" s="64">
        <f>( $G$17+E18+E18+E18+$G$17+E18+E18+E18+E18)/2</f>
        <v>21.73</v>
      </c>
      <c r="D25" s="64">
        <f>COUNTIFS(Dados!D3:D202,"&gt;="&amp;$G$17+E18+E18+E18,Dados!D3:D202,"&lt;"&amp;$G$17+E18+E18+E18+E18)</f>
        <v>64</v>
      </c>
      <c r="E25" s="74">
        <f>D25/C31</f>
        <v>0.32</v>
      </c>
      <c r="F25" s="64">
        <f t="shared" si="0"/>
        <v>136</v>
      </c>
      <c r="G25" s="75">
        <f t="shared" si="0"/>
        <v>0.67999999999999994</v>
      </c>
      <c r="H25" s="100">
        <f>(C25-F84)^3</f>
        <v>3.4300000000000416E-4</v>
      </c>
      <c r="I25" s="101">
        <f>(C25-F84)^4</f>
        <v>2.4010000000000388E-5</v>
      </c>
      <c r="J25" s="102">
        <f>(C25-F84)^2</f>
        <v>4.9000000000000397E-3</v>
      </c>
      <c r="K25" s="2"/>
      <c r="L25" s="64" t="str">
        <f>"["&amp;$Q$17+O18+O18+O18&amp;";    "&amp;$Q$17+O18+O18+O18+O18&amp;"["</f>
        <v>[26,08;    28,08[</v>
      </c>
      <c r="M25" s="64">
        <f>( $Q$17+O18+O18+O18+$Q$17+O18+O18+O18+O18)/2</f>
        <v>27.08</v>
      </c>
      <c r="N25" s="64">
        <f>COUNTIFS(Dados!E3:E202,"&gt;="&amp;$Q$17+O18+O18+O18,Dados!E3:E202,"&lt;"&amp;$Q$17+O18+O18+O18+O18)</f>
        <v>42</v>
      </c>
      <c r="O25" s="74">
        <f>N25/M31</f>
        <v>0.21</v>
      </c>
      <c r="P25" s="64">
        <f t="shared" si="1"/>
        <v>165</v>
      </c>
      <c r="Q25" s="75">
        <f t="shared" si="1"/>
        <v>0.82499999999999996</v>
      </c>
      <c r="R25" s="102">
        <f>(M25-Q84)^3</f>
        <v>10.360231999999996</v>
      </c>
      <c r="S25" s="101">
        <f>(M25-Q84)^4</f>
        <v>22.58530575999999</v>
      </c>
      <c r="T25" s="102">
        <f>(M25-Q84)^2</f>
        <v>4.7523999999999988</v>
      </c>
      <c r="U25" s="26"/>
    </row>
    <row r="26" spans="1:21" ht="17.100000000000001">
      <c r="A26" s="25"/>
      <c r="B26" s="64" t="str">
        <f>"["&amp;$G$17+E18+E18+E18+E18&amp;"  ;   "&amp;$G$17+E18+E18+E18+E18+E18&amp;"["</f>
        <v>[22,73  ;   24,73[</v>
      </c>
      <c r="C26" s="64">
        <f>( $G$17+E18+E18+E18+E18+$G$17+E18+E18+E18+E18+E18)/2</f>
        <v>23.73</v>
      </c>
      <c r="D26" s="64">
        <f>COUNTIFS(Dados!D3:D202,"&gt;="&amp;$G$17+E18+E18+E18+E18,Dados!D3:D202,"&lt;"&amp;$G$17+E18+E18+E18+E18+E18)</f>
        <v>39</v>
      </c>
      <c r="E26" s="74">
        <f>D26/C31</f>
        <v>0.19500000000000001</v>
      </c>
      <c r="F26" s="64">
        <f t="shared" si="0"/>
        <v>175</v>
      </c>
      <c r="G26" s="75">
        <f t="shared" si="0"/>
        <v>0.875</v>
      </c>
      <c r="H26" s="100">
        <f>(C26-F84)^3</f>
        <v>8.8697430000000033</v>
      </c>
      <c r="I26" s="101">
        <f>(C26-F84)^4</f>
        <v>18.360368010000009</v>
      </c>
      <c r="J26" s="102">
        <f>(C26-F84)^2</f>
        <v>4.2849000000000013</v>
      </c>
      <c r="K26" s="2"/>
      <c r="L26" s="64" t="str">
        <f>"["&amp;$Q$17+O18+O18+O18+O18&amp;";    "&amp;$Q$17+O18+O18+O18+O18+O18&amp;"["</f>
        <v>[28,08;    30,08[</v>
      </c>
      <c r="M26" s="64">
        <f>( $Q$17+O18+O18+O18+O18+$Q$17+O18+O18+O18+O18+O18)/2</f>
        <v>29.08</v>
      </c>
      <c r="N26" s="64">
        <f>COUNTIFS(Dados!E3:E202,"&gt;="&amp;$Q$17+O18+O18+O18+O18,Dados!E3:E202,"&lt;"&amp;$Q$17+O18+O18+O18+O18+O18)</f>
        <v>35</v>
      </c>
      <c r="O26" s="74">
        <f>N26/M31</f>
        <v>0.17499999999999999</v>
      </c>
      <c r="P26" s="64">
        <f t="shared" si="1"/>
        <v>200</v>
      </c>
      <c r="Q26" s="75">
        <f t="shared" si="1"/>
        <v>1</v>
      </c>
      <c r="R26" s="102">
        <f>(M26-Q84)^3</f>
        <v>73.034631999999988</v>
      </c>
      <c r="S26" s="101">
        <f>(M26-Q84)^4</f>
        <v>305.28476175999987</v>
      </c>
      <c r="T26" s="102">
        <f>(M26-Q84)^2</f>
        <v>17.472399999999997</v>
      </c>
      <c r="U26" s="26"/>
    </row>
    <row r="27" spans="1:21" ht="17.100000000000001">
      <c r="A27" s="25"/>
      <c r="B27" s="64" t="str">
        <f>"["&amp;$G$17+E18+E18+E18+E18+E18&amp;"  ;   "&amp;$G$17+E18+E18+E18+E18+E18+E18&amp;"["</f>
        <v>[24,73  ;   26,73[</v>
      </c>
      <c r="C27" s="64">
        <f>( $G$17+E18+E18+E18+E18+E18+$G$17+E18+E18+E18+E18+E18+E18)/2</f>
        <v>25.73</v>
      </c>
      <c r="D27" s="64">
        <f>COUNTIFS(Dados!D3:D202,"&gt;="&amp;$G$17+E18+E18+E18+E18+E18,Dados!D3:D202,"&lt;"&amp;$G$17+E18+E18+E18+E18+E18+E18)</f>
        <v>18</v>
      </c>
      <c r="E27" s="74">
        <f>D27/C31</f>
        <v>0.09</v>
      </c>
      <c r="F27" s="64">
        <f t="shared" si="0"/>
        <v>193</v>
      </c>
      <c r="G27" s="75">
        <f t="shared" si="0"/>
        <v>0.96499999999999997</v>
      </c>
      <c r="H27" s="100">
        <f>(C27-F84)^3</f>
        <v>67.419143000000005</v>
      </c>
      <c r="I27" s="101">
        <f>(C27-F84)^4</f>
        <v>274.39591201000007</v>
      </c>
      <c r="J27" s="102">
        <f>(C27-F84)^2</f>
        <v>16.564900000000002</v>
      </c>
      <c r="K27" s="2"/>
      <c r="L27" s="64" t="str">
        <f>"["&amp;$Q$17+O18+O18+O18+O18+O18&amp;"  ;   "&amp;$Q$17+O18+O18+O18+O18+O18+O18&amp;"["</f>
        <v>[30,08  ;   32,08[</v>
      </c>
      <c r="M27" s="64">
        <f>( $Q$17+O18+O18+O18+O18+O18+$Q$17+O18+O18+O18+O18+O18+O18)/2</f>
        <v>31.08</v>
      </c>
      <c r="N27" s="64">
        <f>COUNTIFS(Dados!E3:E202,"&gt;="&amp;$Q$17+O18+O18+O18+O18+O18,Dados!E3:E202,"&lt;"&amp;$Q$17+O18+O18+O18+O18+O18+O18)</f>
        <v>0</v>
      </c>
      <c r="O27" s="74">
        <f>N27/M31</f>
        <v>0</v>
      </c>
      <c r="P27" s="64">
        <f t="shared" si="1"/>
        <v>200</v>
      </c>
      <c r="Q27" s="75">
        <f t="shared" si="1"/>
        <v>1</v>
      </c>
      <c r="R27" s="102">
        <f>(M27-Q84)^3</f>
        <v>236.02903199999997</v>
      </c>
      <c r="S27" s="101">
        <f>(M27-Q84)^4</f>
        <v>1458.65941776</v>
      </c>
      <c r="T27" s="102">
        <f>(M27-Q84)^2</f>
        <v>38.192399999999999</v>
      </c>
      <c r="U27" s="26"/>
    </row>
    <row r="28" spans="1:21" ht="17.100000000000001">
      <c r="A28" s="25"/>
      <c r="B28" s="64" t="str">
        <f>"["&amp;$G$17+E18+E18+E18+E18+E18+E18&amp;"   ;   "&amp;$G$17+E18+E18+E18+E18+E18+E18+E18&amp;"["</f>
        <v>[26,73   ;   28,73[</v>
      </c>
      <c r="C28" s="64">
        <f>( $G$17+E18+E18+E18+E18+E18+E18+$G$17+E18+E18+E18+E18+E18+E18+E18)/2</f>
        <v>27.73</v>
      </c>
      <c r="D28" s="64">
        <f>COUNTIFS(Dados!D3:D202,"&gt;="&amp;$G$17+E18+E18+E18+E18+E18+E18,Dados!D3:D202,"&lt;"&amp;$G$17+E18+E18+E18+E18+E18+E18+E18)</f>
        <v>6</v>
      </c>
      <c r="E28" s="74">
        <f>D28/C31</f>
        <v>0.03</v>
      </c>
      <c r="F28" s="64">
        <f t="shared" si="0"/>
        <v>199</v>
      </c>
      <c r="G28" s="75">
        <f t="shared" si="0"/>
        <v>0.995</v>
      </c>
      <c r="H28" s="100">
        <f>(C28-F84)^3</f>
        <v>223.64854300000002</v>
      </c>
      <c r="I28" s="101">
        <f>(C28-F84)^4</f>
        <v>1357.5466560100001</v>
      </c>
      <c r="J28" s="102">
        <f>(C28-F84)^2</f>
        <v>36.844900000000003</v>
      </c>
      <c r="K28" s="2"/>
      <c r="L28" s="64" t="str">
        <f>"["&amp;$Q$17+O18+O18+O18+O18+O18+O18&amp;"   ;   "&amp;$Q$17+O18+O18+O18+O18+O18+O18+O18&amp;"["</f>
        <v>[32,08   ;   34,08[</v>
      </c>
      <c r="M28" s="64">
        <f>( $Q$17+O18+O18+O18+O18+O18+O18+$Q$17+O18+O18+O18+O18+O18+O18+O18)/2</f>
        <v>33.08</v>
      </c>
      <c r="N28" s="64">
        <f>COUNTIFS(Dados!E3:E202,"&gt;="&amp;$Q$17+O18+O18+O18+O18+O18+O18,Dados!E3:E202,"&lt;"&amp;$Q$17+O18+O18+O18+O18+O18+O18+O18)</f>
        <v>0</v>
      </c>
      <c r="O28" s="74">
        <f>N28/M31</f>
        <v>0</v>
      </c>
      <c r="P28" s="64">
        <f t="shared" si="1"/>
        <v>200</v>
      </c>
      <c r="Q28" s="75">
        <f t="shared" si="1"/>
        <v>1</v>
      </c>
      <c r="R28" s="102">
        <f>(M28-Q84)^3</f>
        <v>547.34343199999989</v>
      </c>
      <c r="S28" s="101">
        <f>(M28-Q84)^4</f>
        <v>4477.2692737599991</v>
      </c>
      <c r="T28" s="102">
        <f>(M28-Q84)^2</f>
        <v>66.912399999999991</v>
      </c>
      <c r="U28" s="26"/>
    </row>
    <row r="29" spans="1:21" ht="17.100000000000001">
      <c r="A29" s="25"/>
      <c r="B29" s="64" t="str">
        <f>"[ "&amp;$G$17+E18+E18+E18+E18+E18+E18+E18&amp;"  ;      "&amp;$G$17+E18+E18+E18+E18+E18+E18+E18+E18&amp;"["</f>
        <v>[ 28,73  ;      30,73[</v>
      </c>
      <c r="C29" s="64">
        <f>( $G$17+E18+E18+E18+E18+E18+E18+E18+$G$17+E18+E18+E18+E18+E18+E18+E18+E18)/2</f>
        <v>29.73</v>
      </c>
      <c r="D29" s="64">
        <f>COUNTIFS(Dados!D3:D202,"&gt;="&amp;$G$17+E18+E18+E18+E18+E18+E18+E18,Dados!D3:D202,"&lt;"&amp;$G$17+E18+E18+E18+E18+E18+E18+E18+E18)</f>
        <v>1</v>
      </c>
      <c r="E29" s="74">
        <f>D29/C31</f>
        <v>5.0000000000000001E-3</v>
      </c>
      <c r="F29" s="64">
        <f t="shared" si="0"/>
        <v>200</v>
      </c>
      <c r="G29" s="75">
        <f t="shared" si="0"/>
        <v>1</v>
      </c>
      <c r="H29" s="100">
        <f>(C29-F84)^3</f>
        <v>525.55794300000014</v>
      </c>
      <c r="I29" s="101">
        <f>(C29-F84)^4</f>
        <v>4241.2526000100015</v>
      </c>
      <c r="J29" s="102">
        <f>(C29-F84)^2</f>
        <v>65.124900000000011</v>
      </c>
      <c r="K29" s="2"/>
      <c r="L29" s="64" t="str">
        <f>"[ "&amp;$Q$17+O18+O18+O18+O18+O18+O18+O18&amp;"  ;      "&amp;$Q$17+O18+O18+O18+O18+O18+O18+O18+O18&amp;"["</f>
        <v>[ 34,08  ;      36,08[</v>
      </c>
      <c r="M29" s="64">
        <f>( $Q$17+O18+O18+O18+O18+O18+O18+O18+$Q$17+O18+O18+O18+O18+O18+O18+O18+O18)/2</f>
        <v>35.08</v>
      </c>
      <c r="N29" s="64">
        <f>COUNTIFS(Dados!E3:E202,"&gt;="&amp;$Q$17+O18+O18+O18+O18+O18+O18+O18,Dados!E3:E202,"&lt;"&amp;$Q$17+O18+O18+O18+O18+O18+O18+O18+O18)</f>
        <v>0</v>
      </c>
      <c r="O29" s="74">
        <f>N29/M31</f>
        <v>0</v>
      </c>
      <c r="P29" s="64">
        <f t="shared" si="1"/>
        <v>200</v>
      </c>
      <c r="Q29" s="75">
        <f t="shared" si="1"/>
        <v>1</v>
      </c>
      <c r="R29" s="102">
        <f>(M29-Q84)^3</f>
        <v>1054.9778319999998</v>
      </c>
      <c r="S29" s="101">
        <f>(M29-Q84)^4</f>
        <v>10739.674329759999</v>
      </c>
      <c r="T29" s="102">
        <f>(M29-Q84)^2</f>
        <v>103.63239999999999</v>
      </c>
      <c r="U29" s="26"/>
    </row>
    <row r="30" spans="1:21">
      <c r="A30" s="25"/>
      <c r="B30" s="25"/>
      <c r="C30" s="2"/>
      <c r="D30" s="2"/>
      <c r="E30" s="2"/>
      <c r="F30" s="2"/>
      <c r="G30" s="2"/>
      <c r="H30" s="2"/>
      <c r="I30" s="2"/>
      <c r="J30" s="26"/>
      <c r="K30" s="2"/>
      <c r="L30" s="25"/>
      <c r="M30" s="2"/>
      <c r="N30" s="2"/>
      <c r="O30" s="2"/>
      <c r="P30" s="2"/>
      <c r="Q30" s="2"/>
      <c r="R30" s="2"/>
      <c r="S30" s="2"/>
      <c r="T30" s="26"/>
      <c r="U30" s="26"/>
    </row>
    <row r="31" spans="1:21">
      <c r="A31" s="25"/>
      <c r="B31" s="51" t="s">
        <v>12</v>
      </c>
      <c r="C31" s="146">
        <f>SUM(D22:D29)</f>
        <v>200</v>
      </c>
      <c r="D31" s="2"/>
      <c r="E31" s="2"/>
      <c r="F31" s="2"/>
      <c r="G31" s="2"/>
      <c r="H31" s="2"/>
      <c r="I31" s="2"/>
      <c r="J31" s="26"/>
      <c r="K31" s="2"/>
      <c r="L31" s="51" t="s">
        <v>12</v>
      </c>
      <c r="M31" s="146">
        <f>SUM(N22:N29)</f>
        <v>200</v>
      </c>
      <c r="N31" s="2"/>
      <c r="O31" s="2"/>
      <c r="P31" s="2"/>
      <c r="Q31" s="2"/>
      <c r="R31" s="2"/>
      <c r="S31" s="2"/>
      <c r="T31" s="26"/>
      <c r="U31" s="26"/>
    </row>
    <row r="32" spans="1:21">
      <c r="A32" s="25"/>
      <c r="B32" s="42"/>
      <c r="C32" s="43"/>
      <c r="D32" s="43"/>
      <c r="E32" s="43"/>
      <c r="F32" s="43"/>
      <c r="G32" s="43"/>
      <c r="H32" s="43"/>
      <c r="I32" s="43"/>
      <c r="J32" s="44"/>
      <c r="K32" s="2"/>
      <c r="L32" s="42"/>
      <c r="M32" s="43"/>
      <c r="N32" s="43"/>
      <c r="O32" s="43"/>
      <c r="P32" s="43"/>
      <c r="Q32" s="43"/>
      <c r="R32" s="43"/>
      <c r="S32" s="43"/>
      <c r="T32" s="44"/>
      <c r="U32" s="26"/>
    </row>
    <row r="33" spans="1:21">
      <c r="A33" s="2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3"/>
      <c r="P33" s="23"/>
      <c r="Q33" s="2"/>
      <c r="R33" s="2"/>
      <c r="S33" s="2"/>
      <c r="T33" s="2"/>
      <c r="U33" s="26"/>
    </row>
    <row r="34" spans="1:21">
      <c r="A34" s="2"/>
      <c r="B34" s="2"/>
      <c r="C34" s="43"/>
      <c r="D34" s="43"/>
      <c r="E34" s="2"/>
      <c r="F34" s="2"/>
      <c r="G34" s="2"/>
      <c r="H34" s="2"/>
      <c r="I34" s="2"/>
      <c r="J34" s="2"/>
      <c r="K34" s="2"/>
      <c r="L34" s="2"/>
      <c r="M34" s="43"/>
      <c r="N34" s="43"/>
      <c r="O34" s="2"/>
      <c r="P34" s="2"/>
      <c r="Q34" s="2"/>
      <c r="R34" s="2"/>
      <c r="S34" s="2"/>
      <c r="T34" s="2"/>
      <c r="U34" s="2"/>
    </row>
    <row r="35" spans="1:21" ht="18.95">
      <c r="A35" s="2"/>
      <c r="B35" s="2"/>
      <c r="C35" s="182" t="s">
        <v>57</v>
      </c>
      <c r="D35" s="183"/>
      <c r="E35" s="2"/>
      <c r="F35" s="2"/>
      <c r="G35" s="2"/>
      <c r="H35" s="2"/>
      <c r="I35" s="2"/>
      <c r="J35" s="2"/>
      <c r="K35" s="2"/>
      <c r="L35" s="2"/>
      <c r="M35" s="182" t="s">
        <v>57</v>
      </c>
      <c r="N35" s="183"/>
      <c r="O35" s="2"/>
      <c r="P35" s="2"/>
      <c r="Q35" s="2"/>
      <c r="R35" s="2"/>
      <c r="S35" s="2"/>
      <c r="T35" s="2"/>
      <c r="U35" s="26"/>
    </row>
    <row r="36" spans="1:21">
      <c r="A36" s="2"/>
      <c r="B36" s="2"/>
      <c r="C36" s="91" t="s">
        <v>58</v>
      </c>
      <c r="D36" s="91" t="s">
        <v>59</v>
      </c>
      <c r="E36" s="2"/>
      <c r="F36" s="2"/>
      <c r="G36" s="2"/>
      <c r="H36" s="2"/>
      <c r="I36" s="2"/>
      <c r="J36" s="2"/>
      <c r="K36" s="2"/>
      <c r="L36" s="2"/>
      <c r="M36" s="91" t="s">
        <v>58</v>
      </c>
      <c r="N36" s="91" t="s">
        <v>59</v>
      </c>
      <c r="O36" s="2"/>
      <c r="P36" s="2"/>
      <c r="Q36" s="2"/>
      <c r="R36" s="2"/>
      <c r="S36" s="2"/>
      <c r="T36" s="2"/>
      <c r="U36" s="26"/>
    </row>
    <row r="37" spans="1:21">
      <c r="A37" s="2"/>
      <c r="B37" s="2"/>
      <c r="C37" s="90">
        <f>$G$17</f>
        <v>14.73</v>
      </c>
      <c r="D37" s="90">
        <f>G17 + E18</f>
        <v>16.73</v>
      </c>
      <c r="E37" s="2"/>
      <c r="F37" s="2"/>
      <c r="G37" s="2"/>
      <c r="H37" s="2"/>
      <c r="I37" s="2"/>
      <c r="J37" s="2"/>
      <c r="K37" s="2"/>
      <c r="L37" s="2"/>
      <c r="M37" s="90">
        <f>Q17</f>
        <v>20.079999999999998</v>
      </c>
      <c r="N37" s="90">
        <f>Q17 + O18</f>
        <v>22.08</v>
      </c>
      <c r="O37" s="2"/>
      <c r="P37" s="2"/>
      <c r="Q37" s="2"/>
      <c r="R37" s="2"/>
      <c r="S37" s="2"/>
      <c r="T37" s="2"/>
      <c r="U37" s="26"/>
    </row>
    <row r="38" spans="1:21">
      <c r="A38" s="2"/>
      <c r="B38" s="2"/>
      <c r="C38" s="90">
        <f>G17 + E18</f>
        <v>16.73</v>
      </c>
      <c r="D38" s="90">
        <f>G17 + E18 + E18</f>
        <v>18.73</v>
      </c>
      <c r="E38" s="2"/>
      <c r="F38" s="2"/>
      <c r="G38" s="2"/>
      <c r="H38" s="2"/>
      <c r="I38" s="2"/>
      <c r="J38" s="2"/>
      <c r="K38" s="2"/>
      <c r="L38" s="2"/>
      <c r="M38" s="90">
        <f>Q17 + O18</f>
        <v>22.08</v>
      </c>
      <c r="N38" s="90">
        <f>R17 + P18 + P18</f>
        <v>29.96</v>
      </c>
      <c r="O38" s="2"/>
      <c r="P38" s="2"/>
      <c r="Q38" s="2"/>
      <c r="R38" s="2"/>
      <c r="S38" s="2"/>
      <c r="T38" s="2"/>
      <c r="U38" s="26"/>
    </row>
    <row r="39" spans="1:21">
      <c r="A39" s="2"/>
      <c r="B39" s="2"/>
      <c r="C39" s="90">
        <f>G17 + E18 + E18</f>
        <v>18.73</v>
      </c>
      <c r="D39" s="90">
        <f>G17 + E18 +E18+E18</f>
        <v>20.73</v>
      </c>
      <c r="E39" s="2"/>
      <c r="F39" s="2"/>
      <c r="G39" s="2"/>
      <c r="H39" s="2"/>
      <c r="I39" s="2"/>
      <c r="J39" s="2"/>
      <c r="K39" s="2"/>
      <c r="L39" s="2"/>
      <c r="M39" s="90">
        <f>Q17 + O18 + O18</f>
        <v>24.08</v>
      </c>
      <c r="N39" s="90">
        <f>Q17 + O18 +O18+O18</f>
        <v>26.08</v>
      </c>
      <c r="O39" s="2"/>
      <c r="P39" s="2"/>
      <c r="Q39" s="2"/>
      <c r="R39" s="2"/>
      <c r="S39" s="2"/>
      <c r="T39" s="2"/>
      <c r="U39" s="26"/>
    </row>
    <row r="40" spans="1:21">
      <c r="A40" s="2"/>
      <c r="B40" s="2"/>
      <c r="C40" s="90">
        <f>G17 + E18+E18+E18</f>
        <v>20.73</v>
      </c>
      <c r="D40" s="90">
        <f>G17 + E18+E18+E18+E18</f>
        <v>22.73</v>
      </c>
      <c r="E40" s="2"/>
      <c r="F40" s="2"/>
      <c r="G40" s="2"/>
      <c r="H40" s="2"/>
      <c r="I40" s="2"/>
      <c r="J40" s="2"/>
      <c r="K40" s="2"/>
      <c r="L40" s="2"/>
      <c r="M40" s="90">
        <f>Q17 + O18+O18+O18</f>
        <v>26.08</v>
      </c>
      <c r="N40" s="90">
        <f>Q17 + O18+O18+O18+O18</f>
        <v>28.08</v>
      </c>
      <c r="O40" s="2"/>
      <c r="P40" s="2"/>
      <c r="Q40" s="2"/>
      <c r="R40" s="2"/>
      <c r="S40" s="2"/>
      <c r="T40" s="2"/>
      <c r="U40" s="26"/>
    </row>
    <row r="41" spans="1:21">
      <c r="A41" s="2"/>
      <c r="B41" s="2"/>
      <c r="C41" s="90">
        <f>G17 + E18+E18+E18+E18</f>
        <v>22.73</v>
      </c>
      <c r="D41" s="90">
        <f>G17 + E18+E18+E18+E18 + E18</f>
        <v>24.73</v>
      </c>
      <c r="E41" s="2"/>
      <c r="F41" s="2"/>
      <c r="G41" s="2"/>
      <c r="H41" s="2"/>
      <c r="I41" s="2"/>
      <c r="J41" s="2"/>
      <c r="K41" s="2"/>
      <c r="L41" s="2"/>
      <c r="M41" s="90">
        <f>Q17 + O18+O18+O18+O18</f>
        <v>28.08</v>
      </c>
      <c r="N41" s="90">
        <f>Q17 + O18+O18+O18+O18 +O18</f>
        <v>30.08</v>
      </c>
      <c r="O41" s="2"/>
      <c r="P41" s="2"/>
      <c r="Q41" s="2"/>
      <c r="R41" s="2"/>
      <c r="S41" s="2"/>
      <c r="T41" s="2"/>
      <c r="U41" s="26"/>
    </row>
    <row r="42" spans="1:21">
      <c r="A42" s="2"/>
      <c r="B42" s="2"/>
      <c r="C42" s="90">
        <f>G17 + E18+E18+E18+E18+E18</f>
        <v>24.73</v>
      </c>
      <c r="D42" s="90">
        <f>G17 + E18+E18+E18+E18+E18+E18</f>
        <v>26.73</v>
      </c>
      <c r="E42" s="2"/>
      <c r="F42" s="2"/>
      <c r="G42" s="2"/>
      <c r="H42" s="2"/>
      <c r="I42" s="2"/>
      <c r="J42" s="2"/>
      <c r="K42" s="2"/>
      <c r="L42" s="2"/>
      <c r="M42" s="90">
        <f>Q17 + O18+O18+O18+O18+O18</f>
        <v>30.08</v>
      </c>
      <c r="N42" s="90">
        <f>Q17 + O18+O18+O18+O18+O18+O18</f>
        <v>32.08</v>
      </c>
      <c r="O42" s="2"/>
      <c r="P42" s="2"/>
      <c r="Q42" s="2"/>
      <c r="R42" s="2"/>
      <c r="S42" s="2"/>
      <c r="T42" s="2"/>
      <c r="U42" s="26"/>
    </row>
    <row r="43" spans="1:21">
      <c r="A43" s="2"/>
      <c r="B43" s="2"/>
      <c r="C43" s="90">
        <f>G17 + E18+E18+E18+E18+E18+E18</f>
        <v>26.73</v>
      </c>
      <c r="D43" s="90">
        <f>G17 + E18+E18+E18+E18+E18+E18+E18</f>
        <v>28.73</v>
      </c>
      <c r="E43" s="2"/>
      <c r="F43" s="2"/>
      <c r="G43" s="2"/>
      <c r="H43" s="2"/>
      <c r="I43" s="2"/>
      <c r="J43" s="2"/>
      <c r="K43" s="2"/>
      <c r="L43" s="2"/>
      <c r="M43" s="90">
        <f>Q17 + O18+O18+O18+O18+O18+O18</f>
        <v>32.08</v>
      </c>
      <c r="N43" s="90">
        <f>Q17 + O18+O18+O18+O18+O18+O18+O18</f>
        <v>34.08</v>
      </c>
      <c r="O43" s="2"/>
      <c r="P43" s="2"/>
      <c r="Q43" s="2"/>
      <c r="R43" s="2"/>
      <c r="S43" s="2"/>
      <c r="T43" s="2"/>
      <c r="U43" s="26"/>
    </row>
    <row r="44" spans="1:21">
      <c r="A44" s="2"/>
      <c r="B44" s="2"/>
      <c r="C44" s="90">
        <f>G17 + E18+E18+E18+E18+E18+E18+E18</f>
        <v>28.73</v>
      </c>
      <c r="D44" s="90">
        <f>G17 + E18+E18+E18+E18+E18+E18+E18+E18</f>
        <v>30.73</v>
      </c>
      <c r="E44" s="2"/>
      <c r="F44" s="2"/>
      <c r="G44" s="2"/>
      <c r="H44" s="2"/>
      <c r="I44" s="2"/>
      <c r="J44" s="2"/>
      <c r="K44" s="2"/>
      <c r="L44" s="2"/>
      <c r="M44" s="90">
        <f>Q17 + O18+O18+O18+O18+O18+O18+O18</f>
        <v>34.08</v>
      </c>
      <c r="N44" s="90">
        <f>Q17 + O18+O18+O18+O18+O18+O18+O18+O18</f>
        <v>36.08</v>
      </c>
      <c r="O44" s="2"/>
      <c r="P44" s="2"/>
      <c r="Q44" s="2"/>
      <c r="R44" s="2"/>
      <c r="S44" s="2"/>
      <c r="T44" s="2"/>
      <c r="U44" s="26"/>
    </row>
    <row r="45" spans="1:2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6"/>
    </row>
    <row r="46" spans="1:21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2"/>
      <c r="T46" s="2"/>
      <c r="U46" s="26"/>
    </row>
    <row r="47" spans="1:21">
      <c r="A47" s="87"/>
      <c r="B47" s="88"/>
      <c r="C47" s="88"/>
      <c r="D47" s="88"/>
      <c r="E47" s="88"/>
      <c r="F47" s="88"/>
      <c r="G47" s="88"/>
      <c r="H47" s="89"/>
      <c r="I47" s="89"/>
      <c r="J47" s="89"/>
      <c r="K47" s="89"/>
      <c r="L47" s="89"/>
      <c r="M47" s="89"/>
      <c r="N47" s="89"/>
      <c r="O47" s="89"/>
      <c r="P47" s="89"/>
      <c r="Q47" s="89"/>
      <c r="R47" s="89"/>
      <c r="S47" s="52"/>
      <c r="T47" s="52"/>
      <c r="U47" s="53"/>
    </row>
    <row r="48" spans="1:21">
      <c r="A48" s="47"/>
      <c r="B48" s="48"/>
      <c r="C48" s="48"/>
      <c r="D48" s="48"/>
      <c r="E48" s="48"/>
      <c r="F48" s="48"/>
      <c r="G48" s="48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5"/>
    </row>
    <row r="49" spans="1:21">
      <c r="A49" s="25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6"/>
    </row>
    <row r="50" spans="1:21">
      <c r="A50" s="25"/>
      <c r="B50" s="2"/>
      <c r="C50" s="2"/>
      <c r="D50" s="22"/>
      <c r="E50" s="23"/>
      <c r="F50" s="23"/>
      <c r="G50" s="23"/>
      <c r="H50" s="24"/>
      <c r="I50" s="2"/>
      <c r="J50" s="2"/>
      <c r="K50" s="2"/>
      <c r="L50" s="2"/>
      <c r="M50" s="2"/>
      <c r="N50" s="22"/>
      <c r="O50" s="23"/>
      <c r="P50" s="23"/>
      <c r="Q50" s="23"/>
      <c r="R50" s="24"/>
      <c r="S50" s="2"/>
      <c r="T50" s="2"/>
      <c r="U50" s="26"/>
    </row>
    <row r="51" spans="1:21">
      <c r="A51" s="25"/>
      <c r="B51" s="2"/>
      <c r="C51" s="2"/>
      <c r="D51" s="25"/>
      <c r="E51" s="107" t="str">
        <f>""&amp;$G$17&amp;"-"&amp;$G$17+E18&amp;""</f>
        <v>14,73-16,73</v>
      </c>
      <c r="F51" s="107">
        <f t="shared" ref="F51:F58" si="2">D22</f>
        <v>6</v>
      </c>
      <c r="G51" s="2"/>
      <c r="H51" s="26"/>
      <c r="I51" s="2"/>
      <c r="J51" s="2"/>
      <c r="K51" s="2"/>
      <c r="L51" s="2"/>
      <c r="M51" s="2"/>
      <c r="N51" s="25"/>
      <c r="O51" s="107" t="str">
        <f>""&amp;$Q$17&amp;"-"&amp;$Q$17+O18&amp;""</f>
        <v>20,08-22,08</v>
      </c>
      <c r="P51" s="107">
        <f t="shared" ref="P51:P58" si="3">N22</f>
        <v>39</v>
      </c>
      <c r="Q51" s="2"/>
      <c r="R51" s="26"/>
      <c r="S51" s="2"/>
      <c r="T51" s="2"/>
      <c r="U51" s="26"/>
    </row>
    <row r="52" spans="1:21">
      <c r="A52" s="25"/>
      <c r="B52" s="2"/>
      <c r="C52" s="2"/>
      <c r="D52" s="25"/>
      <c r="E52" s="107" t="str">
        <f>""&amp;$G$17+E18&amp;"-"&amp;$G$17+E18+E18&amp;""</f>
        <v>16,73-18,73</v>
      </c>
      <c r="F52" s="107">
        <f t="shared" si="2"/>
        <v>20</v>
      </c>
      <c r="G52" s="2"/>
      <c r="H52" s="26"/>
      <c r="I52" s="2"/>
      <c r="J52" s="2"/>
      <c r="K52" s="2"/>
      <c r="L52" s="2"/>
      <c r="M52" s="2"/>
      <c r="N52" s="25"/>
      <c r="O52" s="107" t="str">
        <f>""&amp;$Q$17+O18&amp;"-"&amp;$Q$17+O18+O18&amp;""</f>
        <v>22,08-24,08</v>
      </c>
      <c r="P52" s="107">
        <f t="shared" si="3"/>
        <v>52</v>
      </c>
      <c r="Q52" s="2"/>
      <c r="R52" s="26"/>
      <c r="S52" s="2"/>
      <c r="T52" s="2"/>
      <c r="U52" s="26"/>
    </row>
    <row r="53" spans="1:21">
      <c r="A53" s="25"/>
      <c r="B53" s="2"/>
      <c r="C53" s="2"/>
      <c r="D53" s="25"/>
      <c r="E53" s="107" t="str">
        <f>""&amp;$G$17+E18+E18&amp;"-"&amp;$G$17+E18+E18+E18&amp;""</f>
        <v>18,73-20,73</v>
      </c>
      <c r="F53" s="107">
        <f t="shared" si="2"/>
        <v>46</v>
      </c>
      <c r="G53" s="2"/>
      <c r="H53" s="26"/>
      <c r="I53" s="2"/>
      <c r="J53" s="2"/>
      <c r="K53" s="2"/>
      <c r="L53" s="2"/>
      <c r="M53" s="2"/>
      <c r="N53" s="25"/>
      <c r="O53" s="107" t="str">
        <f>""&amp;$Q$17+O18+O18&amp;"-"&amp;$Q$17+O18+O18+O18&amp;""</f>
        <v>24,08-26,08</v>
      </c>
      <c r="P53" s="107">
        <f t="shared" si="3"/>
        <v>32</v>
      </c>
      <c r="Q53" s="2"/>
      <c r="R53" s="26"/>
      <c r="S53" s="2"/>
      <c r="T53" s="2"/>
      <c r="U53" s="26"/>
    </row>
    <row r="54" spans="1:21">
      <c r="A54" s="25"/>
      <c r="B54" s="2"/>
      <c r="C54" s="2"/>
      <c r="D54" s="25"/>
      <c r="E54" s="107" t="str">
        <f>""&amp;$G$17+E18+E18+E18&amp;"-"&amp;$G$17+E18+E18+E18+E18&amp;""</f>
        <v>20,73-22,73</v>
      </c>
      <c r="F54" s="107">
        <f t="shared" si="2"/>
        <v>64</v>
      </c>
      <c r="G54" s="2"/>
      <c r="H54" s="26"/>
      <c r="I54" s="2"/>
      <c r="J54" s="2"/>
      <c r="K54" s="2"/>
      <c r="L54" s="2"/>
      <c r="M54" s="2"/>
      <c r="N54" s="25"/>
      <c r="O54" s="107" t="str">
        <f>""&amp;$Q$17+O18+O18+O18&amp;"-"&amp;$Q$17+O18+O18+O18+O18&amp;""</f>
        <v>26,08-28,08</v>
      </c>
      <c r="P54" s="107">
        <f t="shared" si="3"/>
        <v>42</v>
      </c>
      <c r="Q54" s="2"/>
      <c r="R54" s="26"/>
      <c r="S54" s="2"/>
      <c r="T54" s="2"/>
      <c r="U54" s="26"/>
    </row>
    <row r="55" spans="1:21">
      <c r="A55" s="25"/>
      <c r="B55" s="2"/>
      <c r="C55" s="2"/>
      <c r="D55" s="25"/>
      <c r="E55" s="107" t="str">
        <f>""&amp;$G$17+E18+E18+E18+E18&amp;"-"&amp;$G$17+E18+E18+E18+E18+E18&amp;""</f>
        <v>22,73-24,73</v>
      </c>
      <c r="F55" s="107">
        <f t="shared" si="2"/>
        <v>39</v>
      </c>
      <c r="G55" s="2"/>
      <c r="H55" s="26"/>
      <c r="I55" s="2"/>
      <c r="J55" s="2"/>
      <c r="K55" s="2"/>
      <c r="L55" s="2"/>
      <c r="M55" s="2"/>
      <c r="N55" s="25"/>
      <c r="O55" s="107" t="str">
        <f>""&amp;$Q$17+O18+O18+O18+O18&amp;"-"&amp;$Q$17+O18+O18+O18+O18+O18&amp;""</f>
        <v>28,08-30,08</v>
      </c>
      <c r="P55" s="107">
        <f t="shared" si="3"/>
        <v>35</v>
      </c>
      <c r="Q55" s="2"/>
      <c r="R55" s="26"/>
      <c r="S55" s="2"/>
      <c r="T55" s="2"/>
      <c r="U55" s="26"/>
    </row>
    <row r="56" spans="1:21">
      <c r="A56" s="25"/>
      <c r="B56" s="2"/>
      <c r="C56" s="2"/>
      <c r="D56" s="25"/>
      <c r="E56" s="107" t="str">
        <f>""&amp;$G$17+E18+E18+E18+E18+E18&amp;"-"&amp;$G$17+E18+E18+E18+E18+E18+E18&amp;""</f>
        <v>24,73-26,73</v>
      </c>
      <c r="F56" s="107">
        <f t="shared" si="2"/>
        <v>18</v>
      </c>
      <c r="G56" s="2"/>
      <c r="H56" s="26"/>
      <c r="I56" s="2"/>
      <c r="J56" s="2"/>
      <c r="K56" s="2"/>
      <c r="L56" s="2"/>
      <c r="M56" s="2"/>
      <c r="N56" s="25"/>
      <c r="O56" s="107" t="str">
        <f>""&amp;$Q$17+O18+O18+O18+O18+O18&amp;"-"&amp;$Q$17+O18+O18+O18+O18+O18+O18&amp;""</f>
        <v>30,08-32,08</v>
      </c>
      <c r="P56" s="107">
        <f t="shared" si="3"/>
        <v>0</v>
      </c>
      <c r="Q56" s="2"/>
      <c r="R56" s="26"/>
      <c r="S56" s="2"/>
      <c r="T56" s="2"/>
      <c r="U56" s="26"/>
    </row>
    <row r="57" spans="1:21">
      <c r="A57" s="25"/>
      <c r="B57" s="2"/>
      <c r="C57" s="2"/>
      <c r="D57" s="25"/>
      <c r="E57" s="107" t="str">
        <f>""&amp;$G$17+E18+E18+E18+E18+E18+E18&amp;"-"&amp;$G$17+E18+E18+E18+E18+E18+E18+E18&amp;""</f>
        <v>26,73-28,73</v>
      </c>
      <c r="F57" s="107">
        <f t="shared" si="2"/>
        <v>6</v>
      </c>
      <c r="G57" s="2"/>
      <c r="H57" s="26"/>
      <c r="I57" s="2"/>
      <c r="J57" s="2"/>
      <c r="K57" s="2"/>
      <c r="L57" s="2"/>
      <c r="M57" s="2"/>
      <c r="N57" s="25"/>
      <c r="O57" s="107" t="str">
        <f>""&amp;$Q$17+O18+O18+O18+O18+O18+O18&amp;"-"&amp;$Q$17+O18+O18+O18+O18+O18+O18+O18&amp;""</f>
        <v>32,08-34,08</v>
      </c>
      <c r="P57" s="107">
        <f t="shared" si="3"/>
        <v>0</v>
      </c>
      <c r="Q57" s="2"/>
      <c r="R57" s="26"/>
      <c r="S57" s="2"/>
      <c r="T57" s="2"/>
      <c r="U57" s="26"/>
    </row>
    <row r="58" spans="1:21">
      <c r="A58" s="25"/>
      <c r="B58" s="2"/>
      <c r="C58" s="2"/>
      <c r="D58" s="25"/>
      <c r="E58" s="107" t="str">
        <f>" "&amp;$G$17+E18+E18+E18+E18+E18+E18+E18&amp;"-"&amp;$G$17+E18+E18+E18+E18+E18+E18+E18+E18&amp;""</f>
        <v xml:space="preserve"> 28,73-30,73</v>
      </c>
      <c r="F58" s="107">
        <f t="shared" si="2"/>
        <v>1</v>
      </c>
      <c r="G58" s="2"/>
      <c r="H58" s="26"/>
      <c r="I58" s="2"/>
      <c r="J58" s="2"/>
      <c r="K58" s="2"/>
      <c r="L58" s="2"/>
      <c r="M58" s="2"/>
      <c r="N58" s="25"/>
      <c r="O58" s="107" t="str">
        <f>""&amp;$Q$17+O18+O18+O18+O18+O18+O18+O18&amp;"-"&amp;$Q$17+O18+O18+O18+O18+O18+O18+O18+O18&amp;""</f>
        <v>34,08-36,08</v>
      </c>
      <c r="P58" s="107">
        <f t="shared" si="3"/>
        <v>0</v>
      </c>
      <c r="Q58" s="2"/>
      <c r="R58" s="26"/>
      <c r="S58" s="2"/>
      <c r="T58" s="2"/>
      <c r="U58" s="26"/>
    </row>
    <row r="59" spans="1:21">
      <c r="A59" s="25"/>
      <c r="B59" s="2"/>
      <c r="C59" s="2"/>
      <c r="D59" s="25"/>
      <c r="E59" s="2"/>
      <c r="F59" s="2"/>
      <c r="G59" s="2"/>
      <c r="H59" s="26"/>
      <c r="I59" s="2"/>
      <c r="J59" s="2"/>
      <c r="K59" s="2"/>
      <c r="L59" s="2"/>
      <c r="M59" s="2"/>
      <c r="N59" s="25"/>
      <c r="O59" s="2"/>
      <c r="P59" s="2"/>
      <c r="Q59" s="2"/>
      <c r="R59" s="26"/>
      <c r="S59" s="2"/>
      <c r="T59" s="2"/>
      <c r="U59" s="26"/>
    </row>
    <row r="60" spans="1:21">
      <c r="A60" s="25"/>
      <c r="B60" s="2"/>
      <c r="C60" s="2"/>
      <c r="D60" s="25"/>
      <c r="E60" s="2"/>
      <c r="F60" s="2"/>
      <c r="G60" s="2"/>
      <c r="H60" s="26"/>
      <c r="I60" s="2"/>
      <c r="J60" s="2"/>
      <c r="K60" s="2"/>
      <c r="L60" s="2"/>
      <c r="M60" s="2"/>
      <c r="N60" s="25"/>
      <c r="O60" s="2"/>
      <c r="P60" s="2"/>
      <c r="Q60" s="2"/>
      <c r="R60" s="26"/>
      <c r="S60" s="2"/>
      <c r="T60" s="2"/>
      <c r="U60" s="26"/>
    </row>
    <row r="61" spans="1:21">
      <c r="A61" s="25"/>
      <c r="B61" s="2"/>
      <c r="C61" s="2"/>
      <c r="D61" s="25"/>
      <c r="E61" s="2"/>
      <c r="F61" s="2"/>
      <c r="G61" s="2"/>
      <c r="H61" s="26"/>
      <c r="I61" s="2"/>
      <c r="J61" s="2"/>
      <c r="K61" s="2"/>
      <c r="L61" s="2"/>
      <c r="M61" s="2"/>
      <c r="N61" s="25"/>
      <c r="O61" s="2"/>
      <c r="P61" s="2"/>
      <c r="Q61" s="2"/>
      <c r="R61" s="26"/>
      <c r="S61" s="2"/>
      <c r="T61" s="2"/>
      <c r="U61" s="26"/>
    </row>
    <row r="62" spans="1:21">
      <c r="A62" s="25"/>
      <c r="B62" s="2"/>
      <c r="C62" s="2"/>
      <c r="D62" s="25"/>
      <c r="E62" s="2"/>
      <c r="F62" s="2"/>
      <c r="G62" s="2"/>
      <c r="H62" s="26"/>
      <c r="I62" s="2"/>
      <c r="J62" s="2"/>
      <c r="K62" s="2"/>
      <c r="L62" s="2"/>
      <c r="M62" s="2"/>
      <c r="N62" s="25"/>
      <c r="O62" s="2"/>
      <c r="P62" s="2"/>
      <c r="Q62" s="2"/>
      <c r="R62" s="26"/>
      <c r="S62" s="2"/>
      <c r="T62" s="2"/>
      <c r="U62" s="26"/>
    </row>
    <row r="63" spans="1:21">
      <c r="A63" s="25"/>
      <c r="B63" s="2"/>
      <c r="C63" s="2"/>
      <c r="D63" s="25"/>
      <c r="E63" s="2"/>
      <c r="F63" s="2"/>
      <c r="G63" s="2"/>
      <c r="H63" s="26"/>
      <c r="I63" s="2"/>
      <c r="J63" s="2"/>
      <c r="K63" s="2"/>
      <c r="L63" s="2"/>
      <c r="M63" s="2"/>
      <c r="N63" s="25"/>
      <c r="O63" s="2"/>
      <c r="P63" s="2"/>
      <c r="Q63" s="2"/>
      <c r="R63" s="26"/>
      <c r="S63" s="2"/>
      <c r="T63" s="2"/>
      <c r="U63" s="26"/>
    </row>
    <row r="64" spans="1:21">
      <c r="A64" s="25"/>
      <c r="B64" s="2"/>
      <c r="C64" s="2"/>
      <c r="D64" s="25"/>
      <c r="E64" s="2"/>
      <c r="F64" s="2"/>
      <c r="G64" s="2"/>
      <c r="H64" s="26"/>
      <c r="I64" s="2"/>
      <c r="J64" s="2"/>
      <c r="K64" s="2"/>
      <c r="L64" s="2"/>
      <c r="M64" s="2"/>
      <c r="N64" s="25"/>
      <c r="O64" s="2"/>
      <c r="P64" s="2"/>
      <c r="Q64" s="2"/>
      <c r="R64" s="26"/>
      <c r="S64" s="2"/>
      <c r="T64" s="2"/>
      <c r="U64" s="26"/>
    </row>
    <row r="65" spans="1:21">
      <c r="A65" s="25"/>
      <c r="B65" s="2"/>
      <c r="C65" s="2"/>
      <c r="D65" s="25"/>
      <c r="E65" s="2"/>
      <c r="F65" s="2"/>
      <c r="G65" s="2"/>
      <c r="H65" s="26"/>
      <c r="I65" s="2"/>
      <c r="J65" s="2"/>
      <c r="K65" s="2"/>
      <c r="L65" s="2"/>
      <c r="M65" s="2"/>
      <c r="N65" s="25"/>
      <c r="O65" s="2"/>
      <c r="P65" s="2"/>
      <c r="Q65" s="2"/>
      <c r="R65" s="26"/>
      <c r="S65" s="2"/>
      <c r="T65" s="2"/>
      <c r="U65" s="26"/>
    </row>
    <row r="66" spans="1:21">
      <c r="A66" s="25"/>
      <c r="B66" s="2"/>
      <c r="C66" s="2"/>
      <c r="D66" s="25"/>
      <c r="E66" s="2"/>
      <c r="F66" s="2"/>
      <c r="G66" s="2"/>
      <c r="H66" s="26"/>
      <c r="I66" s="2"/>
      <c r="J66" s="2"/>
      <c r="K66" s="2"/>
      <c r="L66" s="2"/>
      <c r="M66" s="2"/>
      <c r="N66" s="25"/>
      <c r="O66" s="2"/>
      <c r="P66" s="2"/>
      <c r="Q66" s="2"/>
      <c r="R66" s="26"/>
      <c r="S66" s="2"/>
      <c r="T66" s="2"/>
      <c r="U66" s="26"/>
    </row>
    <row r="67" spans="1:21">
      <c r="A67" s="25"/>
      <c r="B67" s="2"/>
      <c r="C67" s="2"/>
      <c r="D67" s="25"/>
      <c r="E67" s="2"/>
      <c r="F67" s="2"/>
      <c r="G67" s="2"/>
      <c r="H67" s="26"/>
      <c r="I67" s="2"/>
      <c r="J67" s="2"/>
      <c r="K67" s="2"/>
      <c r="L67" s="2"/>
      <c r="M67" s="2"/>
      <c r="N67" s="25"/>
      <c r="O67" s="2"/>
      <c r="P67" s="2"/>
      <c r="Q67" s="2"/>
      <c r="R67" s="26"/>
      <c r="S67" s="2"/>
      <c r="T67" s="2"/>
      <c r="U67" s="26"/>
    </row>
    <row r="68" spans="1:21">
      <c r="A68" s="25"/>
      <c r="B68" s="2"/>
      <c r="C68" s="2"/>
      <c r="D68" s="25"/>
      <c r="E68" s="2"/>
      <c r="F68" s="2"/>
      <c r="G68" s="2"/>
      <c r="H68" s="26"/>
      <c r="I68" s="2"/>
      <c r="J68" s="2"/>
      <c r="K68" s="2"/>
      <c r="L68" s="2"/>
      <c r="M68" s="2"/>
      <c r="N68" s="25"/>
      <c r="O68" s="2"/>
      <c r="P68" s="2"/>
      <c r="Q68" s="2"/>
      <c r="R68" s="26"/>
      <c r="S68" s="2"/>
      <c r="T68" s="2"/>
      <c r="U68" s="26"/>
    </row>
    <row r="69" spans="1:21">
      <c r="A69" s="25"/>
      <c r="B69" s="2"/>
      <c r="C69" s="2"/>
      <c r="D69" s="25"/>
      <c r="E69" s="2"/>
      <c r="F69" s="2"/>
      <c r="G69" s="2"/>
      <c r="H69" s="26"/>
      <c r="I69" s="2"/>
      <c r="J69" s="2"/>
      <c r="K69" s="2"/>
      <c r="L69" s="2"/>
      <c r="M69" s="2"/>
      <c r="N69" s="25"/>
      <c r="O69" s="2"/>
      <c r="P69" s="2"/>
      <c r="Q69" s="2"/>
      <c r="R69" s="26"/>
      <c r="S69" s="2"/>
      <c r="T69" s="2"/>
      <c r="U69" s="26"/>
    </row>
    <row r="70" spans="1:21">
      <c r="A70" s="25"/>
      <c r="B70" s="2"/>
      <c r="C70" s="2"/>
      <c r="D70" s="25"/>
      <c r="E70" s="2"/>
      <c r="F70" s="2"/>
      <c r="G70" s="2"/>
      <c r="H70" s="26"/>
      <c r="I70" s="2"/>
      <c r="J70" s="2"/>
      <c r="K70" s="2"/>
      <c r="L70" s="2"/>
      <c r="M70" s="2"/>
      <c r="N70" s="25"/>
      <c r="O70" s="2"/>
      <c r="P70" s="2"/>
      <c r="Q70" s="2"/>
      <c r="R70" s="26"/>
      <c r="S70" s="2"/>
      <c r="T70" s="2"/>
      <c r="U70" s="26"/>
    </row>
    <row r="71" spans="1:21">
      <c r="A71" s="25"/>
      <c r="B71" s="2"/>
      <c r="C71" s="2"/>
      <c r="D71" s="25"/>
      <c r="E71" s="2"/>
      <c r="F71" s="2"/>
      <c r="G71" s="2"/>
      <c r="H71" s="26"/>
      <c r="I71" s="2"/>
      <c r="J71" s="2"/>
      <c r="K71" s="2"/>
      <c r="L71" s="2"/>
      <c r="M71" s="2"/>
      <c r="N71" s="25"/>
      <c r="O71" s="2"/>
      <c r="P71" s="2"/>
      <c r="Q71" s="2"/>
      <c r="R71" s="26"/>
      <c r="S71" s="2"/>
      <c r="T71" s="2"/>
      <c r="U71" s="26"/>
    </row>
    <row r="72" spans="1:21">
      <c r="A72" s="25"/>
      <c r="B72" s="2"/>
      <c r="C72" s="2"/>
      <c r="D72" s="25"/>
      <c r="E72" s="2"/>
      <c r="F72" s="2"/>
      <c r="G72" s="2"/>
      <c r="H72" s="26"/>
      <c r="I72" s="2"/>
      <c r="J72" s="2"/>
      <c r="K72" s="2"/>
      <c r="L72" s="2"/>
      <c r="M72" s="2"/>
      <c r="N72" s="25"/>
      <c r="O72" s="2"/>
      <c r="P72" s="2"/>
      <c r="Q72" s="2"/>
      <c r="R72" s="26"/>
      <c r="S72" s="2"/>
      <c r="T72" s="2"/>
      <c r="U72" s="26"/>
    </row>
    <row r="73" spans="1:21">
      <c r="A73" s="25"/>
      <c r="B73" s="2"/>
      <c r="C73" s="2"/>
      <c r="D73" s="25"/>
      <c r="E73" s="2"/>
      <c r="F73" s="2"/>
      <c r="G73" s="2"/>
      <c r="H73" s="26"/>
      <c r="I73" s="2"/>
      <c r="J73" s="2"/>
      <c r="K73" s="2"/>
      <c r="L73" s="2"/>
      <c r="M73" s="2"/>
      <c r="N73" s="25"/>
      <c r="O73" s="2"/>
      <c r="P73" s="2"/>
      <c r="Q73" s="2"/>
      <c r="R73" s="26"/>
      <c r="S73" s="2"/>
      <c r="T73" s="2"/>
      <c r="U73" s="26"/>
    </row>
    <row r="74" spans="1:21">
      <c r="A74" s="25"/>
      <c r="B74" s="2"/>
      <c r="C74" s="2"/>
      <c r="D74" s="25"/>
      <c r="E74" s="2"/>
      <c r="F74" s="2"/>
      <c r="G74" s="2"/>
      <c r="H74" s="26"/>
      <c r="I74" s="2"/>
      <c r="J74" s="2"/>
      <c r="K74" s="2"/>
      <c r="L74" s="2"/>
      <c r="M74" s="2"/>
      <c r="N74" s="25"/>
      <c r="O74" s="2"/>
      <c r="P74" s="2"/>
      <c r="Q74" s="2"/>
      <c r="R74" s="26"/>
      <c r="S74" s="2"/>
      <c r="T74" s="2"/>
      <c r="U74" s="26"/>
    </row>
    <row r="75" spans="1:21">
      <c r="A75" s="25"/>
      <c r="B75" s="2"/>
      <c r="C75" s="2"/>
      <c r="D75" s="42"/>
      <c r="E75" s="43"/>
      <c r="F75" s="43"/>
      <c r="G75" s="43"/>
      <c r="H75" s="44"/>
      <c r="I75" s="2"/>
      <c r="J75" s="2"/>
      <c r="K75" s="2"/>
      <c r="L75" s="2"/>
      <c r="M75" s="2"/>
      <c r="N75" s="42"/>
      <c r="O75" s="43"/>
      <c r="P75" s="43"/>
      <c r="Q75" s="43"/>
      <c r="R75" s="44"/>
      <c r="S75" s="2"/>
      <c r="T75" s="2"/>
      <c r="U75" s="26"/>
    </row>
    <row r="76" spans="1:21">
      <c r="A76" s="25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6"/>
    </row>
    <row r="77" spans="1:21">
      <c r="A77" s="193" t="s">
        <v>60</v>
      </c>
      <c r="B77" s="194"/>
      <c r="C77" s="194"/>
      <c r="D77" s="194"/>
      <c r="E77" s="194"/>
      <c r="F77" s="194"/>
      <c r="G77" s="194"/>
      <c r="H77" s="194"/>
      <c r="I77" s="194"/>
      <c r="J77" s="194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3"/>
    </row>
    <row r="78" spans="1:21">
      <c r="A78" s="195"/>
      <c r="B78" s="196"/>
      <c r="C78" s="196"/>
      <c r="D78" s="196"/>
      <c r="E78" s="196"/>
      <c r="F78" s="196"/>
      <c r="G78" s="196"/>
      <c r="H78" s="196"/>
      <c r="I78" s="196"/>
      <c r="J78" s="196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5"/>
    </row>
    <row r="79" spans="1:21">
      <c r="A79" s="25"/>
      <c r="B79" s="2"/>
      <c r="C79" s="2"/>
      <c r="D79" s="2"/>
      <c r="E79" s="2"/>
      <c r="F79" s="2"/>
      <c r="G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6"/>
    </row>
    <row r="80" spans="1:21">
      <c r="A80" s="25"/>
      <c r="B80" s="2"/>
      <c r="C80" s="2"/>
      <c r="D80" s="121"/>
      <c r="E80" s="122"/>
      <c r="F80" s="123"/>
      <c r="G80" s="2"/>
      <c r="H80" s="2"/>
      <c r="I80" s="2"/>
      <c r="J80" s="2"/>
      <c r="K80" s="2"/>
      <c r="L80" s="2"/>
      <c r="M80" s="2"/>
      <c r="N80" s="2"/>
      <c r="O80" s="121"/>
      <c r="P80" s="122"/>
      <c r="Q80" s="123"/>
      <c r="R80" s="2"/>
      <c r="S80" s="2"/>
      <c r="T80" s="2"/>
      <c r="U80" s="26"/>
    </row>
    <row r="81" spans="1:21">
      <c r="A81" s="25"/>
      <c r="B81" s="2"/>
      <c r="C81" s="2"/>
      <c r="D81" s="124"/>
      <c r="E81" s="125" t="s">
        <v>36</v>
      </c>
      <c r="F81" s="126"/>
      <c r="G81" s="2"/>
      <c r="H81" s="2"/>
      <c r="I81" s="2"/>
      <c r="J81" s="2"/>
      <c r="K81" s="2"/>
      <c r="L81" s="2"/>
      <c r="M81" s="2"/>
      <c r="N81" s="2"/>
      <c r="O81" s="124"/>
      <c r="P81" s="125" t="s">
        <v>37</v>
      </c>
      <c r="Q81" s="126"/>
      <c r="R81" s="2"/>
      <c r="S81" s="2"/>
      <c r="T81" s="2"/>
      <c r="U81" s="26"/>
    </row>
    <row r="82" spans="1:21">
      <c r="A82" s="25"/>
      <c r="B82" s="2"/>
      <c r="C82" s="2"/>
      <c r="D82" s="124"/>
      <c r="E82" s="127"/>
      <c r="F82" s="126"/>
      <c r="G82" s="2"/>
      <c r="H82" s="2"/>
      <c r="I82" s="2"/>
      <c r="J82" s="2"/>
      <c r="K82" s="2"/>
      <c r="L82" s="2"/>
      <c r="M82" s="2"/>
      <c r="N82" s="2"/>
      <c r="O82" s="124"/>
      <c r="P82" s="127"/>
      <c r="Q82" s="126"/>
      <c r="R82" s="2"/>
      <c r="S82" s="2"/>
      <c r="T82" s="2"/>
      <c r="U82" s="26"/>
    </row>
    <row r="83" spans="1:21" ht="50.25" customHeight="1">
      <c r="A83" s="25"/>
      <c r="B83" s="2"/>
      <c r="C83" s="2"/>
      <c r="D83" s="128" t="s">
        <v>13</v>
      </c>
      <c r="E83" s="129" t="s">
        <v>61</v>
      </c>
      <c r="F83" s="130" t="s">
        <v>62</v>
      </c>
      <c r="G83" s="83"/>
      <c r="H83" s="2"/>
      <c r="I83" s="2"/>
      <c r="J83" s="83"/>
      <c r="K83" s="2"/>
      <c r="L83" s="2"/>
      <c r="M83" s="2"/>
      <c r="N83" s="2"/>
      <c r="O83" s="137" t="s">
        <v>13</v>
      </c>
      <c r="P83" s="129" t="s">
        <v>61</v>
      </c>
      <c r="Q83" s="130" t="s">
        <v>62</v>
      </c>
      <c r="R83" s="2"/>
      <c r="S83" s="2"/>
      <c r="T83" s="2"/>
      <c r="U83" s="26"/>
    </row>
    <row r="84" spans="1:21">
      <c r="A84" s="25"/>
      <c r="B84" s="2"/>
      <c r="C84" s="2"/>
      <c r="D84" s="131" t="s">
        <v>16</v>
      </c>
      <c r="E84" s="132">
        <f>AVERAGE(Dados!D3:D202)</f>
        <v>21.645799999999994</v>
      </c>
      <c r="F84" s="133">
        <f>SUMPRODUCT(C22:C29,D22:D29)/C31</f>
        <v>21.66</v>
      </c>
      <c r="G84" s="84"/>
      <c r="H84" s="2"/>
      <c r="I84" s="2"/>
      <c r="J84" s="83"/>
      <c r="K84" s="2"/>
      <c r="L84" s="2"/>
      <c r="M84" s="2"/>
      <c r="N84" s="2"/>
      <c r="O84" s="131" t="s">
        <v>16</v>
      </c>
      <c r="P84" s="132">
        <f>AVERAGE(Dados!E3:E202)</f>
        <v>24.908100000000008</v>
      </c>
      <c r="Q84" s="133" cm="1">
        <f t="array" ref="Q84">SUMPRODUCT(M22:M29,N22:N29/M31)</f>
        <v>24.9</v>
      </c>
      <c r="R84" s="84"/>
      <c r="S84" s="2"/>
      <c r="T84" s="2"/>
      <c r="U84" s="26"/>
    </row>
    <row r="85" spans="1:21">
      <c r="A85" s="25"/>
      <c r="B85" s="2"/>
      <c r="C85" s="2"/>
      <c r="D85" s="134" t="s">
        <v>17</v>
      </c>
      <c r="E85" s="135">
        <f>MEDIAN(Dados!D3:D202)</f>
        <v>21.5</v>
      </c>
      <c r="F85" s="136">
        <f>E88+(E89-E90)*E92/E91</f>
        <v>21.605</v>
      </c>
      <c r="G85" s="83"/>
      <c r="H85" s="2"/>
      <c r="I85" s="2"/>
      <c r="J85" s="83"/>
      <c r="K85" s="2"/>
      <c r="L85" s="2"/>
      <c r="M85" s="2"/>
      <c r="N85" s="2"/>
      <c r="O85" s="134" t="s">
        <v>17</v>
      </c>
      <c r="P85" s="138">
        <f>MEDIAN(Dados!E3:E202)</f>
        <v>24.715000000000003</v>
      </c>
      <c r="Q85" s="110">
        <f>P88+(P89-P90)*P92/P91</f>
        <v>24.642499999999998</v>
      </c>
      <c r="R85" s="2"/>
      <c r="S85" s="2"/>
      <c r="T85" s="2"/>
      <c r="U85" s="26"/>
    </row>
    <row r="86" spans="1:21">
      <c r="A86" s="25"/>
      <c r="B86" s="2"/>
      <c r="C86" s="2"/>
      <c r="D86" s="92"/>
      <c r="E86" s="93"/>
      <c r="F86" s="94"/>
      <c r="G86" s="83"/>
      <c r="H86" s="2"/>
      <c r="I86" s="2"/>
      <c r="J86" s="83"/>
      <c r="K86" s="2"/>
      <c r="L86" s="2"/>
      <c r="M86" s="2"/>
      <c r="N86" s="2"/>
      <c r="O86" s="92"/>
      <c r="P86" s="92"/>
      <c r="Q86" s="95"/>
      <c r="R86" s="2"/>
      <c r="S86" s="2"/>
      <c r="T86" s="2"/>
      <c r="U86" s="26"/>
    </row>
    <row r="87" spans="1:21">
      <c r="A87" s="25"/>
      <c r="B87" s="2"/>
      <c r="C87" s="2"/>
      <c r="D87" s="92"/>
      <c r="E87" s="93"/>
      <c r="F87" s="94"/>
      <c r="G87" s="83"/>
      <c r="H87" s="2"/>
      <c r="I87" s="2"/>
      <c r="J87" s="83"/>
      <c r="K87" s="2"/>
      <c r="L87" s="2"/>
      <c r="M87" s="2"/>
      <c r="N87" s="2"/>
      <c r="O87" s="92"/>
      <c r="P87" s="92"/>
      <c r="Q87" s="95"/>
      <c r="R87" s="2"/>
      <c r="S87" s="2"/>
      <c r="T87" s="2"/>
      <c r="U87" s="26"/>
    </row>
    <row r="88" spans="1:21" ht="17.100000000000001">
      <c r="A88" s="25"/>
      <c r="B88" s="2"/>
      <c r="C88" s="2"/>
      <c r="D88" s="60" t="s">
        <v>63</v>
      </c>
      <c r="E88" s="60" cm="1">
        <f t="array" ref="E88">INDEX(C37:C44,E93,1)</f>
        <v>20.73</v>
      </c>
      <c r="F88" s="94"/>
      <c r="G88" s="83"/>
      <c r="H88" s="2"/>
      <c r="I88" s="2"/>
      <c r="J88" s="83"/>
      <c r="K88" s="2"/>
      <c r="L88" s="2"/>
      <c r="M88" s="2"/>
      <c r="N88" s="2"/>
      <c r="O88" s="60" t="s">
        <v>63</v>
      </c>
      <c r="P88" s="60" cm="1">
        <f t="array" ref="P88">INDEX(M37:M44,P93,1)</f>
        <v>24.08</v>
      </c>
      <c r="Q88" s="95"/>
      <c r="R88" s="2"/>
      <c r="S88" s="2"/>
      <c r="T88" s="2"/>
      <c r="U88" s="26"/>
    </row>
    <row r="89" spans="1:21" ht="17.100000000000001">
      <c r="A89" s="25"/>
      <c r="B89" s="2"/>
      <c r="C89" s="2"/>
      <c r="D89" s="60" t="s">
        <v>64</v>
      </c>
      <c r="E89" s="60">
        <f>0.5</f>
        <v>0.5</v>
      </c>
      <c r="F89" s="94"/>
      <c r="G89" s="83"/>
      <c r="H89" s="2"/>
      <c r="I89" s="2"/>
      <c r="J89" s="83"/>
      <c r="K89" s="2"/>
      <c r="L89" s="2"/>
      <c r="M89" s="2"/>
      <c r="N89" s="2"/>
      <c r="O89" s="60" t="s">
        <v>64</v>
      </c>
      <c r="P89" s="60">
        <f>0.5</f>
        <v>0.5</v>
      </c>
      <c r="Q89" s="95"/>
      <c r="R89" s="2"/>
      <c r="S89" s="2"/>
      <c r="T89" s="2"/>
      <c r="U89" s="26"/>
    </row>
    <row r="90" spans="1:21" ht="17.100000000000001">
      <c r="A90" s="25"/>
      <c r="B90" s="2"/>
      <c r="C90" s="2"/>
      <c r="D90" s="60" t="s">
        <v>65</v>
      </c>
      <c r="E90" s="60" cm="1">
        <f t="array" ref="E90">IF(E89=G22,0,INDEX(G22:G29,-1+E93,1))</f>
        <v>0.36</v>
      </c>
      <c r="F90" s="94"/>
      <c r="G90" s="83"/>
      <c r="H90" s="96"/>
      <c r="I90" s="96"/>
      <c r="J90" s="83"/>
      <c r="K90" s="2"/>
      <c r="L90" s="2"/>
      <c r="M90" s="2"/>
      <c r="N90" s="2"/>
      <c r="O90" s="60" t="s">
        <v>65</v>
      </c>
      <c r="P90" s="60" cm="1">
        <f t="array" ref="P90">IF(P89=Q22,0,INDEX(Q22:Q29,-1+P93,1))</f>
        <v>0.45500000000000002</v>
      </c>
      <c r="Q90" s="95"/>
      <c r="R90" s="2"/>
      <c r="S90" s="2"/>
      <c r="T90" s="2"/>
      <c r="U90" s="26"/>
    </row>
    <row r="91" spans="1:21" ht="17.100000000000001">
      <c r="A91" s="25"/>
      <c r="B91" s="2"/>
      <c r="C91" s="2"/>
      <c r="D91" s="60" t="s">
        <v>66</v>
      </c>
      <c r="E91" s="60" cm="1">
        <f t="array" ref="E91">INDEX(E22:E29,E93,1)</f>
        <v>0.32</v>
      </c>
      <c r="F91" s="94"/>
      <c r="G91" s="83"/>
      <c r="H91" s="96"/>
      <c r="I91" s="96"/>
      <c r="J91" s="83"/>
      <c r="K91" s="2"/>
      <c r="L91" s="2"/>
      <c r="M91" s="2"/>
      <c r="N91" s="2"/>
      <c r="O91" s="60" t="s">
        <v>66</v>
      </c>
      <c r="P91" s="60" cm="1">
        <f t="array" ref="P91">INDEX(O22:O29,P93,1)</f>
        <v>0.16</v>
      </c>
      <c r="Q91" s="95"/>
      <c r="R91" s="2"/>
      <c r="S91" s="2"/>
      <c r="T91" s="2"/>
      <c r="U91" s="26"/>
    </row>
    <row r="92" spans="1:21" ht="17.100000000000001">
      <c r="A92" s="25"/>
      <c r="B92" s="2"/>
      <c r="C92" s="2"/>
      <c r="D92" s="60" t="s">
        <v>67</v>
      </c>
      <c r="E92" s="97">
        <f>E18</f>
        <v>2</v>
      </c>
      <c r="F92" s="94"/>
      <c r="G92" s="83"/>
      <c r="H92" s="96"/>
      <c r="I92" s="96"/>
      <c r="J92" s="83"/>
      <c r="K92" s="2"/>
      <c r="L92" s="2"/>
      <c r="M92" s="2"/>
      <c r="N92" s="2"/>
      <c r="O92" s="60" t="s">
        <v>67</v>
      </c>
      <c r="P92" s="97">
        <f>2</f>
        <v>2</v>
      </c>
      <c r="Q92" s="95"/>
      <c r="R92" s="2"/>
      <c r="S92" s="2"/>
      <c r="T92" s="2"/>
      <c r="U92" s="26"/>
    </row>
    <row r="93" spans="1:21" ht="33.950000000000003">
      <c r="A93" s="25"/>
      <c r="B93" s="2"/>
      <c r="C93" s="2"/>
      <c r="D93" s="60" t="s">
        <v>68</v>
      </c>
      <c r="E93" s="60">
        <f>IFERROR(MATCH(E89,G22:G29,0),MATCH(E89,G22:G29,1)+1)</f>
        <v>4</v>
      </c>
      <c r="F93" s="94"/>
      <c r="G93" s="83"/>
      <c r="H93" s="96"/>
      <c r="I93" s="96"/>
      <c r="J93" s="83"/>
      <c r="K93" s="2"/>
      <c r="L93" s="2"/>
      <c r="M93" s="2"/>
      <c r="N93" s="2"/>
      <c r="O93" s="60" t="s">
        <v>68</v>
      </c>
      <c r="P93" s="60">
        <f>IFERROR(MATCH(P89,Q22:Q29,0),MATCH(P89,Q22:Q29,1)+1)</f>
        <v>3</v>
      </c>
      <c r="Q93" s="95"/>
      <c r="R93" s="2"/>
      <c r="S93" s="2"/>
      <c r="T93" s="2"/>
      <c r="U93" s="26"/>
    </row>
    <row r="94" spans="1:21">
      <c r="A94" s="25"/>
      <c r="B94" s="2"/>
      <c r="C94" s="2"/>
      <c r="D94" s="92"/>
      <c r="E94" s="93"/>
      <c r="F94" s="94"/>
      <c r="G94" s="83"/>
      <c r="H94" s="96"/>
      <c r="I94" s="96"/>
      <c r="J94" s="83"/>
      <c r="K94" s="2"/>
      <c r="L94" s="2"/>
      <c r="M94" s="2"/>
      <c r="N94" s="2"/>
      <c r="O94" s="92"/>
      <c r="P94" s="92"/>
      <c r="Q94" s="95"/>
      <c r="R94" s="2"/>
      <c r="S94" s="2"/>
      <c r="T94" s="2"/>
      <c r="U94" s="26"/>
    </row>
    <row r="95" spans="1:21">
      <c r="A95" s="25"/>
      <c r="B95" s="2"/>
      <c r="C95" s="2"/>
      <c r="D95" s="92"/>
      <c r="E95" s="93"/>
      <c r="F95" s="94"/>
      <c r="G95" s="83"/>
      <c r="H95" s="96"/>
      <c r="I95" s="96"/>
      <c r="J95" s="83"/>
      <c r="K95" s="2"/>
      <c r="L95" s="2"/>
      <c r="M95" s="2"/>
      <c r="N95" s="2"/>
      <c r="O95" s="92"/>
      <c r="P95" s="92"/>
      <c r="Q95" s="95"/>
      <c r="R95" s="2"/>
      <c r="S95" s="2"/>
      <c r="T95" s="2"/>
      <c r="U95" s="26"/>
    </row>
    <row r="96" spans="1:21">
      <c r="A96" s="25"/>
      <c r="B96" s="2"/>
      <c r="C96" s="2"/>
      <c r="D96" s="85"/>
      <c r="E96" s="85"/>
      <c r="F96" s="2"/>
      <c r="G96" s="2"/>
      <c r="H96" s="2"/>
      <c r="I96" s="2"/>
      <c r="J96" s="2"/>
      <c r="K96" s="85"/>
      <c r="L96" s="85"/>
      <c r="M96" s="2"/>
      <c r="N96" s="2"/>
      <c r="O96" s="85"/>
      <c r="P96" s="2"/>
      <c r="Q96" s="2"/>
      <c r="R96" s="2"/>
      <c r="S96" s="2"/>
      <c r="T96" s="2"/>
      <c r="U96" s="26"/>
    </row>
    <row r="97" spans="1:21">
      <c r="A97" s="176" t="s">
        <v>69</v>
      </c>
      <c r="B97" s="177"/>
      <c r="C97" s="177"/>
      <c r="D97" s="177"/>
      <c r="E97" s="177"/>
      <c r="F97" s="177"/>
      <c r="G97" s="177"/>
      <c r="H97" s="177"/>
      <c r="I97" s="177"/>
      <c r="J97" s="177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3"/>
    </row>
    <row r="98" spans="1:21">
      <c r="A98" s="179"/>
      <c r="B98" s="180"/>
      <c r="C98" s="180"/>
      <c r="D98" s="180"/>
      <c r="E98" s="180"/>
      <c r="F98" s="180"/>
      <c r="G98" s="180"/>
      <c r="H98" s="180"/>
      <c r="I98" s="180"/>
      <c r="J98" s="180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5"/>
    </row>
    <row r="99" spans="1:21">
      <c r="A99" s="25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6"/>
    </row>
    <row r="100" spans="1:21">
      <c r="A100" s="25"/>
      <c r="B100" s="2"/>
      <c r="C100" s="2"/>
      <c r="D100" s="121"/>
      <c r="E100" s="122"/>
      <c r="F100" s="123"/>
      <c r="G100" s="79"/>
      <c r="H100" s="79"/>
      <c r="I100" s="79"/>
      <c r="J100" s="2"/>
      <c r="K100" s="2"/>
      <c r="L100" s="2"/>
      <c r="M100" s="2"/>
      <c r="N100" s="2"/>
      <c r="O100" s="121"/>
      <c r="P100" s="122"/>
      <c r="Q100" s="123"/>
      <c r="R100" s="2"/>
      <c r="S100" s="2"/>
      <c r="T100" s="2"/>
      <c r="U100" s="26"/>
    </row>
    <row r="101" spans="1:21">
      <c r="A101" s="25"/>
      <c r="B101" s="2"/>
      <c r="C101" s="2"/>
      <c r="D101" s="124"/>
      <c r="E101" s="125" t="s">
        <v>36</v>
      </c>
      <c r="F101" s="126"/>
      <c r="G101" s="79"/>
      <c r="H101" s="79"/>
      <c r="I101" s="79"/>
      <c r="J101" s="2"/>
      <c r="K101" s="2"/>
      <c r="L101" s="2"/>
      <c r="M101" s="2"/>
      <c r="N101" s="2"/>
      <c r="O101" s="124"/>
      <c r="P101" s="125" t="s">
        <v>37</v>
      </c>
      <c r="Q101" s="126"/>
      <c r="R101" s="2"/>
      <c r="S101" s="2"/>
      <c r="T101" s="2"/>
      <c r="U101" s="26"/>
    </row>
    <row r="102" spans="1:21">
      <c r="A102" s="25"/>
      <c r="B102" s="2"/>
      <c r="C102" s="2"/>
      <c r="D102" s="124"/>
      <c r="E102" s="127"/>
      <c r="F102" s="126"/>
      <c r="G102" s="79"/>
      <c r="H102" s="79"/>
      <c r="I102" s="79"/>
      <c r="J102" s="2"/>
      <c r="K102" s="2"/>
      <c r="L102" s="2"/>
      <c r="M102" s="2"/>
      <c r="N102" s="2"/>
      <c r="O102" s="124"/>
      <c r="P102" s="127"/>
      <c r="Q102" s="126"/>
      <c r="R102" s="2"/>
      <c r="S102" s="2"/>
      <c r="T102" s="2"/>
      <c r="U102" s="26"/>
    </row>
    <row r="103" spans="1:21">
      <c r="A103" s="25"/>
      <c r="B103" s="2"/>
      <c r="C103" s="2"/>
      <c r="D103" s="139" t="s">
        <v>70</v>
      </c>
      <c r="E103" s="139">
        <v>0.2</v>
      </c>
      <c r="F103" s="139">
        <v>0.45</v>
      </c>
      <c r="H103" s="79"/>
      <c r="I103" s="79"/>
      <c r="J103" s="2"/>
      <c r="K103" s="2"/>
      <c r="L103" s="2"/>
      <c r="M103" s="2"/>
      <c r="N103" s="2"/>
      <c r="O103" s="139" t="s">
        <v>70</v>
      </c>
      <c r="P103" s="139">
        <v>0.2</v>
      </c>
      <c r="Q103" s="139">
        <v>0.45</v>
      </c>
      <c r="R103" s="2"/>
      <c r="S103" s="2"/>
      <c r="T103" s="2"/>
      <c r="U103" s="26"/>
    </row>
    <row r="104" spans="1:21">
      <c r="A104" s="25"/>
      <c r="B104" s="2"/>
      <c r="C104" s="2"/>
      <c r="D104" s="139" t="s">
        <v>71</v>
      </c>
      <c r="E104" s="139">
        <f>_xlfn.PERCENTILE.INC(Dados!D3:D202,'Exercício2 '!E103)</f>
        <v>19.494</v>
      </c>
      <c r="F104" s="139">
        <f>_xlfn.PERCENTILE.INC(Dados!D3:D202,'Exercício2 '!F103)</f>
        <v>21.105499999999999</v>
      </c>
      <c r="G104" s="79"/>
      <c r="H104" s="79"/>
      <c r="I104" s="79"/>
      <c r="J104" s="2"/>
      <c r="K104" s="2"/>
      <c r="L104" s="2"/>
      <c r="M104" s="2"/>
      <c r="N104" s="2"/>
      <c r="O104" s="139" t="s">
        <v>71</v>
      </c>
      <c r="P104" s="139">
        <f>_xlfn.PERCENTILE.INC(Dados!D3:D202,'Exercício2 '!P103)</f>
        <v>19.494</v>
      </c>
      <c r="Q104" s="139">
        <f>_xlfn.PERCENTILE.INC(Dados!D3:D202,'Exercício2 '!Q103)</f>
        <v>21.105499999999999</v>
      </c>
      <c r="R104" s="2"/>
      <c r="S104" s="2"/>
      <c r="T104" s="2"/>
      <c r="U104" s="26"/>
    </row>
    <row r="105" spans="1:21">
      <c r="A105" s="25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6"/>
    </row>
    <row r="106" spans="1:21">
      <c r="A106" s="197" t="s">
        <v>72</v>
      </c>
      <c r="B106" s="177"/>
      <c r="C106" s="177"/>
      <c r="D106" s="177"/>
      <c r="E106" s="177"/>
      <c r="F106" s="177"/>
      <c r="G106" s="177"/>
      <c r="H106" s="177"/>
      <c r="I106" s="177"/>
      <c r="J106" s="177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3"/>
    </row>
    <row r="107" spans="1:21">
      <c r="A107" s="179"/>
      <c r="B107" s="180"/>
      <c r="C107" s="180"/>
      <c r="D107" s="180"/>
      <c r="E107" s="180"/>
      <c r="F107" s="180"/>
      <c r="G107" s="180"/>
      <c r="H107" s="180"/>
      <c r="I107" s="180"/>
      <c r="J107" s="180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5"/>
    </row>
    <row r="108" spans="1:21">
      <c r="A108" s="57"/>
      <c r="B108" s="2"/>
      <c r="C108" s="86"/>
      <c r="D108" s="86"/>
      <c r="E108" s="86"/>
      <c r="F108" s="86"/>
      <c r="G108" s="86"/>
      <c r="H108" s="86"/>
      <c r="I108" s="86"/>
      <c r="J108" s="2"/>
      <c r="K108" s="2"/>
      <c r="L108" s="2"/>
      <c r="M108" s="2"/>
      <c r="N108" s="2"/>
      <c r="O108" s="86"/>
      <c r="P108" s="2"/>
      <c r="Q108" s="2"/>
      <c r="R108" s="2"/>
      <c r="S108" s="2"/>
      <c r="T108" s="2"/>
      <c r="U108" s="26"/>
    </row>
    <row r="109" spans="1:21">
      <c r="A109" s="25"/>
      <c r="B109" s="2"/>
      <c r="C109" s="2"/>
      <c r="D109" s="140"/>
      <c r="E109" s="141"/>
      <c r="F109" s="142"/>
      <c r="G109" s="2"/>
      <c r="H109" s="2"/>
      <c r="I109" s="2"/>
      <c r="J109" s="2"/>
      <c r="K109" s="2"/>
      <c r="L109" s="2"/>
      <c r="M109" s="2"/>
      <c r="N109" s="2"/>
      <c r="O109" s="140"/>
      <c r="P109" s="141"/>
      <c r="Q109" s="142"/>
      <c r="R109" s="2"/>
      <c r="S109" s="2"/>
      <c r="T109" s="2"/>
      <c r="U109" s="26"/>
    </row>
    <row r="110" spans="1:21">
      <c r="A110" s="25"/>
      <c r="B110" s="2"/>
      <c r="C110" s="2"/>
      <c r="D110" s="124"/>
      <c r="E110" s="125" t="s">
        <v>36</v>
      </c>
      <c r="F110" s="126"/>
      <c r="G110" s="79"/>
      <c r="H110" s="79"/>
      <c r="I110" s="2"/>
      <c r="J110" s="2"/>
      <c r="K110" s="2"/>
      <c r="L110" s="2"/>
      <c r="M110" s="2"/>
      <c r="N110" s="2"/>
      <c r="O110" s="124"/>
      <c r="P110" s="125" t="s">
        <v>37</v>
      </c>
      <c r="Q110" s="126"/>
      <c r="R110" s="2"/>
      <c r="S110" s="2"/>
      <c r="T110" s="2"/>
      <c r="U110" s="26"/>
    </row>
    <row r="111" spans="1:21">
      <c r="A111" s="25"/>
      <c r="B111" s="2"/>
      <c r="C111" s="2"/>
      <c r="D111" s="124"/>
      <c r="E111" s="127"/>
      <c r="F111" s="126"/>
      <c r="G111" s="79"/>
      <c r="H111" s="79"/>
      <c r="I111" s="2"/>
      <c r="J111" s="2"/>
      <c r="K111" s="2"/>
      <c r="L111" s="2"/>
      <c r="M111" s="2"/>
      <c r="N111" s="2"/>
      <c r="O111" s="124"/>
      <c r="P111" s="127"/>
      <c r="Q111" s="126"/>
      <c r="R111" s="2"/>
      <c r="S111" s="2"/>
      <c r="T111" s="2"/>
      <c r="U111" s="26"/>
    </row>
    <row r="112" spans="1:21">
      <c r="A112" s="25"/>
      <c r="B112" s="2"/>
      <c r="C112" s="2"/>
      <c r="D112" s="199" t="s">
        <v>73</v>
      </c>
      <c r="E112" s="200"/>
      <c r="F112" s="143">
        <f>SUMPRODUCT(D22:D29,J22:J29)/(C31-1)</f>
        <v>7.251356783919598</v>
      </c>
      <c r="G112" s="2"/>
      <c r="H112" s="79"/>
      <c r="I112" s="2"/>
      <c r="J112" s="2"/>
      <c r="K112" s="2"/>
      <c r="L112" s="2"/>
      <c r="M112" s="2"/>
      <c r="N112" s="2"/>
      <c r="O112" s="198" t="s">
        <v>73</v>
      </c>
      <c r="P112" s="198"/>
      <c r="Q112" s="143">
        <f>SUMPRODUCT(N22:N29,T22:T29)/(M31-1)</f>
        <v>7.8066331658291457</v>
      </c>
      <c r="R112" s="2"/>
      <c r="S112" s="2"/>
      <c r="T112" s="2"/>
      <c r="U112" s="26"/>
    </row>
    <row r="113" spans="1:21">
      <c r="A113" s="25"/>
      <c r="B113" s="2"/>
      <c r="C113" s="2"/>
      <c r="D113" s="199" t="s">
        <v>74</v>
      </c>
      <c r="E113" s="200"/>
      <c r="F113" s="143">
        <f>SQRT(F112)</f>
        <v>2.6928343402295654</v>
      </c>
      <c r="G113" s="2"/>
      <c r="H113" s="79"/>
      <c r="I113" s="2"/>
      <c r="J113" s="2"/>
      <c r="K113" s="2"/>
      <c r="L113" s="2"/>
      <c r="M113" s="2"/>
      <c r="N113" s="2"/>
      <c r="O113" s="198" t="s">
        <v>74</v>
      </c>
      <c r="P113" s="198"/>
      <c r="Q113" s="143">
        <f>SQRT(Q112)</f>
        <v>2.7940352835691153</v>
      </c>
      <c r="R113" s="2"/>
      <c r="S113" s="2"/>
      <c r="T113" s="2"/>
      <c r="U113" s="26"/>
    </row>
    <row r="114" spans="1:21">
      <c r="A114" s="25"/>
      <c r="B114" s="2"/>
      <c r="C114" s="2"/>
      <c r="D114" s="199" t="s">
        <v>75</v>
      </c>
      <c r="E114" s="200"/>
      <c r="F114" s="143">
        <f>(F113/F84)*100</f>
        <v>12.432291506138345</v>
      </c>
      <c r="G114" s="2"/>
      <c r="H114" s="79"/>
      <c r="I114" s="2"/>
      <c r="J114" s="2"/>
      <c r="K114" s="2"/>
      <c r="L114" s="2"/>
      <c r="M114" s="2"/>
      <c r="N114" s="2"/>
      <c r="O114" s="198" t="s">
        <v>75</v>
      </c>
      <c r="P114" s="198"/>
      <c r="Q114" s="143">
        <f>(Q113/Q84)*100</f>
        <v>11.221025235217331</v>
      </c>
      <c r="R114" s="2"/>
      <c r="S114" s="2"/>
      <c r="T114" s="2"/>
      <c r="U114" s="26"/>
    </row>
    <row r="115" spans="1:21">
      <c r="A115" s="25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6"/>
    </row>
    <row r="116" spans="1:21" ht="15.75" customHeight="1">
      <c r="A116" s="25"/>
      <c r="B116" s="2"/>
      <c r="C116" s="184" t="s">
        <v>76</v>
      </c>
      <c r="D116" s="185"/>
      <c r="E116" s="185"/>
      <c r="F116" s="185"/>
      <c r="G116" s="185"/>
      <c r="H116" s="185"/>
      <c r="I116" s="185"/>
      <c r="J116" s="185"/>
      <c r="K116" s="185"/>
      <c r="L116" s="185"/>
      <c r="M116" s="185"/>
      <c r="N116" s="185"/>
      <c r="O116" s="185"/>
      <c r="P116" s="185"/>
      <c r="Q116" s="185"/>
      <c r="R116" s="186"/>
      <c r="S116" s="2"/>
      <c r="T116" s="2"/>
      <c r="U116" s="26"/>
    </row>
    <row r="117" spans="1:21">
      <c r="A117" s="25"/>
      <c r="B117" s="81"/>
      <c r="C117" s="187"/>
      <c r="D117" s="188"/>
      <c r="E117" s="188"/>
      <c r="F117" s="188"/>
      <c r="G117" s="188"/>
      <c r="H117" s="188"/>
      <c r="I117" s="188"/>
      <c r="J117" s="188"/>
      <c r="K117" s="188"/>
      <c r="L117" s="188"/>
      <c r="M117" s="188"/>
      <c r="N117" s="188"/>
      <c r="O117" s="188"/>
      <c r="P117" s="188"/>
      <c r="Q117" s="188"/>
      <c r="R117" s="189"/>
      <c r="S117" s="2"/>
      <c r="T117" s="2"/>
      <c r="U117" s="26"/>
    </row>
    <row r="118" spans="1:21">
      <c r="A118" s="25"/>
      <c r="B118" s="81"/>
      <c r="C118" s="187"/>
      <c r="D118" s="188"/>
      <c r="E118" s="188"/>
      <c r="F118" s="188"/>
      <c r="G118" s="188"/>
      <c r="H118" s="188"/>
      <c r="I118" s="188"/>
      <c r="J118" s="188"/>
      <c r="K118" s="188"/>
      <c r="L118" s="188"/>
      <c r="M118" s="188"/>
      <c r="N118" s="188"/>
      <c r="O118" s="188"/>
      <c r="P118" s="188"/>
      <c r="Q118" s="188"/>
      <c r="R118" s="189"/>
      <c r="S118" s="2"/>
      <c r="T118" s="2"/>
      <c r="U118" s="26"/>
    </row>
    <row r="119" spans="1:21">
      <c r="A119" s="25"/>
      <c r="B119" s="81"/>
      <c r="C119" s="187"/>
      <c r="D119" s="188"/>
      <c r="E119" s="188"/>
      <c r="F119" s="188"/>
      <c r="G119" s="188"/>
      <c r="H119" s="188"/>
      <c r="I119" s="188"/>
      <c r="J119" s="188"/>
      <c r="K119" s="188"/>
      <c r="L119" s="188"/>
      <c r="M119" s="188"/>
      <c r="N119" s="188"/>
      <c r="O119" s="188"/>
      <c r="P119" s="188"/>
      <c r="Q119" s="188"/>
      <c r="R119" s="189"/>
      <c r="S119" s="2"/>
      <c r="T119" s="2"/>
      <c r="U119" s="26"/>
    </row>
    <row r="120" spans="1:21">
      <c r="A120" s="25"/>
      <c r="B120" s="81"/>
      <c r="C120" s="187"/>
      <c r="D120" s="188"/>
      <c r="E120" s="188"/>
      <c r="F120" s="188"/>
      <c r="G120" s="188"/>
      <c r="H120" s="188"/>
      <c r="I120" s="188"/>
      <c r="J120" s="188"/>
      <c r="K120" s="188"/>
      <c r="L120" s="188"/>
      <c r="M120" s="188"/>
      <c r="N120" s="188"/>
      <c r="O120" s="188"/>
      <c r="P120" s="188"/>
      <c r="Q120" s="188"/>
      <c r="R120" s="189"/>
      <c r="S120" s="2"/>
      <c r="T120" s="2"/>
      <c r="U120" s="26"/>
    </row>
    <row r="121" spans="1:21">
      <c r="A121" s="25"/>
      <c r="B121" s="81"/>
      <c r="C121" s="187"/>
      <c r="D121" s="188"/>
      <c r="E121" s="188"/>
      <c r="F121" s="188"/>
      <c r="G121" s="188"/>
      <c r="H121" s="188"/>
      <c r="I121" s="188"/>
      <c r="J121" s="188"/>
      <c r="K121" s="188"/>
      <c r="L121" s="188"/>
      <c r="M121" s="188"/>
      <c r="N121" s="188"/>
      <c r="O121" s="188"/>
      <c r="P121" s="188"/>
      <c r="Q121" s="188"/>
      <c r="R121" s="189"/>
      <c r="S121" s="2"/>
      <c r="T121" s="2"/>
      <c r="U121" s="26"/>
    </row>
    <row r="122" spans="1:21">
      <c r="A122" s="25"/>
      <c r="B122" s="81"/>
      <c r="C122" s="187"/>
      <c r="D122" s="188"/>
      <c r="E122" s="188"/>
      <c r="F122" s="188"/>
      <c r="G122" s="188"/>
      <c r="H122" s="188"/>
      <c r="I122" s="188"/>
      <c r="J122" s="188"/>
      <c r="K122" s="188"/>
      <c r="L122" s="188"/>
      <c r="M122" s="188"/>
      <c r="N122" s="188"/>
      <c r="O122" s="188"/>
      <c r="P122" s="188"/>
      <c r="Q122" s="188"/>
      <c r="R122" s="189"/>
      <c r="S122" s="2"/>
      <c r="T122" s="2"/>
      <c r="U122" s="26"/>
    </row>
    <row r="123" spans="1:21">
      <c r="A123" s="25"/>
      <c r="B123" s="81"/>
      <c r="C123" s="187"/>
      <c r="D123" s="188"/>
      <c r="E123" s="188"/>
      <c r="F123" s="188"/>
      <c r="G123" s="188"/>
      <c r="H123" s="188"/>
      <c r="I123" s="188"/>
      <c r="J123" s="188"/>
      <c r="K123" s="188"/>
      <c r="L123" s="188"/>
      <c r="M123" s="188"/>
      <c r="N123" s="188"/>
      <c r="O123" s="188"/>
      <c r="P123" s="188"/>
      <c r="Q123" s="188"/>
      <c r="R123" s="189"/>
      <c r="S123" s="2"/>
      <c r="T123" s="2"/>
      <c r="U123" s="26"/>
    </row>
    <row r="124" spans="1:21">
      <c r="A124" s="25"/>
      <c r="B124" s="81"/>
      <c r="C124" s="187"/>
      <c r="D124" s="188"/>
      <c r="E124" s="188"/>
      <c r="F124" s="188"/>
      <c r="G124" s="188"/>
      <c r="H124" s="188"/>
      <c r="I124" s="188"/>
      <c r="J124" s="188"/>
      <c r="K124" s="188"/>
      <c r="L124" s="188"/>
      <c r="M124" s="188"/>
      <c r="N124" s="188"/>
      <c r="O124" s="188"/>
      <c r="P124" s="188"/>
      <c r="Q124" s="188"/>
      <c r="R124" s="189"/>
      <c r="S124" s="2"/>
      <c r="T124" s="2"/>
      <c r="U124" s="26"/>
    </row>
    <row r="125" spans="1:21">
      <c r="A125" s="25"/>
      <c r="B125" s="81"/>
      <c r="C125" s="187"/>
      <c r="D125" s="188"/>
      <c r="E125" s="188"/>
      <c r="F125" s="188"/>
      <c r="G125" s="188"/>
      <c r="H125" s="188"/>
      <c r="I125" s="188"/>
      <c r="J125" s="188"/>
      <c r="K125" s="188"/>
      <c r="L125" s="188"/>
      <c r="M125" s="188"/>
      <c r="N125" s="188"/>
      <c r="O125" s="188"/>
      <c r="P125" s="188"/>
      <c r="Q125" s="188"/>
      <c r="R125" s="189"/>
      <c r="S125" s="2"/>
      <c r="T125" s="2"/>
      <c r="U125" s="26"/>
    </row>
    <row r="126" spans="1:21">
      <c r="A126" s="25"/>
      <c r="B126" s="81"/>
      <c r="C126" s="187"/>
      <c r="D126" s="188"/>
      <c r="E126" s="188"/>
      <c r="F126" s="188"/>
      <c r="G126" s="188"/>
      <c r="H126" s="188"/>
      <c r="I126" s="188"/>
      <c r="J126" s="188"/>
      <c r="K126" s="188"/>
      <c r="L126" s="188"/>
      <c r="M126" s="188"/>
      <c r="N126" s="188"/>
      <c r="O126" s="188"/>
      <c r="P126" s="188"/>
      <c r="Q126" s="188"/>
      <c r="R126" s="189"/>
      <c r="S126" s="2"/>
      <c r="T126" s="2"/>
      <c r="U126" s="26"/>
    </row>
    <row r="127" spans="1:21">
      <c r="A127" s="25"/>
      <c r="B127" s="81"/>
      <c r="C127" s="187"/>
      <c r="D127" s="188"/>
      <c r="E127" s="188"/>
      <c r="F127" s="188"/>
      <c r="G127" s="188"/>
      <c r="H127" s="188"/>
      <c r="I127" s="188"/>
      <c r="J127" s="188"/>
      <c r="K127" s="188"/>
      <c r="L127" s="188"/>
      <c r="M127" s="188"/>
      <c r="N127" s="188"/>
      <c r="O127" s="188"/>
      <c r="P127" s="188"/>
      <c r="Q127" s="188"/>
      <c r="R127" s="189"/>
      <c r="S127" s="2"/>
      <c r="T127" s="2"/>
      <c r="U127" s="26"/>
    </row>
    <row r="128" spans="1:21">
      <c r="A128" s="25"/>
      <c r="B128" s="81"/>
      <c r="C128" s="187"/>
      <c r="D128" s="188"/>
      <c r="E128" s="188"/>
      <c r="F128" s="188"/>
      <c r="G128" s="188"/>
      <c r="H128" s="188"/>
      <c r="I128" s="188"/>
      <c r="J128" s="188"/>
      <c r="K128" s="188"/>
      <c r="L128" s="188"/>
      <c r="M128" s="188"/>
      <c r="N128" s="188"/>
      <c r="O128" s="188"/>
      <c r="P128" s="188"/>
      <c r="Q128" s="188"/>
      <c r="R128" s="189"/>
      <c r="S128" s="2"/>
      <c r="T128" s="2"/>
      <c r="U128" s="26"/>
    </row>
    <row r="129" spans="1:21">
      <c r="A129" s="25"/>
      <c r="B129" s="81"/>
      <c r="C129" s="190"/>
      <c r="D129" s="191"/>
      <c r="E129" s="191"/>
      <c r="F129" s="191"/>
      <c r="G129" s="191"/>
      <c r="H129" s="191"/>
      <c r="I129" s="191"/>
      <c r="J129" s="191"/>
      <c r="K129" s="191"/>
      <c r="L129" s="191"/>
      <c r="M129" s="191"/>
      <c r="N129" s="191"/>
      <c r="O129" s="191"/>
      <c r="P129" s="191"/>
      <c r="Q129" s="191"/>
      <c r="R129" s="192"/>
      <c r="S129" s="2"/>
      <c r="T129" s="2"/>
      <c r="U129" s="26"/>
    </row>
    <row r="130" spans="1:21">
      <c r="A130" s="25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6"/>
    </row>
    <row r="131" spans="1:21">
      <c r="A131" s="176" t="s">
        <v>77</v>
      </c>
      <c r="B131" s="177"/>
      <c r="C131" s="177"/>
      <c r="D131" s="177"/>
      <c r="E131" s="177"/>
      <c r="F131" s="177"/>
      <c r="G131" s="177"/>
      <c r="H131" s="177"/>
      <c r="I131" s="177"/>
      <c r="J131" s="177"/>
      <c r="K131" s="177"/>
      <c r="L131" s="52"/>
      <c r="M131" s="52"/>
      <c r="N131" s="52"/>
      <c r="O131" s="52"/>
      <c r="P131" s="52"/>
      <c r="Q131" s="52"/>
      <c r="R131" s="52"/>
      <c r="S131" s="52"/>
      <c r="T131" s="52"/>
      <c r="U131" s="53"/>
    </row>
    <row r="132" spans="1:21">
      <c r="A132" s="179"/>
      <c r="B132" s="180"/>
      <c r="C132" s="180"/>
      <c r="D132" s="180"/>
      <c r="E132" s="180"/>
      <c r="F132" s="180"/>
      <c r="G132" s="180"/>
      <c r="H132" s="180"/>
      <c r="I132" s="180"/>
      <c r="J132" s="180"/>
      <c r="K132" s="180"/>
      <c r="L132" s="54"/>
      <c r="M132" s="54"/>
      <c r="N132" s="54"/>
      <c r="O132" s="54"/>
      <c r="P132" s="54"/>
      <c r="Q132" s="54"/>
      <c r="R132" s="54"/>
      <c r="S132" s="54"/>
      <c r="T132" s="54"/>
      <c r="U132" s="55"/>
    </row>
    <row r="133" spans="1:21" s="2" customFormat="1" ht="17.100000000000001">
      <c r="A133" s="98"/>
      <c r="B133" s="99"/>
      <c r="C133" s="99"/>
      <c r="D133" s="99"/>
      <c r="E133" s="99"/>
      <c r="F133" s="99"/>
      <c r="G133" s="99"/>
      <c r="H133" s="99"/>
      <c r="I133" s="99"/>
      <c r="J133" s="99"/>
      <c r="K133" s="99"/>
      <c r="U133" s="26"/>
    </row>
    <row r="134" spans="1:21" ht="18.95">
      <c r="A134" s="25"/>
      <c r="B134" s="2"/>
      <c r="C134" s="2"/>
      <c r="D134" s="201" t="s">
        <v>36</v>
      </c>
      <c r="E134" s="202"/>
      <c r="F134" s="203"/>
      <c r="G134" s="2"/>
      <c r="H134" s="2"/>
      <c r="I134" s="2"/>
      <c r="J134" s="2"/>
      <c r="K134" s="2"/>
      <c r="L134" s="2"/>
      <c r="M134" s="2"/>
      <c r="N134" s="2"/>
      <c r="O134" s="201" t="s">
        <v>37</v>
      </c>
      <c r="P134" s="202"/>
      <c r="Q134" s="203"/>
      <c r="R134" s="2"/>
      <c r="S134" s="2"/>
      <c r="T134" s="2"/>
      <c r="U134" s="26"/>
    </row>
    <row r="135" spans="1:21" ht="135.94999999999999">
      <c r="A135" s="25"/>
      <c r="B135" s="2"/>
      <c r="C135" s="2"/>
      <c r="D135" s="144" t="s">
        <v>78</v>
      </c>
      <c r="E135" s="145">
        <f>(SUMPRODUCT(D22:D29,H22:H29)/C31)/(F113^3)</f>
        <v>0.16159994193301022</v>
      </c>
      <c r="F135" s="60" t="s">
        <v>79</v>
      </c>
      <c r="G135" s="2"/>
      <c r="H135" s="2"/>
      <c r="I135" s="2"/>
      <c r="J135" s="2"/>
      <c r="K135" s="2"/>
      <c r="L135" s="2"/>
      <c r="M135" s="2"/>
      <c r="N135" s="2"/>
      <c r="O135" s="145" t="s">
        <v>78</v>
      </c>
      <c r="P135" s="145">
        <f>(SUMPRODUCT(N22:N29,R22:R29)/M31)/(Q113^3)</f>
        <v>0.11554809355154018</v>
      </c>
      <c r="Q135" s="60" t="s">
        <v>79</v>
      </c>
      <c r="R135" s="2"/>
      <c r="S135" s="2"/>
      <c r="T135" s="2"/>
      <c r="U135" s="26"/>
    </row>
    <row r="136" spans="1:21" ht="221.1">
      <c r="A136" s="25"/>
      <c r="B136" s="2"/>
      <c r="C136" s="2"/>
      <c r="D136" s="145" t="s">
        <v>80</v>
      </c>
      <c r="E136" s="145">
        <f>(SUMPRODUCT(D22:D29,I22:I29)/C31)/(F113^4)</f>
        <v>2.9354319284114854</v>
      </c>
      <c r="F136" s="60" t="s">
        <v>81</v>
      </c>
      <c r="G136" s="2"/>
      <c r="H136" s="2"/>
      <c r="I136" s="2"/>
      <c r="J136" s="2"/>
      <c r="K136" s="2"/>
      <c r="L136" s="2"/>
      <c r="M136" s="2"/>
      <c r="N136" s="2"/>
      <c r="O136" s="145" t="s">
        <v>80</v>
      </c>
      <c r="P136" s="145">
        <f>(SUMPRODUCT(N22:N29,S22:S29)/M31)/(Q113^4)</f>
        <v>1.6826000268480252</v>
      </c>
      <c r="Q136" s="60" t="s">
        <v>81</v>
      </c>
      <c r="R136" s="2"/>
      <c r="S136" s="2"/>
      <c r="T136" s="2"/>
      <c r="U136" s="26"/>
    </row>
    <row r="137" spans="1:21">
      <c r="A137" s="25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6"/>
    </row>
    <row r="138" spans="1:21" ht="15.95" customHeight="1">
      <c r="A138" s="176" t="s">
        <v>82</v>
      </c>
      <c r="B138" s="177"/>
      <c r="C138" s="177"/>
      <c r="D138" s="177"/>
      <c r="E138" s="177"/>
      <c r="F138" s="177"/>
      <c r="G138" s="177"/>
      <c r="H138" s="177"/>
      <c r="I138" s="177"/>
      <c r="J138" s="177"/>
      <c r="K138" s="177"/>
      <c r="L138" s="177"/>
      <c r="M138" s="177"/>
      <c r="N138" s="177"/>
      <c r="O138" s="177"/>
      <c r="P138" s="177"/>
      <c r="Q138" s="177"/>
      <c r="R138" s="177"/>
      <c r="S138" s="177"/>
      <c r="T138" s="177"/>
      <c r="U138" s="178"/>
    </row>
    <row r="139" spans="1:21" ht="15.95" customHeight="1">
      <c r="A139" s="179"/>
      <c r="B139" s="180"/>
      <c r="C139" s="180"/>
      <c r="D139" s="180"/>
      <c r="E139" s="180"/>
      <c r="F139" s="180"/>
      <c r="G139" s="180"/>
      <c r="H139" s="180"/>
      <c r="I139" s="180"/>
      <c r="J139" s="180"/>
      <c r="K139" s="180"/>
      <c r="L139" s="180"/>
      <c r="M139" s="180"/>
      <c r="N139" s="180"/>
      <c r="O139" s="180"/>
      <c r="P139" s="180"/>
      <c r="Q139" s="180"/>
      <c r="R139" s="180"/>
      <c r="S139" s="180"/>
      <c r="T139" s="180"/>
      <c r="U139" s="181"/>
    </row>
    <row r="140" spans="1:21">
      <c r="A140" s="25"/>
      <c r="B140" s="108"/>
      <c r="C140" s="109"/>
      <c r="D140" s="109"/>
      <c r="E140" s="109"/>
      <c r="F140" s="109"/>
      <c r="G140" s="109"/>
      <c r="H140" s="109"/>
      <c r="I140" s="109"/>
      <c r="J140" s="109"/>
      <c r="K140" s="109"/>
      <c r="L140" s="109"/>
      <c r="M140" s="109"/>
      <c r="N140" s="2"/>
      <c r="O140" s="2"/>
      <c r="P140" s="2"/>
      <c r="Q140" s="2"/>
      <c r="R140" s="2"/>
      <c r="S140" s="2"/>
      <c r="T140" s="2"/>
      <c r="U140" s="26"/>
    </row>
    <row r="141" spans="1:21" ht="15.95" customHeight="1">
      <c r="A141" s="25"/>
      <c r="C141" s="109"/>
      <c r="D141" s="184" t="s">
        <v>83</v>
      </c>
      <c r="E141" s="185"/>
      <c r="F141" s="185"/>
      <c r="G141" s="185"/>
      <c r="H141" s="185"/>
      <c r="I141" s="185"/>
      <c r="J141" s="185"/>
      <c r="K141" s="185"/>
      <c r="L141" s="185"/>
      <c r="M141" s="185"/>
      <c r="N141" s="185"/>
      <c r="O141" s="185"/>
      <c r="P141" s="185"/>
      <c r="Q141" s="186"/>
      <c r="R141" s="2"/>
      <c r="S141" s="2"/>
      <c r="T141" s="2"/>
      <c r="U141" s="26"/>
    </row>
    <row r="142" spans="1:21" ht="21" customHeight="1">
      <c r="A142" s="25"/>
      <c r="B142" s="109"/>
      <c r="C142" s="109"/>
      <c r="D142" s="187"/>
      <c r="E142" s="188"/>
      <c r="F142" s="188"/>
      <c r="G142" s="188"/>
      <c r="H142" s="188"/>
      <c r="I142" s="188"/>
      <c r="J142" s="188"/>
      <c r="K142" s="188"/>
      <c r="L142" s="188"/>
      <c r="M142" s="188"/>
      <c r="N142" s="188"/>
      <c r="O142" s="188"/>
      <c r="P142" s="188"/>
      <c r="Q142" s="189"/>
      <c r="R142" s="2"/>
      <c r="S142" s="2"/>
      <c r="T142" s="2"/>
      <c r="U142" s="26"/>
    </row>
    <row r="143" spans="1:21" ht="21" customHeight="1">
      <c r="A143" s="25"/>
      <c r="B143" s="109"/>
      <c r="C143" s="109"/>
      <c r="D143" s="187"/>
      <c r="E143" s="188"/>
      <c r="F143" s="188"/>
      <c r="G143" s="188"/>
      <c r="H143" s="188"/>
      <c r="I143" s="188"/>
      <c r="J143" s="188"/>
      <c r="K143" s="188"/>
      <c r="L143" s="188"/>
      <c r="M143" s="188"/>
      <c r="N143" s="188"/>
      <c r="O143" s="188"/>
      <c r="P143" s="188"/>
      <c r="Q143" s="189"/>
      <c r="R143" s="2"/>
      <c r="S143" s="2"/>
      <c r="T143" s="2"/>
      <c r="U143" s="26"/>
    </row>
    <row r="144" spans="1:21" ht="21" customHeight="1">
      <c r="A144" s="25"/>
      <c r="B144" s="109"/>
      <c r="C144" s="109"/>
      <c r="D144" s="187"/>
      <c r="E144" s="188"/>
      <c r="F144" s="188"/>
      <c r="G144" s="188"/>
      <c r="H144" s="188"/>
      <c r="I144" s="188"/>
      <c r="J144" s="188"/>
      <c r="K144" s="188"/>
      <c r="L144" s="188"/>
      <c r="M144" s="188"/>
      <c r="N144" s="188"/>
      <c r="O144" s="188"/>
      <c r="P144" s="188"/>
      <c r="Q144" s="189"/>
      <c r="R144" s="2"/>
      <c r="S144" s="2"/>
      <c r="T144" s="2"/>
      <c r="U144" s="26"/>
    </row>
    <row r="145" spans="1:21" ht="15.95" customHeight="1">
      <c r="A145" s="25"/>
      <c r="B145" s="109"/>
      <c r="C145" s="109"/>
      <c r="D145" s="187"/>
      <c r="E145" s="188"/>
      <c r="F145" s="188"/>
      <c r="G145" s="188"/>
      <c r="H145" s="188"/>
      <c r="I145" s="188"/>
      <c r="J145" s="188"/>
      <c r="K145" s="188"/>
      <c r="L145" s="188"/>
      <c r="M145" s="188"/>
      <c r="N145" s="188"/>
      <c r="O145" s="188"/>
      <c r="P145" s="188"/>
      <c r="Q145" s="189"/>
      <c r="R145" s="2"/>
      <c r="S145" s="2"/>
      <c r="T145" s="2"/>
      <c r="U145" s="26"/>
    </row>
    <row r="146" spans="1:21" ht="15" customHeight="1">
      <c r="A146" s="25"/>
      <c r="B146" s="109"/>
      <c r="C146" s="109"/>
      <c r="D146" s="187"/>
      <c r="E146" s="188"/>
      <c r="F146" s="188"/>
      <c r="G146" s="188"/>
      <c r="H146" s="188"/>
      <c r="I146" s="188"/>
      <c r="J146" s="188"/>
      <c r="K146" s="188"/>
      <c r="L146" s="188"/>
      <c r="M146" s="188"/>
      <c r="N146" s="188"/>
      <c r="O146" s="188"/>
      <c r="P146" s="188"/>
      <c r="Q146" s="189"/>
      <c r="R146" s="2"/>
      <c r="S146" s="2"/>
      <c r="T146" s="2"/>
      <c r="U146" s="26"/>
    </row>
    <row r="147" spans="1:21" ht="21" customHeight="1">
      <c r="A147" s="25"/>
      <c r="B147" s="109"/>
      <c r="C147" s="109"/>
      <c r="D147" s="187"/>
      <c r="E147" s="188"/>
      <c r="F147" s="188"/>
      <c r="G147" s="188"/>
      <c r="H147" s="188"/>
      <c r="I147" s="188"/>
      <c r="J147" s="188"/>
      <c r="K147" s="188"/>
      <c r="L147" s="188"/>
      <c r="M147" s="188"/>
      <c r="N147" s="188"/>
      <c r="O147" s="188"/>
      <c r="P147" s="188"/>
      <c r="Q147" s="189"/>
      <c r="R147" s="2"/>
      <c r="S147" s="2"/>
      <c r="T147" s="2"/>
      <c r="U147" s="26"/>
    </row>
    <row r="148" spans="1:21" ht="15" customHeight="1">
      <c r="A148" s="25"/>
      <c r="B148" s="109"/>
      <c r="C148" s="109"/>
      <c r="D148" s="187"/>
      <c r="E148" s="188"/>
      <c r="F148" s="188"/>
      <c r="G148" s="188"/>
      <c r="H148" s="188"/>
      <c r="I148" s="188"/>
      <c r="J148" s="188"/>
      <c r="K148" s="188"/>
      <c r="L148" s="188"/>
      <c r="M148" s="188"/>
      <c r="N148" s="188"/>
      <c r="O148" s="188"/>
      <c r="P148" s="188"/>
      <c r="Q148" s="189"/>
      <c r="R148" s="2"/>
      <c r="S148" s="2"/>
      <c r="T148" s="2"/>
      <c r="U148" s="26"/>
    </row>
    <row r="149" spans="1:21" ht="21" customHeight="1">
      <c r="A149" s="25"/>
      <c r="B149" s="109"/>
      <c r="C149" s="109"/>
      <c r="D149" s="187"/>
      <c r="E149" s="188"/>
      <c r="F149" s="188"/>
      <c r="G149" s="188"/>
      <c r="H149" s="188"/>
      <c r="I149" s="188"/>
      <c r="J149" s="188"/>
      <c r="K149" s="188"/>
      <c r="L149" s="188"/>
      <c r="M149" s="188"/>
      <c r="N149" s="188"/>
      <c r="O149" s="188"/>
      <c r="P149" s="188"/>
      <c r="Q149" s="189"/>
      <c r="R149" s="2"/>
      <c r="S149" s="2"/>
      <c r="T149" s="2"/>
      <c r="U149" s="26"/>
    </row>
    <row r="150" spans="1:21" ht="21" customHeight="1">
      <c r="A150" s="25"/>
      <c r="B150" s="109"/>
      <c r="C150" s="109"/>
      <c r="D150" s="187"/>
      <c r="E150" s="188"/>
      <c r="F150" s="188"/>
      <c r="G150" s="188"/>
      <c r="H150" s="188"/>
      <c r="I150" s="188"/>
      <c r="J150" s="188"/>
      <c r="K150" s="188"/>
      <c r="L150" s="188"/>
      <c r="M150" s="188"/>
      <c r="N150" s="188"/>
      <c r="O150" s="188"/>
      <c r="P150" s="188"/>
      <c r="Q150" s="189"/>
      <c r="R150" s="2"/>
      <c r="S150" s="2"/>
      <c r="T150" s="2"/>
      <c r="U150" s="26"/>
    </row>
    <row r="151" spans="1:21" ht="21" customHeight="1">
      <c r="A151" s="25"/>
      <c r="B151" s="109"/>
      <c r="C151" s="109"/>
      <c r="D151" s="187"/>
      <c r="E151" s="188"/>
      <c r="F151" s="188"/>
      <c r="G151" s="188"/>
      <c r="H151" s="188"/>
      <c r="I151" s="188"/>
      <c r="J151" s="188"/>
      <c r="K151" s="188"/>
      <c r="L151" s="188"/>
      <c r="M151" s="188"/>
      <c r="N151" s="188"/>
      <c r="O151" s="188"/>
      <c r="P151" s="188"/>
      <c r="Q151" s="189"/>
      <c r="R151" s="2"/>
      <c r="S151" s="2"/>
      <c r="T151" s="2"/>
      <c r="U151" s="26"/>
    </row>
    <row r="152" spans="1:21" ht="21" customHeight="1">
      <c r="A152" s="25"/>
      <c r="B152" s="109"/>
      <c r="C152" s="109"/>
      <c r="D152" s="187"/>
      <c r="E152" s="188"/>
      <c r="F152" s="188"/>
      <c r="G152" s="188"/>
      <c r="H152" s="188"/>
      <c r="I152" s="188"/>
      <c r="J152" s="188"/>
      <c r="K152" s="188"/>
      <c r="L152" s="188"/>
      <c r="M152" s="188"/>
      <c r="N152" s="188"/>
      <c r="O152" s="188"/>
      <c r="P152" s="188"/>
      <c r="Q152" s="189"/>
      <c r="R152" s="2"/>
      <c r="S152" s="2"/>
      <c r="T152" s="2"/>
      <c r="U152" s="26"/>
    </row>
    <row r="153" spans="1:21" ht="21" customHeight="1">
      <c r="A153" s="25"/>
      <c r="B153" s="109"/>
      <c r="C153" s="109"/>
      <c r="D153" s="187"/>
      <c r="E153" s="188"/>
      <c r="F153" s="188"/>
      <c r="G153" s="188"/>
      <c r="H153" s="188"/>
      <c r="I153" s="188"/>
      <c r="J153" s="188"/>
      <c r="K153" s="188"/>
      <c r="L153" s="188"/>
      <c r="M153" s="188"/>
      <c r="N153" s="188"/>
      <c r="O153" s="188"/>
      <c r="P153" s="188"/>
      <c r="Q153" s="189"/>
      <c r="R153" s="2"/>
      <c r="S153" s="2"/>
      <c r="T153" s="2"/>
      <c r="U153" s="26"/>
    </row>
    <row r="154" spans="1:21" ht="21" customHeight="1">
      <c r="A154" s="25"/>
      <c r="B154" s="109"/>
      <c r="C154" s="109"/>
      <c r="D154" s="187"/>
      <c r="E154" s="188"/>
      <c r="F154" s="188"/>
      <c r="G154" s="188"/>
      <c r="H154" s="188"/>
      <c r="I154" s="188"/>
      <c r="J154" s="188"/>
      <c r="K154" s="188"/>
      <c r="L154" s="188"/>
      <c r="M154" s="188"/>
      <c r="N154" s="188"/>
      <c r="O154" s="188"/>
      <c r="P154" s="188"/>
      <c r="Q154" s="189"/>
      <c r="R154" s="2"/>
      <c r="S154" s="2"/>
      <c r="T154" s="2"/>
      <c r="U154" s="26"/>
    </row>
    <row r="155" spans="1:21" ht="21" customHeight="1">
      <c r="A155" s="25"/>
      <c r="B155" s="109"/>
      <c r="C155" s="109"/>
      <c r="D155" s="187"/>
      <c r="E155" s="188"/>
      <c r="F155" s="188"/>
      <c r="G155" s="188"/>
      <c r="H155" s="188"/>
      <c r="I155" s="188"/>
      <c r="J155" s="188"/>
      <c r="K155" s="188"/>
      <c r="L155" s="188"/>
      <c r="M155" s="188"/>
      <c r="N155" s="188"/>
      <c r="O155" s="188"/>
      <c r="P155" s="188"/>
      <c r="Q155" s="189"/>
      <c r="R155" s="2"/>
      <c r="S155" s="2"/>
      <c r="T155" s="2"/>
      <c r="U155" s="26"/>
    </row>
    <row r="156" spans="1:21" ht="21" customHeight="1">
      <c r="A156" s="25"/>
      <c r="B156" s="109"/>
      <c r="C156" s="109"/>
      <c r="D156" s="187"/>
      <c r="E156" s="188"/>
      <c r="F156" s="188"/>
      <c r="G156" s="188"/>
      <c r="H156" s="188"/>
      <c r="I156" s="188"/>
      <c r="J156" s="188"/>
      <c r="K156" s="188"/>
      <c r="L156" s="188"/>
      <c r="M156" s="188"/>
      <c r="N156" s="188"/>
      <c r="O156" s="188"/>
      <c r="P156" s="188"/>
      <c r="Q156" s="189"/>
      <c r="R156" s="2"/>
      <c r="S156" s="2"/>
      <c r="T156" s="2"/>
      <c r="U156" s="26"/>
    </row>
    <row r="157" spans="1:21" ht="21" customHeight="1">
      <c r="A157" s="25"/>
      <c r="B157" s="109"/>
      <c r="C157" s="109"/>
      <c r="D157" s="187"/>
      <c r="E157" s="188"/>
      <c r="F157" s="188"/>
      <c r="G157" s="188"/>
      <c r="H157" s="188"/>
      <c r="I157" s="188"/>
      <c r="J157" s="188"/>
      <c r="K157" s="188"/>
      <c r="L157" s="188"/>
      <c r="M157" s="188"/>
      <c r="N157" s="188"/>
      <c r="O157" s="188"/>
      <c r="P157" s="188"/>
      <c r="Q157" s="189"/>
      <c r="R157" s="2"/>
      <c r="S157" s="2"/>
      <c r="T157" s="2"/>
      <c r="U157" s="26"/>
    </row>
    <row r="158" spans="1:21" ht="21" customHeight="1">
      <c r="A158" s="25"/>
      <c r="B158" s="109"/>
      <c r="C158" s="109"/>
      <c r="D158" s="187"/>
      <c r="E158" s="188"/>
      <c r="F158" s="188"/>
      <c r="G158" s="188"/>
      <c r="H158" s="188"/>
      <c r="I158" s="188"/>
      <c r="J158" s="188"/>
      <c r="K158" s="188"/>
      <c r="L158" s="188"/>
      <c r="M158" s="188"/>
      <c r="N158" s="188"/>
      <c r="O158" s="188"/>
      <c r="P158" s="188"/>
      <c r="Q158" s="189"/>
      <c r="R158" s="2"/>
      <c r="S158" s="2"/>
      <c r="T158" s="2"/>
      <c r="U158" s="26"/>
    </row>
    <row r="159" spans="1:21" ht="21" customHeight="1">
      <c r="A159" s="25"/>
      <c r="B159" s="109"/>
      <c r="C159" s="109"/>
      <c r="D159" s="187"/>
      <c r="E159" s="188"/>
      <c r="F159" s="188"/>
      <c r="G159" s="188"/>
      <c r="H159" s="188"/>
      <c r="I159" s="188"/>
      <c r="J159" s="188"/>
      <c r="K159" s="188"/>
      <c r="L159" s="188"/>
      <c r="M159" s="188"/>
      <c r="N159" s="188"/>
      <c r="O159" s="188"/>
      <c r="P159" s="188"/>
      <c r="Q159" s="189"/>
      <c r="R159" s="2"/>
      <c r="S159" s="2"/>
      <c r="T159" s="2"/>
      <c r="U159" s="26"/>
    </row>
    <row r="160" spans="1:21" ht="21" customHeight="1">
      <c r="A160" s="25"/>
      <c r="B160" s="109"/>
      <c r="C160" s="109"/>
      <c r="D160" s="187"/>
      <c r="E160" s="188"/>
      <c r="F160" s="188"/>
      <c r="G160" s="188"/>
      <c r="H160" s="188"/>
      <c r="I160" s="188"/>
      <c r="J160" s="188"/>
      <c r="K160" s="188"/>
      <c r="L160" s="188"/>
      <c r="M160" s="188"/>
      <c r="N160" s="188"/>
      <c r="O160" s="188"/>
      <c r="P160" s="188"/>
      <c r="Q160" s="189"/>
      <c r="R160" s="2"/>
      <c r="S160" s="2"/>
      <c r="T160" s="2"/>
      <c r="U160" s="26"/>
    </row>
    <row r="161" spans="1:21" ht="21" customHeight="1">
      <c r="A161" s="25"/>
      <c r="B161" s="109"/>
      <c r="C161" s="109"/>
      <c r="D161" s="190"/>
      <c r="E161" s="191"/>
      <c r="F161" s="191"/>
      <c r="G161" s="191"/>
      <c r="H161" s="191"/>
      <c r="I161" s="191"/>
      <c r="J161" s="191"/>
      <c r="K161" s="191"/>
      <c r="L161" s="191"/>
      <c r="M161" s="191"/>
      <c r="N161" s="191"/>
      <c r="O161" s="191"/>
      <c r="P161" s="191"/>
      <c r="Q161" s="192"/>
      <c r="R161" s="2"/>
      <c r="S161" s="2"/>
      <c r="T161" s="2"/>
      <c r="U161" s="26"/>
    </row>
    <row r="162" spans="1:21">
      <c r="A162" s="42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4"/>
    </row>
  </sheetData>
  <mergeCells count="19">
    <mergeCell ref="D134:F134"/>
    <mergeCell ref="O134:Q134"/>
    <mergeCell ref="D141:Q161"/>
    <mergeCell ref="D13:G13"/>
    <mergeCell ref="N13:Q13"/>
    <mergeCell ref="A138:U139"/>
    <mergeCell ref="M35:N35"/>
    <mergeCell ref="C35:D35"/>
    <mergeCell ref="C116:R129"/>
    <mergeCell ref="A77:J78"/>
    <mergeCell ref="A97:J98"/>
    <mergeCell ref="A106:J107"/>
    <mergeCell ref="O112:P112"/>
    <mergeCell ref="O113:P113"/>
    <mergeCell ref="A131:K132"/>
    <mergeCell ref="O114:P114"/>
    <mergeCell ref="D112:E112"/>
    <mergeCell ref="D113:E113"/>
    <mergeCell ref="D114:E114"/>
  </mergeCells>
  <pageMargins left="0.7" right="0.7" top="0.75" bottom="0.75" header="0.3" footer="0.3"/>
  <pageSetup paperSize="9" orientation="portrait" horizontalDpi="300" verticalDpi="300" r:id="rId1"/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8"/>
  <sheetViews>
    <sheetView zoomScale="62" workbookViewId="0">
      <selection activeCell="I51" sqref="I51"/>
    </sheetView>
  </sheetViews>
  <sheetFormatPr defaultColWidth="8.875" defaultRowHeight="15.95"/>
  <cols>
    <col min="3" max="3" width="25" customWidth="1"/>
    <col min="4" max="4" width="10" bestFit="1" customWidth="1"/>
    <col min="7" max="7" width="24" customWidth="1"/>
    <col min="8" max="8" width="11" customWidth="1"/>
  </cols>
  <sheetData>
    <row r="1" spans="1:1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2"/>
    </row>
    <row r="2" spans="1:1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2"/>
    </row>
    <row r="3" spans="1:1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1:1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spans="1:15" ht="23.25" customHeight="1">
      <c r="A5" s="2"/>
      <c r="B5" s="2"/>
      <c r="C5" s="13" t="s">
        <v>84</v>
      </c>
      <c r="D5" s="13">
        <f>95%</f>
        <v>0.95</v>
      </c>
      <c r="E5" s="2"/>
      <c r="F5" s="2"/>
      <c r="G5" s="13" t="s">
        <v>84</v>
      </c>
      <c r="H5" s="13">
        <f>95%</f>
        <v>0.95</v>
      </c>
      <c r="I5" s="2"/>
      <c r="J5" s="2"/>
      <c r="K5" s="2"/>
      <c r="L5" s="2"/>
      <c r="M5" s="2"/>
      <c r="N5" s="2"/>
      <c r="O5" s="2"/>
    </row>
    <row r="6" spans="1:15" ht="24.75" customHeight="1">
      <c r="A6" s="2"/>
      <c r="B6" s="2"/>
      <c r="C6" s="13" t="s">
        <v>85</v>
      </c>
      <c r="D6" s="13">
        <f>1-D5</f>
        <v>5.0000000000000044E-2</v>
      </c>
      <c r="E6" s="2"/>
      <c r="F6" s="2"/>
      <c r="G6" s="13" t="s">
        <v>85</v>
      </c>
      <c r="H6" s="13">
        <f>1-H5</f>
        <v>5.0000000000000044E-2</v>
      </c>
      <c r="I6" s="2"/>
      <c r="J6" s="2"/>
      <c r="K6" s="2"/>
      <c r="L6" s="2"/>
      <c r="M6" s="2"/>
      <c r="N6" s="2"/>
      <c r="O6" s="2"/>
    </row>
    <row r="7" spans="1:15" ht="38.25" customHeight="1">
      <c r="A7" s="2"/>
      <c r="B7" s="2"/>
      <c r="C7" s="13"/>
      <c r="D7" s="14">
        <f>_xlfn.NORM.S.INV(1-D6/2)</f>
        <v>1.9599639845400536</v>
      </c>
      <c r="E7" s="2"/>
      <c r="F7" s="2"/>
      <c r="G7" s="13"/>
      <c r="H7" s="14">
        <f>_xlfn.NORM.S.INV(1-H6/2)</f>
        <v>1.9599639845400536</v>
      </c>
      <c r="I7" s="2"/>
      <c r="J7" s="2"/>
      <c r="K7" s="2"/>
      <c r="L7" s="2"/>
      <c r="M7" s="2"/>
      <c r="N7" s="2"/>
      <c r="O7" s="2"/>
    </row>
    <row r="8" spans="1:15" ht="38.25" customHeight="1">
      <c r="A8" s="2"/>
      <c r="B8" s="2"/>
      <c r="C8" s="13" t="s">
        <v>86</v>
      </c>
      <c r="D8" s="14">
        <f>D7*(Tabela211[rotina direta]/SQRT(200))</f>
        <v>0.21363860433499454</v>
      </c>
      <c r="E8" s="2"/>
      <c r="F8" s="2"/>
      <c r="G8" s="13" t="s">
        <v>86</v>
      </c>
      <c r="H8" s="14">
        <f>H7*(Tabela211[rotina direta]/SQRT(200))</f>
        <v>0.21363860433499454</v>
      </c>
      <c r="I8" s="2"/>
      <c r="J8" s="2"/>
      <c r="K8" s="2"/>
      <c r="L8" s="2"/>
      <c r="M8" s="2"/>
      <c r="N8" s="2"/>
      <c r="O8" s="2"/>
    </row>
    <row r="9" spans="1:15" ht="23.25" customHeight="1">
      <c r="A9" s="2"/>
      <c r="B9" s="2"/>
      <c r="C9" s="13" t="s">
        <v>87</v>
      </c>
      <c r="D9" s="16">
        <f>Exercicio1!C73-Exercício3!D8</f>
        <v>2.4113613956650055</v>
      </c>
      <c r="E9" s="2"/>
      <c r="F9" s="2"/>
      <c r="G9" s="13" t="s">
        <v>87</v>
      </c>
      <c r="H9" s="16">
        <f>Exercicio1!G73-Exercício3!H8</f>
        <v>2.6113613956650057</v>
      </c>
      <c r="I9" s="2"/>
      <c r="J9" s="2"/>
      <c r="K9" s="2"/>
      <c r="L9" s="2"/>
      <c r="M9" s="2"/>
      <c r="N9" s="2"/>
      <c r="O9" s="2"/>
    </row>
    <row r="10" spans="1:15" ht="24.75" customHeight="1">
      <c r="A10" s="2"/>
      <c r="B10" s="2"/>
      <c r="C10" s="13" t="s">
        <v>88</v>
      </c>
      <c r="D10" s="16">
        <f>Exercicio1!C73+Exercício3!D8</f>
        <v>2.8386386043349945</v>
      </c>
      <c r="E10" s="2"/>
      <c r="F10" s="2"/>
      <c r="G10" s="13" t="s">
        <v>88</v>
      </c>
      <c r="H10" s="16">
        <f>Exercicio1!G73+Exercício3!H8</f>
        <v>3.0386386043349947</v>
      </c>
      <c r="I10" s="2"/>
      <c r="J10" s="2"/>
      <c r="K10" s="2"/>
      <c r="L10" s="2"/>
      <c r="M10" s="2"/>
      <c r="N10" s="2"/>
      <c r="O10" s="2"/>
    </row>
    <row r="11" spans="1:15" ht="26.25" customHeight="1">
      <c r="A11" s="2"/>
      <c r="B11" s="2"/>
      <c r="C11" s="13" t="s">
        <v>89</v>
      </c>
      <c r="D11" s="13" t="str">
        <f>"["&amp;ROUND($D$9,2)&amp;" ; "&amp;ROUND($D$10,2)&amp;"]"</f>
        <v>[2,41 ; 2,84]</v>
      </c>
      <c r="E11" s="2"/>
      <c r="F11" s="2"/>
      <c r="G11" s="13" t="s">
        <v>89</v>
      </c>
      <c r="H11" s="13" t="str">
        <f>"["&amp;ROUND($H$9,2)&amp;" ; "&amp;ROUND($H$10,2)&amp;"]"</f>
        <v>[2,61 ; 3,04]</v>
      </c>
      <c r="I11" s="2"/>
      <c r="J11" s="2"/>
      <c r="K11" s="2"/>
      <c r="L11" s="2"/>
      <c r="M11" s="2"/>
      <c r="N11" s="2"/>
      <c r="O11" s="2"/>
    </row>
    <row r="12" spans="1:1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</row>
    <row r="13" spans="1:1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</row>
    <row r="14" spans="1:1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</row>
    <row r="15" spans="1: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</row>
    <row r="16" spans="1: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</row>
    <row r="17" spans="1: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</row>
    <row r="18" spans="1: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38"/>
  <sheetViews>
    <sheetView zoomScale="75" workbookViewId="0">
      <selection activeCell="C15" sqref="C15"/>
    </sheetView>
  </sheetViews>
  <sheetFormatPr defaultColWidth="8.875" defaultRowHeight="15.95"/>
  <cols>
    <col min="2" max="2" width="18.5" customWidth="1"/>
    <col min="3" max="3" width="9" customWidth="1"/>
  </cols>
  <sheetData>
    <row r="1" spans="1:19">
      <c r="A1" s="3"/>
      <c r="B1" s="3"/>
      <c r="C1" s="3"/>
      <c r="D1" s="3"/>
      <c r="E1" s="3"/>
      <c r="F1" s="3"/>
      <c r="G1" s="3"/>
      <c r="H1" s="3"/>
      <c r="I1" s="3"/>
      <c r="J1" s="3"/>
      <c r="K1" s="2"/>
      <c r="L1" s="2"/>
      <c r="M1" s="2"/>
      <c r="N1" s="2"/>
      <c r="O1" s="2"/>
      <c r="P1" s="2"/>
      <c r="Q1" s="2"/>
      <c r="R1" s="2"/>
      <c r="S1" s="2"/>
    </row>
    <row r="2" spans="1:19">
      <c r="A2" s="3"/>
      <c r="B2" s="3"/>
      <c r="C2" s="3"/>
      <c r="D2" s="3"/>
      <c r="E2" s="3"/>
      <c r="F2" s="3"/>
      <c r="G2" s="3"/>
      <c r="H2" s="3"/>
      <c r="I2" s="3"/>
      <c r="J2" s="3"/>
      <c r="K2" s="2"/>
      <c r="L2" s="2"/>
      <c r="M2" s="2"/>
      <c r="N2" s="2"/>
      <c r="O2" s="2"/>
      <c r="P2" s="2"/>
      <c r="Q2" s="2"/>
      <c r="R2" s="2"/>
      <c r="S2" s="2"/>
    </row>
    <row r="3" spans="1:19">
      <c r="A3" s="3"/>
      <c r="B3" s="3"/>
      <c r="C3" s="3"/>
      <c r="D3" s="3"/>
      <c r="E3" s="3"/>
      <c r="F3" s="3"/>
      <c r="G3" s="3"/>
      <c r="H3" s="3"/>
      <c r="I3" s="3"/>
      <c r="J3" s="3"/>
      <c r="K3" s="2"/>
      <c r="L3" s="2"/>
      <c r="M3" s="2"/>
      <c r="N3" s="2"/>
      <c r="O3" s="2"/>
      <c r="P3" s="2"/>
      <c r="Q3" s="2"/>
      <c r="R3" s="2"/>
      <c r="S3" s="2"/>
    </row>
    <row r="4" spans="1:19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</row>
    <row r="5" spans="1:19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1:19">
      <c r="A6" s="2"/>
      <c r="B6" s="2"/>
      <c r="C6" s="2"/>
      <c r="D6" s="2"/>
      <c r="E6" s="2"/>
      <c r="F6" s="2"/>
      <c r="G6" s="2"/>
      <c r="H6" s="17">
        <f>SUM(Exercicio1!C31:C35)</f>
        <v>88</v>
      </c>
      <c r="I6" s="19">
        <f>H6/H7</f>
        <v>0.44</v>
      </c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>
      <c r="A7" s="2"/>
      <c r="B7" s="2"/>
      <c r="C7" s="2"/>
      <c r="D7" s="2"/>
      <c r="E7" s="2"/>
      <c r="F7" s="2"/>
      <c r="G7" s="2"/>
      <c r="H7" s="18">
        <f>200</f>
        <v>200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1:19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1:19">
      <c r="A9" s="2"/>
      <c r="B9" s="2"/>
      <c r="C9" s="2"/>
      <c r="D9" s="2"/>
      <c r="E9" s="2"/>
      <c r="F9" s="2"/>
      <c r="G9" s="2"/>
      <c r="H9" s="17">
        <f>SUM(Exercicio1!C46:C50)</f>
        <v>105</v>
      </c>
      <c r="I9" s="2">
        <f>H9/H10</f>
        <v>0.52500000000000002</v>
      </c>
      <c r="J9" s="2"/>
      <c r="K9" s="2"/>
      <c r="L9" s="2"/>
      <c r="M9" s="2"/>
      <c r="N9" s="2"/>
      <c r="O9" s="2"/>
      <c r="P9" s="2"/>
      <c r="Q9" s="2"/>
      <c r="R9" s="2"/>
      <c r="S9" s="2"/>
    </row>
    <row r="10" spans="1:19">
      <c r="A10" s="2"/>
      <c r="B10" s="2"/>
      <c r="C10" s="2"/>
      <c r="D10" s="2"/>
      <c r="E10" s="2"/>
      <c r="F10" s="2"/>
      <c r="G10" s="2"/>
      <c r="H10" s="18">
        <f>200</f>
        <v>200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1:19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1:19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1:19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</row>
    <row r="16" spans="1:19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</row>
    <row r="17" spans="1:19">
      <c r="A17" s="2"/>
      <c r="B17" s="13" t="s">
        <v>84</v>
      </c>
      <c r="C17" s="13">
        <f>97%</f>
        <v>0.97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1:19">
      <c r="A18" s="2"/>
      <c r="B18" s="13" t="s">
        <v>85</v>
      </c>
      <c r="C18" s="13">
        <f>1-C17</f>
        <v>3.0000000000000027E-2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>
      <c r="A19" s="2"/>
      <c r="B19" s="13" t="s">
        <v>90</v>
      </c>
      <c r="C19" s="13">
        <f>1-I6</f>
        <v>0.56000000000000005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</row>
    <row r="20" spans="1:19">
      <c r="A20" s="2"/>
      <c r="B20" s="13" t="s">
        <v>91</v>
      </c>
      <c r="C20" s="13">
        <f>1-I9</f>
        <v>0.47499999999999998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</row>
    <row r="21" spans="1:19" ht="33" customHeight="1">
      <c r="A21" s="2"/>
      <c r="B21" s="13"/>
      <c r="C21" s="13">
        <f>(I6+C19)/200</f>
        <v>5.0000000000000001E-3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1:19" ht="37.5" customHeight="1">
      <c r="A22" s="2"/>
      <c r="B22" s="13"/>
      <c r="C22" s="13">
        <f>(I9+C20)/200</f>
        <v>5.0000000000000001E-3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>
      <c r="A23" s="2"/>
      <c r="B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1:19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1:19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1:19">
      <c r="A26" s="2"/>
      <c r="B26" s="2"/>
      <c r="C26" s="2">
        <f>_xlfn.NORM.S.INV(1-(C18/2))</f>
        <v>2.1700903775845601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1:19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1:1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1:19">
      <c r="A30" s="2"/>
      <c r="B30" s="2"/>
      <c r="C30" s="2">
        <f>C26*SQRT(C21+C22)</f>
        <v>0.21700903775845604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1:19">
      <c r="A32" s="2"/>
      <c r="B32" s="13" t="s">
        <v>92</v>
      </c>
      <c r="C32" s="13">
        <f>I6-I9-C30</f>
        <v>-0.30200903775845606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spans="1:19">
      <c r="A33" s="2"/>
      <c r="B33" s="13" t="s">
        <v>93</v>
      </c>
      <c r="C33" s="13">
        <f>I6-I9+C30</f>
        <v>0.13200903775845602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1:19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1"/>
      <c r="P35" s="21"/>
      <c r="Q35" s="21"/>
      <c r="R35" s="2"/>
      <c r="S35" s="2"/>
    </row>
    <row r="36" spans="1:19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1"/>
      <c r="P36" s="21"/>
      <c r="Q36" s="21"/>
      <c r="R36" s="2"/>
      <c r="S36" s="2"/>
    </row>
    <row r="37" spans="1:19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19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8"/>
  <sheetViews>
    <sheetView zoomScale="66" workbookViewId="0">
      <selection activeCell="K10" sqref="K10"/>
    </sheetView>
  </sheetViews>
  <sheetFormatPr defaultColWidth="8.875" defaultRowHeight="15.95"/>
  <cols>
    <col min="1" max="1" width="16.5" style="5" customWidth="1"/>
    <col min="2" max="4" width="16.5" customWidth="1"/>
    <col min="5" max="5" width="16.375" customWidth="1"/>
    <col min="6" max="9" width="16.5" customWidth="1"/>
    <col min="10" max="11" width="16.375" customWidth="1"/>
    <col min="12" max="12" width="16.5" customWidth="1"/>
  </cols>
  <sheetData>
    <row r="1" spans="1:10" ht="15.95" customHeight="1">
      <c r="A1" s="213" t="s">
        <v>94</v>
      </c>
      <c r="B1" s="214"/>
      <c r="C1" s="214"/>
      <c r="D1" s="214"/>
      <c r="E1" s="214"/>
      <c r="F1" s="214"/>
      <c r="G1" s="214"/>
      <c r="H1" s="214"/>
      <c r="I1" s="214"/>
      <c r="J1" s="215"/>
    </row>
    <row r="2" spans="1:10">
      <c r="A2" s="216"/>
      <c r="B2" s="217"/>
      <c r="C2" s="217"/>
      <c r="D2" s="217"/>
      <c r="E2" s="217"/>
      <c r="F2" s="217"/>
      <c r="G2" s="217"/>
      <c r="H2" s="217"/>
      <c r="I2" s="217"/>
      <c r="J2" s="218"/>
    </row>
    <row r="3" spans="1:10">
      <c r="A3" s="79"/>
      <c r="B3" s="79"/>
      <c r="C3" s="79"/>
      <c r="D3" s="79"/>
      <c r="E3" s="79"/>
      <c r="F3" s="79"/>
      <c r="G3" s="79"/>
      <c r="H3" s="79"/>
      <c r="I3" s="31"/>
    </row>
    <row r="4" spans="1:10">
      <c r="A4" s="79"/>
      <c r="B4" s="79"/>
      <c r="C4" s="79"/>
      <c r="D4" s="79"/>
      <c r="E4" s="79"/>
      <c r="F4" s="79"/>
      <c r="G4" s="79"/>
      <c r="H4" s="79"/>
      <c r="I4" s="31"/>
    </row>
    <row r="5" spans="1:10">
      <c r="A5" s="79"/>
      <c r="B5" s="79"/>
      <c r="C5" s="79"/>
      <c r="D5" s="79"/>
      <c r="E5" s="79"/>
      <c r="F5" s="147">
        <f>SUM(Dados!D3:D202)</f>
        <v>4329.1599999999989</v>
      </c>
      <c r="G5" s="147" t="s">
        <v>95</v>
      </c>
      <c r="H5" s="148">
        <f>F5 / F6</f>
        <v>21.645799999999994</v>
      </c>
      <c r="I5" s="31"/>
    </row>
    <row r="6" spans="1:10">
      <c r="A6" s="79"/>
      <c r="B6" s="79"/>
      <c r="C6" s="79"/>
      <c r="D6" s="79"/>
      <c r="E6" s="79"/>
      <c r="F6" s="28">
        <v>200</v>
      </c>
      <c r="G6" s="79"/>
      <c r="H6" s="79"/>
      <c r="I6" s="31"/>
    </row>
    <row r="7" spans="1:10">
      <c r="A7" s="79"/>
      <c r="B7" s="79"/>
      <c r="C7" s="79"/>
      <c r="D7" s="79"/>
      <c r="E7" s="79"/>
      <c r="F7" s="79"/>
      <c r="G7" s="79"/>
      <c r="H7" s="79"/>
      <c r="I7" s="31"/>
    </row>
    <row r="8" spans="1:10">
      <c r="A8" s="79"/>
      <c r="B8" s="79"/>
      <c r="C8" s="79"/>
      <c r="D8" s="79"/>
      <c r="E8" s="79"/>
      <c r="F8" s="79"/>
      <c r="G8" s="79"/>
      <c r="H8" s="79"/>
      <c r="I8" s="31"/>
    </row>
    <row r="9" spans="1:10">
      <c r="A9" s="79"/>
      <c r="B9" s="79"/>
      <c r="C9" s="79"/>
      <c r="D9" s="79"/>
      <c r="E9" s="79"/>
      <c r="F9" s="79">
        <f>SUM(Dados!E3:E202)</f>
        <v>4981.6200000000017</v>
      </c>
      <c r="G9" s="147" t="s">
        <v>95</v>
      </c>
      <c r="H9" s="148">
        <f>F9 / F10</f>
        <v>24.908100000000008</v>
      </c>
      <c r="I9" s="31"/>
    </row>
    <row r="10" spans="1:10">
      <c r="A10" s="79"/>
      <c r="B10" s="79"/>
      <c r="C10" s="79"/>
      <c r="D10" s="79"/>
      <c r="E10" s="79"/>
      <c r="F10" s="28">
        <v>200</v>
      </c>
      <c r="G10" s="79"/>
      <c r="H10" s="79"/>
      <c r="I10" s="31"/>
    </row>
    <row r="11" spans="1:10">
      <c r="A11" s="79"/>
      <c r="B11" s="79"/>
      <c r="C11" s="79"/>
      <c r="D11" s="79"/>
      <c r="E11" s="79"/>
      <c r="F11" s="79"/>
      <c r="G11" s="79"/>
      <c r="H11" s="79"/>
      <c r="I11" s="31"/>
    </row>
    <row r="12" spans="1:10">
      <c r="A12" s="79"/>
      <c r="B12" s="79"/>
      <c r="C12" s="79"/>
      <c r="D12" s="79"/>
      <c r="E12" s="79"/>
      <c r="F12" s="79"/>
      <c r="G12" s="79"/>
      <c r="H12" s="79"/>
      <c r="I12" s="31"/>
    </row>
    <row r="13" spans="1:10">
      <c r="A13" s="79"/>
      <c r="B13" s="107" t="s">
        <v>84</v>
      </c>
      <c r="C13" s="149">
        <f>95%</f>
        <v>0.95</v>
      </c>
      <c r="D13" s="79"/>
      <c r="E13" s="27"/>
      <c r="F13" s="28"/>
      <c r="G13" s="28"/>
      <c r="H13" s="29"/>
      <c r="I13" s="31"/>
    </row>
    <row r="14" spans="1:10" ht="30" customHeight="1">
      <c r="A14" s="79"/>
      <c r="B14" s="150" t="s">
        <v>85</v>
      </c>
      <c r="C14" s="149">
        <f>1-C13</f>
        <v>5.0000000000000044E-2</v>
      </c>
      <c r="D14" s="79"/>
      <c r="E14" s="30"/>
      <c r="F14" s="79"/>
      <c r="G14" s="79"/>
      <c r="H14" s="31"/>
      <c r="I14" s="31"/>
    </row>
    <row r="15" spans="1:10" ht="35.1" customHeight="1">
      <c r="A15" s="79"/>
      <c r="B15" s="150"/>
      <c r="C15" s="151">
        <f>2.69^2/200</f>
        <v>3.6180499999999997E-2</v>
      </c>
      <c r="D15" s="79"/>
      <c r="E15" s="30"/>
      <c r="F15" s="79"/>
      <c r="G15" s="79"/>
      <c r="H15" s="31"/>
      <c r="I15" s="31"/>
    </row>
    <row r="16" spans="1:10" ht="35.1" customHeight="1">
      <c r="A16" s="79"/>
      <c r="B16" s="105"/>
      <c r="C16" s="106">
        <f>2.79^2/200</f>
        <v>3.8920500000000004E-2</v>
      </c>
      <c r="D16" s="79"/>
      <c r="E16" s="30"/>
      <c r="F16" s="79"/>
      <c r="G16" s="79"/>
      <c r="H16" s="31"/>
      <c r="I16" s="31"/>
    </row>
    <row r="17" spans="1:9">
      <c r="A17" s="79"/>
      <c r="B17" s="103"/>
      <c r="C17" s="104"/>
      <c r="D17" s="79"/>
      <c r="E17" s="30"/>
      <c r="F17" s="79"/>
      <c r="G17" s="79"/>
      <c r="H17" s="31"/>
      <c r="I17" s="31"/>
    </row>
    <row r="18" spans="1:9">
      <c r="A18" s="79"/>
      <c r="B18" s="103"/>
      <c r="C18" s="104"/>
      <c r="D18" s="79"/>
      <c r="E18" s="30"/>
      <c r="F18" s="79"/>
      <c r="G18" s="79"/>
      <c r="H18" s="31"/>
      <c r="I18" s="31"/>
    </row>
    <row r="19" spans="1:9" ht="15" customHeight="1">
      <c r="A19" s="79"/>
      <c r="B19" s="79"/>
      <c r="C19" s="152">
        <f>_xlfn.NORM.S.INV(1-(C14/2))</f>
        <v>1.9599639845400536</v>
      </c>
      <c r="D19" s="79"/>
      <c r="E19" s="204" t="s">
        <v>96</v>
      </c>
      <c r="F19" s="205"/>
      <c r="G19" s="205"/>
      <c r="H19" s="206"/>
      <c r="I19" s="31"/>
    </row>
    <row r="20" spans="1:9">
      <c r="A20" s="79"/>
      <c r="B20" s="79"/>
      <c r="C20" s="79"/>
      <c r="D20" s="79"/>
      <c r="E20" s="207"/>
      <c r="F20" s="208"/>
      <c r="G20" s="208"/>
      <c r="H20" s="209"/>
      <c r="I20" s="31"/>
    </row>
    <row r="21" spans="1:9">
      <c r="A21" s="79"/>
      <c r="B21" s="79"/>
      <c r="C21" s="79"/>
      <c r="D21" s="79"/>
      <c r="E21" s="207"/>
      <c r="F21" s="208"/>
      <c r="G21" s="208"/>
      <c r="H21" s="209"/>
      <c r="I21" s="31"/>
    </row>
    <row r="22" spans="1:9" ht="15" customHeight="1">
      <c r="A22" s="79"/>
      <c r="B22" s="79"/>
      <c r="C22" s="152">
        <f>C19*SQRT(C15+C16)</f>
        <v>0.53711953873690854</v>
      </c>
      <c r="D22" s="79"/>
      <c r="E22" s="210"/>
      <c r="F22" s="211"/>
      <c r="G22" s="211"/>
      <c r="H22" s="212"/>
      <c r="I22" s="31"/>
    </row>
    <row r="23" spans="1:9">
      <c r="A23" s="79"/>
      <c r="B23" s="79"/>
      <c r="C23" s="79"/>
      <c r="D23" s="79"/>
      <c r="E23" s="79"/>
      <c r="F23" s="79"/>
      <c r="G23" s="79"/>
      <c r="H23" s="79"/>
      <c r="I23" s="31"/>
    </row>
    <row r="24" spans="1:9">
      <c r="A24" s="79"/>
      <c r="B24" s="79"/>
      <c r="C24" s="79"/>
      <c r="D24" s="79"/>
      <c r="E24" s="79"/>
      <c r="F24" s="79"/>
      <c r="G24" s="79"/>
      <c r="H24" s="79"/>
      <c r="I24" s="31"/>
    </row>
    <row r="25" spans="1:9">
      <c r="A25" s="79"/>
      <c r="B25" s="107" t="s">
        <v>92</v>
      </c>
      <c r="C25" s="151">
        <f>H5-H9-C22</f>
        <v>-3.7994195387369225</v>
      </c>
      <c r="D25" s="79"/>
      <c r="E25" s="79"/>
      <c r="F25" s="79"/>
      <c r="G25" s="79"/>
      <c r="H25" s="79"/>
      <c r="I25" s="31"/>
    </row>
    <row r="26" spans="1:9">
      <c r="A26" s="79"/>
      <c r="B26" s="107" t="s">
        <v>93</v>
      </c>
      <c r="C26" s="151">
        <f>H5-H9+C22</f>
        <v>-2.7251804612631054</v>
      </c>
      <c r="D26" s="79"/>
      <c r="E26" s="79"/>
      <c r="F26" s="79"/>
      <c r="G26" s="79"/>
      <c r="H26" s="79"/>
      <c r="I26" s="31"/>
    </row>
    <row r="27" spans="1:9">
      <c r="A27" s="79"/>
      <c r="B27" s="79"/>
      <c r="C27" s="79"/>
      <c r="D27" s="79"/>
      <c r="E27" s="79"/>
      <c r="F27" s="79"/>
      <c r="G27" s="79"/>
      <c r="H27" s="79"/>
      <c r="I27" s="31"/>
    </row>
    <row r="28" spans="1:9">
      <c r="A28" s="80"/>
      <c r="B28" s="80"/>
      <c r="C28" s="80"/>
      <c r="D28" s="80"/>
      <c r="E28" s="80"/>
      <c r="F28" s="80"/>
      <c r="G28" s="80"/>
      <c r="H28" s="80"/>
      <c r="I28" s="82"/>
    </row>
  </sheetData>
  <mergeCells count="2">
    <mergeCell ref="E19:H22"/>
    <mergeCell ref="A1:J2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5F5C14CEB99C3459F526B46F8CF248B" ma:contentTypeVersion="5" ma:contentTypeDescription="Create a new document." ma:contentTypeScope="" ma:versionID="b1b5ea7acb43c6a0a7560e8cce02482b">
  <xsd:schema xmlns:xsd="http://www.w3.org/2001/XMLSchema" xmlns:xs="http://www.w3.org/2001/XMLSchema" xmlns:p="http://schemas.microsoft.com/office/2006/metadata/properties" xmlns:ns2="6fbd1527-afc1-4e20-b23b-1c930c83d257" targetNamespace="http://schemas.microsoft.com/office/2006/metadata/properties" ma:root="true" ma:fieldsID="87ed2de1bbbba1bfdcbb09aae4ccaaaa" ns2:_="">
    <xsd:import namespace="6fbd1527-afc1-4e20-b23b-1c930c83d25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ObjectDetectorVersion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d1527-afc1-4e20-b23b-1c930c83d25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3906EBD-4F0D-4E5D-9D3C-D8441C8896E0}"/>
</file>

<file path=customXml/itemProps2.xml><?xml version="1.0" encoding="utf-8"?>
<ds:datastoreItem xmlns:ds="http://schemas.openxmlformats.org/officeDocument/2006/customXml" ds:itemID="{04311871-FCA9-470E-82DF-26EAEE6A34B3}"/>
</file>

<file path=customXml/itemProps3.xml><?xml version="1.0" encoding="utf-8"?>
<ds:datastoreItem xmlns:ds="http://schemas.openxmlformats.org/officeDocument/2006/customXml" ds:itemID="{D31A87A3-6D5E-4520-A993-C90F33B6A0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Utilizador do Microsoft Office</dc:creator>
  <cp:keywords/>
  <dc:description/>
  <cp:lastModifiedBy/>
  <cp:revision/>
  <dcterms:created xsi:type="dcterms:W3CDTF">2023-05-09T13:24:18Z</dcterms:created>
  <dcterms:modified xsi:type="dcterms:W3CDTF">2023-12-19T22:47:25Z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0x01010015F5C14CEB99C3459F526B46F8CF248B</vt:lpwstr>
  </property>
</Properties>
</file>