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fbe54661e628bd/Desktop/Ivey/Winter Term 2021/Hack the Case/"/>
    </mc:Choice>
  </mc:AlternateContent>
  <xr:revisionPtr revIDLastSave="313" documentId="8_{F6949A0E-33A6-4662-B55A-86802DE55B16}" xr6:coauthVersionLast="46" xr6:coauthVersionMax="46" xr10:uidLastSave="{C0C28AC9-F63A-4F51-9EFA-65EBC4D09BDF}"/>
  <bookViews>
    <workbookView xWindow="6408" yWindow="1788" windowWidth="15672" windowHeight="11172" xr2:uid="{63A77106-44C7-428B-9A57-767CCE61DA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M26" i="2"/>
  <c r="F7" i="2"/>
  <c r="F11" i="2" s="1"/>
  <c r="C7" i="2"/>
  <c r="C11" i="2" s="1"/>
  <c r="J20" i="1"/>
  <c r="J21" i="1" s="1"/>
  <c r="I20" i="1"/>
  <c r="H20" i="1"/>
  <c r="E10" i="1"/>
  <c r="E9" i="1"/>
  <c r="J9" i="1"/>
  <c r="B20" i="1"/>
  <c r="J19" i="1"/>
  <c r="G20" i="1"/>
  <c r="I19" i="1"/>
  <c r="H19" i="1"/>
  <c r="G19" i="1"/>
  <c r="D22" i="1"/>
  <c r="C22" i="1"/>
  <c r="B22" i="1"/>
  <c r="C21" i="1"/>
  <c r="D21" i="1"/>
  <c r="B21" i="1"/>
  <c r="C20" i="1"/>
  <c r="D20" i="1"/>
  <c r="C19" i="1"/>
  <c r="D19" i="1"/>
  <c r="B19" i="1"/>
  <c r="Q14" i="1"/>
  <c r="Q13" i="1"/>
  <c r="Q12" i="1"/>
  <c r="Q11" i="1"/>
  <c r="X9" i="1"/>
  <c r="X8" i="1"/>
  <c r="X7" i="1"/>
  <c r="P12" i="1"/>
  <c r="P13" i="1"/>
  <c r="P11" i="1"/>
  <c r="C8" i="1"/>
  <c r="C7" i="1"/>
  <c r="C4" i="1"/>
  <c r="C2" i="1"/>
  <c r="C14" i="2" l="1"/>
  <c r="C15" i="2" s="1"/>
  <c r="J22" i="1"/>
  <c r="I21" i="1"/>
  <c r="I22" i="1" s="1"/>
  <c r="H21" i="1"/>
  <c r="H22" i="1" s="1"/>
  <c r="G21" i="1"/>
  <c r="G22" i="1" s="1"/>
</calcChain>
</file>

<file path=xl/sharedStrings.xml><?xml version="1.0" encoding="utf-8"?>
<sst xmlns="http://schemas.openxmlformats.org/spreadsheetml/2006/main" count="57" uniqueCount="36">
  <si>
    <t>Cluster 1</t>
  </si>
  <si>
    <t>Cluster 3</t>
  </si>
  <si>
    <t>SCENE</t>
  </si>
  <si>
    <t>Scotia Rewards</t>
  </si>
  <si>
    <t>Cluster 2</t>
  </si>
  <si>
    <t>Cluster 4</t>
  </si>
  <si>
    <t>Number of Transactions</t>
  </si>
  <si>
    <t>Total Points Balance</t>
  </si>
  <si>
    <t>Points Earned Per Transaction</t>
  </si>
  <si>
    <t>Average Age</t>
  </si>
  <si>
    <t>Total Portfolio Balance</t>
  </si>
  <si>
    <t>Points Used</t>
  </si>
  <si>
    <t>Avg Points Balance</t>
  </si>
  <si>
    <t>Points Earned for avg person</t>
  </si>
  <si>
    <t>Points Used %</t>
  </si>
  <si>
    <t>Proportion of People</t>
  </si>
  <si>
    <t>Scene</t>
  </si>
  <si>
    <t>Population breakdown</t>
  </si>
  <si>
    <t>Total</t>
  </si>
  <si>
    <t>Youth</t>
  </si>
  <si>
    <t>Mature</t>
  </si>
  <si>
    <t>SCENE Enthusiasts</t>
  </si>
  <si>
    <t>Enthusiast</t>
  </si>
  <si>
    <t>Disengaged</t>
  </si>
  <si>
    <t>Converting Non-Primary to Primary</t>
  </si>
  <si>
    <t>Total SCENE</t>
  </si>
  <si>
    <t>Cluster 1 population</t>
  </si>
  <si>
    <t>% conversion</t>
  </si>
  <si>
    <t>through programs</t>
  </si>
  <si>
    <t>Population converted:</t>
  </si>
  <si>
    <t>Total Scotia Rewards</t>
  </si>
  <si>
    <t>Cluster 4 population</t>
  </si>
  <si>
    <t>Cluster 3 population</t>
  </si>
  <si>
    <t>% siphoning</t>
  </si>
  <si>
    <t>Acquistion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</si>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</sst>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9" fontId="0" fillId="0" borderId="0" xfId="2" applyFon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165" fontId="0" fillId="0" borderId="0" xfId="0" applyNumberFormat="1"/>
    <xf numFmtId="164" fontId="0" fillId="3" borderId="0" xfId="1" applyNumberFormat="1" applyFont="1" applyFill="1"/>
    <xf numFmtId="165" fontId="0" fillId="3" borderId="0" xfId="0" applyNumberFormat="1" applyFill="1"/>
    <xf numFmtId="9" fontId="0" fillId="3" borderId="0" xfId="0" applyNumberFormat="1" applyFill="1"/>
    <xf numFmtId="164" fontId="0" fillId="3" borderId="1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65" fontId="0" fillId="2" borderId="0" xfId="0" applyNumberFormat="1" applyFill="1"/>
    <xf numFmtId="9" fontId="0" fillId="2" borderId="0" xfId="0" applyNumberFormat="1" applyFill="1"/>
    <xf numFmtId="164" fontId="0" fillId="2" borderId="1" xfId="0" applyNumberFormat="1" applyFill="1" applyBorder="1"/>
    <xf numFmtId="0" fontId="2" fillId="0" borderId="0" xfId="0" applyFont="1"/>
    <xf numFmtId="0" fontId="2" fillId="0" borderId="0" xfId="0" applyFont="1" applyFill="1"/>
    <xf numFmtId="164" fontId="2" fillId="0" borderId="0" xfId="0" applyNumberFormat="1" applyFont="1" applyFill="1"/>
    <xf numFmtId="164" fontId="2" fillId="0" borderId="0" xfId="0" applyNumberFormat="1" applyFont="1"/>
    <xf numFmtId="164" fontId="0" fillId="0" borderId="1" xfId="0" applyNumberFormat="1" applyBorder="1"/>
    <xf numFmtId="0" fontId="2" fillId="3" borderId="0" xfId="0" applyFont="1" applyFill="1"/>
    <xf numFmtId="9" fontId="2" fillId="3" borderId="0" xfId="2" applyFont="1" applyFill="1"/>
    <xf numFmtId="0" fontId="3" fillId="0" borderId="0" xfId="0" applyFont="1"/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FF"/>
      <color rgb="FF99CCFF"/>
      <color rgb="FF5A9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Earned per Transaction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Points Earned Per Transaction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Sheet1!$B$12:$D$12</c:f>
              <c:strCache>
                <c:ptCount val="3"/>
                <c:pt idx="0">
                  <c:v>Youth</c:v>
                </c:pt>
                <c:pt idx="1">
                  <c:v>Mature</c:v>
                </c:pt>
                <c:pt idx="2">
                  <c:v>SCENE Enthusiasts</c:v>
                </c:pt>
              </c:strCache>
            </c:strRef>
          </c:cat>
          <c:val>
            <c:numRef>
              <c:f>Sheet1!$B$13:$D$13</c:f>
              <c:numCache>
                <c:formatCode>_-* #,##0_-;\-* #,##0_-;_-* "-"??_-;_-@_-</c:formatCode>
                <c:ptCount val="3"/>
                <c:pt idx="0">
                  <c:v>15</c:v>
                </c:pt>
                <c:pt idx="1">
                  <c:v>21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0-4D70-BCA9-DA1EB1B088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7423072"/>
        <c:axId val="757424736"/>
      </c:barChart>
      <c:catAx>
        <c:axId val="7574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24736"/>
        <c:crosses val="autoZero"/>
        <c:auto val="1"/>
        <c:lblAlgn val="ctr"/>
        <c:lblOffset val="100"/>
        <c:noMultiLvlLbl val="0"/>
      </c:catAx>
      <c:valAx>
        <c:axId val="75742473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574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Enthusiast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Proportion of People</c:v>
              </c:pt>
            </c:strLit>
          </c:cat>
          <c:val>
            <c:numRef>
              <c:f>Sheet1!$Q$11</c:f>
              <c:numCache>
                <c:formatCode>0%</c:formatCode>
                <c:ptCount val="1"/>
                <c:pt idx="0">
                  <c:v>6.0606060606060608E-2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C-4A5A-9430-EDDF9D8F5DE2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Proportion of People</c:v>
              </c:pt>
            </c:strLit>
          </c:cat>
          <c:val>
            <c:numRef>
              <c:f>Sheet1!$Q$12</c:f>
              <c:numCache>
                <c:formatCode>0%</c:formatCode>
                <c:ptCount val="1"/>
                <c:pt idx="0">
                  <c:v>0.21212121212121213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C-4A5A-9430-EDDF9D8F5DE2}"/>
            </c:ext>
          </c:extLst>
        </c:ser>
        <c:ser>
          <c:idx val="2"/>
          <c:order val="2"/>
          <c:tx>
            <c:strRef>
              <c:f>Sheet1!$I$12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Proportion of People</c:v>
              </c:pt>
            </c:strLit>
          </c:cat>
          <c:val>
            <c:numRef>
              <c:f>Sheet1!$Q$13</c:f>
              <c:numCache>
                <c:formatCode>0%</c:formatCode>
                <c:ptCount val="1"/>
                <c:pt idx="0">
                  <c:v>0.51515151515151514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C-4A5A-9430-EDDF9D8F5DE2}"/>
            </c:ext>
          </c:extLst>
        </c:ser>
        <c:ser>
          <c:idx val="3"/>
          <c:order val="3"/>
          <c:tx>
            <c:strRef>
              <c:f>Sheet1!$J$12</c:f>
              <c:strCache>
                <c:ptCount val="1"/>
                <c:pt idx="0">
                  <c:v>Disengaged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Proportion of People</c:v>
              </c:pt>
            </c:strLit>
          </c:cat>
          <c:val>
            <c:numRef>
              <c:f>Sheet1!$Q$14</c:f>
              <c:numCache>
                <c:formatCode>0%</c:formatCode>
                <c:ptCount val="1"/>
                <c:pt idx="0">
                  <c:v>0.21212121212121213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C-4A5A-9430-EDDF9D8F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748848"/>
        <c:axId val="963749264"/>
      </c:barChart>
      <c:catAx>
        <c:axId val="96374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49264"/>
        <c:crosses val="autoZero"/>
        <c:auto val="1"/>
        <c:lblAlgn val="ctr"/>
        <c:lblOffset val="100"/>
        <c:noMultiLvlLbl val="0"/>
      </c:catAx>
      <c:valAx>
        <c:axId val="963749264"/>
        <c:scaling>
          <c:orientation val="minMax"/>
          <c:max val="1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37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34273876111947"/>
          <c:y val="7.7402531867511559E-2"/>
          <c:w val="9.8961468640282144E-2"/>
          <c:h val="0.86828665418658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Points Earned Usage %</a:t>
            </a:r>
          </a:p>
        </c:rich>
      </c:tx>
      <c:layout>
        <c:manualLayout>
          <c:xMode val="edge"/>
          <c:yMode val="edge"/>
          <c:x val="0.24283219801521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Points Used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3F-451E-B5E9-BB10EDA200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3F-451E-B5E9-BB10EDA200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3F-451E-B5E9-BB10EDA200CE}"/>
              </c:ext>
            </c:extLst>
          </c:dPt>
          <c:dLbls>
            <c:dLbl>
              <c:idx val="0"/>
              <c:layout>
                <c:manualLayout>
                  <c:x val="-2.5441467593045781E-17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3F-451E-B5E9-BB10EDA200CE}"/>
                </c:ext>
              </c:extLst>
            </c:dLbl>
            <c:dLbl>
              <c:idx val="1"/>
              <c:layout>
                <c:manualLayout>
                  <c:x val="0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3F-451E-B5E9-BB10EDA200CE}"/>
                </c:ext>
              </c:extLst>
            </c:dLbl>
            <c:dLbl>
              <c:idx val="2"/>
              <c:layout>
                <c:manualLayout>
                  <c:x val="0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3F-451E-B5E9-BB10EDA20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Sheet1!$B$12:$D$12</c:f>
              <c:strCache>
                <c:ptCount val="3"/>
                <c:pt idx="0">
                  <c:v>Youth</c:v>
                </c:pt>
                <c:pt idx="1">
                  <c:v>Mature</c:v>
                </c:pt>
                <c:pt idx="2">
                  <c:v>SCENE Enthusiasts</c:v>
                </c:pt>
              </c:strCache>
            </c:strRef>
          </c:cat>
          <c:val>
            <c:numRef>
              <c:f>Sheet1!$B$22:$D$22</c:f>
              <c:numCache>
                <c:formatCode>0%</c:formatCode>
                <c:ptCount val="3"/>
                <c:pt idx="0">
                  <c:v>0.99920162731700468</c:v>
                </c:pt>
                <c:pt idx="1">
                  <c:v>0.99193436239744126</c:v>
                </c:pt>
                <c:pt idx="2">
                  <c:v>0.99924712140530503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F-451E-B5E9-BB10EDA2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220176"/>
        <c:axId val="962229744"/>
      </c:barChart>
      <c:catAx>
        <c:axId val="9622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29744"/>
        <c:crosses val="autoZero"/>
        <c:auto val="1"/>
        <c:lblAlgn val="ctr"/>
        <c:lblOffset val="100"/>
        <c:noMultiLvlLbl val="0"/>
      </c:catAx>
      <c:valAx>
        <c:axId val="96222974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22201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Points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401013837511988E-3"/>
          <c:y val="0.20716445685043033"/>
          <c:w val="0.93971776955747366"/>
          <c:h val="0.71680980561309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Total Portfolio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3E3-4D63-BAA8-85A9AD095B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3-4D63-BAA8-85A9AD095B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3-4D63-BAA8-85A9AD095B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3-4D63-BAA8-85A9AD095B9D}"/>
              </c:ext>
            </c:extLst>
          </c:dPt>
          <c:dLbls>
            <c:dLbl>
              <c:idx val="3"/>
              <c:layout>
                <c:manualLayout>
                  <c:x val="0"/>
                  <c:y val="0.181311018131101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E3-4D63-BAA8-85A9AD095B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Sheet1!$G$12:$J$12</c:f>
              <c:strCache>
                <c:ptCount val="4"/>
                <c:pt idx="0">
                  <c:v>Enthusiast</c:v>
                </c:pt>
                <c:pt idx="1">
                  <c:v>Mature</c:v>
                </c:pt>
                <c:pt idx="2">
                  <c:v>Youth</c:v>
                </c:pt>
                <c:pt idx="3">
                  <c:v>Disengaged</c:v>
                </c:pt>
              </c:strCache>
            </c:strRef>
          </c:cat>
          <c:val>
            <c:numRef>
              <c:f>Sheet1!$G$15:$J$15</c:f>
              <c:numCache>
                <c:formatCode>_-* #,##0_-;\-* #,##0_-;_-* "-"??_-;_-@_-</c:formatCode>
                <c:ptCount val="4"/>
                <c:pt idx="0">
                  <c:v>4849</c:v>
                </c:pt>
                <c:pt idx="1">
                  <c:v>2580</c:v>
                </c:pt>
                <c:pt idx="2">
                  <c:v>3183</c:v>
                </c:pt>
                <c:pt idx="3">
                  <c:v>18830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3-4D63-BAA8-85A9AD095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7423072"/>
        <c:axId val="757424736"/>
      </c:barChart>
      <c:catAx>
        <c:axId val="7574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24736"/>
        <c:crosses val="autoZero"/>
        <c:auto val="1"/>
        <c:lblAlgn val="ctr"/>
        <c:lblOffset val="100"/>
        <c:noMultiLvlLbl val="0"/>
      </c:catAx>
      <c:valAx>
        <c:axId val="75742473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574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Average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E-473E-9A4D-3875ADCF66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E-473E-9A4D-3875ADCF66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FE-473E-9A4D-3875ADCF66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3FE-473E-9A4D-3875ADCF6665}"/>
              </c:ext>
            </c:extLst>
          </c:dPt>
          <c:dLbls>
            <c:dLbl>
              <c:idx val="1"/>
              <c:layout>
                <c:manualLayout>
                  <c:x val="0"/>
                  <c:y val="1.87003272557269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E-473E-9A4D-3875ADCF6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Sheet1!$G$12:$J$12</c:f>
              <c:strCache>
                <c:ptCount val="4"/>
                <c:pt idx="0">
                  <c:v>Enthusiast</c:v>
                </c:pt>
                <c:pt idx="1">
                  <c:v>Mature</c:v>
                </c:pt>
                <c:pt idx="2">
                  <c:v>Youth</c:v>
                </c:pt>
                <c:pt idx="3">
                  <c:v>Disengaged</c:v>
                </c:pt>
              </c:strCache>
            </c:strRef>
          </c:cat>
          <c:val>
            <c:numRef>
              <c:f>Sheet1!$G$16:$J$16</c:f>
              <c:numCache>
                <c:formatCode>_-* #,##0_-;\-* #,##0_-;_-* "-"??_-;_-@_-</c:formatCode>
                <c:ptCount val="4"/>
                <c:pt idx="0">
                  <c:v>34</c:v>
                </c:pt>
                <c:pt idx="1">
                  <c:v>42</c:v>
                </c:pt>
                <c:pt idx="2">
                  <c:v>24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FE-473E-9A4D-3875ADCF66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7423072"/>
        <c:axId val="757424736"/>
      </c:barChart>
      <c:catAx>
        <c:axId val="7574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24736"/>
        <c:crosses val="autoZero"/>
        <c:auto val="1"/>
        <c:lblAlgn val="ctr"/>
        <c:lblOffset val="100"/>
        <c:noMultiLvlLbl val="0"/>
      </c:catAx>
      <c:valAx>
        <c:axId val="75742473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574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Points Earned Usage %</a:t>
            </a:r>
          </a:p>
        </c:rich>
      </c:tx>
      <c:layout>
        <c:manualLayout>
          <c:xMode val="edge"/>
          <c:yMode val="edge"/>
          <c:x val="0.24283212631465914"/>
          <c:y val="1.3772175536881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Points Used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1D-4565-82FE-A26A3106C9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1D-4565-82FE-A26A3106C9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1D-4565-82FE-A26A3106C9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A1D-4565-82FE-A26A3106C9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Sheet1!$G$12:$J$12</c:f>
              <c:strCache>
                <c:ptCount val="4"/>
                <c:pt idx="0">
                  <c:v>Enthusiast</c:v>
                </c:pt>
                <c:pt idx="1">
                  <c:v>Mature</c:v>
                </c:pt>
                <c:pt idx="2">
                  <c:v>Youth</c:v>
                </c:pt>
                <c:pt idx="3">
                  <c:v>Disengaged</c:v>
                </c:pt>
              </c:strCache>
            </c:strRef>
          </c:cat>
          <c:val>
            <c:numRef>
              <c:f>Sheet1!$G$22:$J$22</c:f>
              <c:numCache>
                <c:formatCode>0%</c:formatCode>
                <c:ptCount val="4"/>
                <c:pt idx="0">
                  <c:v>0.97328021336154646</c:v>
                </c:pt>
                <c:pt idx="1">
                  <c:v>0.72287862513426426</c:v>
                </c:pt>
                <c:pt idx="2">
                  <c:v>0.64805395842547542</c:v>
                </c:pt>
                <c:pt idx="3">
                  <c:v>-1.7281947261663286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1D-4565-82FE-A26A3106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220176"/>
        <c:axId val="962229744"/>
      </c:barChart>
      <c:catAx>
        <c:axId val="9622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29744"/>
        <c:crosses val="autoZero"/>
        <c:auto val="1"/>
        <c:lblAlgn val="ctr"/>
        <c:lblOffset val="100"/>
        <c:noMultiLvlLbl val="0"/>
      </c:catAx>
      <c:valAx>
        <c:axId val="962229744"/>
        <c:scaling>
          <c:orientation val="minMax"/>
          <c:max val="1"/>
          <c:min val="-2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9622201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88972001676115"/>
          <c:y val="0"/>
          <c:w val="0.55234650483195646"/>
          <c:h val="0.9221150070228695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34-4620-91F1-E1F5FEF2BE3C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34-4620-91F1-E1F5FEF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Sheet2!$B$14:$B$15</c:f>
              <c:strCache>
                <c:ptCount val="2"/>
                <c:pt idx="0">
                  <c:v>Conversion</c:v>
                </c:pt>
                <c:pt idx="1">
                  <c:v>Acquistion</c:v>
                </c:pt>
              </c:strCache>
            </c:strRef>
          </c:cat>
          <c:val>
            <c:numRef>
              <c:f>Sheet2!$C$14:$C$15</c:f>
              <c:numCache>
                <c:formatCode>_-* #,##0_-;\-* #,##0_-;_-* "-"??_-;_-@_-</c:formatCode>
                <c:ptCount val="2"/>
                <c:pt idx="0">
                  <c:v>246108.59640000001</c:v>
                </c:pt>
                <c:pt idx="1">
                  <c:v>753891.40359999996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4-4620-91F1-E1F5FEF2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36590596037936"/>
          <c:y val="0.92171135184302377"/>
          <c:w val="0.33149945460652347"/>
          <c:h val="7.8288648156976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Transactions Made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Number of Transactions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Sheet1!$B$12:$D$12</c:f>
              <c:strCache>
                <c:ptCount val="3"/>
                <c:pt idx="0">
                  <c:v>Youth</c:v>
                </c:pt>
                <c:pt idx="1">
                  <c:v>Mature</c:v>
                </c:pt>
                <c:pt idx="2">
                  <c:v>SCENE Enthusiasts</c:v>
                </c:pt>
              </c:strCache>
            </c:strRef>
          </c:cat>
          <c:val>
            <c:numRef>
              <c:f>Sheet1!$B$14:$D$14</c:f>
              <c:numCache>
                <c:formatCode>_-* #,##0_-;\-* #,##0_-;_-* "-"??_-;_-@_-</c:formatCode>
                <c:ptCount val="3"/>
                <c:pt idx="0">
                  <c:v>37</c:v>
                </c:pt>
                <c:pt idx="1">
                  <c:v>47</c:v>
                </c:pt>
                <c:pt idx="2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0-45AA-BDC1-282A42D82B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7423072"/>
        <c:axId val="757424736"/>
      </c:barChart>
      <c:catAx>
        <c:axId val="7574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24736"/>
        <c:crosses val="autoZero"/>
        <c:auto val="1"/>
        <c:lblAlgn val="ctr"/>
        <c:lblOffset val="100"/>
        <c:noMultiLvlLbl val="0"/>
      </c:catAx>
      <c:valAx>
        <c:axId val="75742473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574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Points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401013837511988E-3"/>
          <c:y val="0.20716445685043033"/>
          <c:w val="0.93971776955747366"/>
          <c:h val="0.71680980561309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Total Points Balance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D-42C7-9AFA-A1659534D6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3D-42C7-9AFA-A1659534D6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Sheet1!$B$12:$D$12</c:f>
              <c:strCache>
                <c:ptCount val="3"/>
                <c:pt idx="0">
                  <c:v>Youth</c:v>
                </c:pt>
                <c:pt idx="1">
                  <c:v>Mature</c:v>
                </c:pt>
                <c:pt idx="2">
                  <c:v>SCENE Enthusiasts</c:v>
                </c:pt>
              </c:strCache>
            </c:strRef>
          </c:cat>
          <c:val>
            <c:numRef>
              <c:f>Sheet1!$B$15:$D$15</c:f>
              <c:numCache>
                <c:formatCode>_-* #,##0_-;\-* #,##0_-;_-* "-"??_-;_-@_-</c:formatCode>
                <c:ptCount val="3"/>
                <c:pt idx="0">
                  <c:v>7051</c:v>
                </c:pt>
                <c:pt idx="1">
                  <c:v>11368</c:v>
                </c:pt>
                <c:pt idx="2">
                  <c:v>30527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2C7-9AFA-A1659534D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7423072"/>
        <c:axId val="757424736"/>
      </c:barChart>
      <c:catAx>
        <c:axId val="7574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24736"/>
        <c:crosses val="autoZero"/>
        <c:auto val="1"/>
        <c:lblAlgn val="ctr"/>
        <c:lblOffset val="100"/>
        <c:noMultiLvlLbl val="0"/>
      </c:catAx>
      <c:valAx>
        <c:axId val="75742473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574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Average 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34-40E4-9208-B263FA587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34-40E4-9208-B263FA587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34-40E4-9208-B263FA5876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Sheet1!$B$12:$D$12</c:f>
              <c:strCache>
                <c:ptCount val="3"/>
                <c:pt idx="0">
                  <c:v>Youth</c:v>
                </c:pt>
                <c:pt idx="1">
                  <c:v>Mature</c:v>
                </c:pt>
                <c:pt idx="2">
                  <c:v>SCENE Enthusiasts</c:v>
                </c:pt>
              </c:strCache>
            </c:strRef>
          </c:cat>
          <c:val>
            <c:numRef>
              <c:f>Sheet1!$B$16:$D$16</c:f>
              <c:numCache>
                <c:formatCode>_-* #,##0_-;\-* #,##0_-;_-* "-"??_-;_-@_-</c:formatCode>
                <c:ptCount val="3"/>
                <c:pt idx="0">
                  <c:v>24</c:v>
                </c:pt>
                <c:pt idx="1">
                  <c:v>49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4-40E4-9208-B263FA5876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7423072"/>
        <c:axId val="757424736"/>
      </c:barChart>
      <c:catAx>
        <c:axId val="7574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24736"/>
        <c:crosses val="autoZero"/>
        <c:auto val="1"/>
        <c:lblAlgn val="ctr"/>
        <c:lblOffset val="100"/>
        <c:noMultiLvlLbl val="0"/>
      </c:catAx>
      <c:valAx>
        <c:axId val="75742473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574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Transactions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20850708924104E-2"/>
          <c:y val="0.14086225670714025"/>
          <c:w val="0.9388379204892966"/>
          <c:h val="0.7000377558781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Sheet1!$A$13:$A$14</c:f>
              <c:strCache>
                <c:ptCount val="2"/>
                <c:pt idx="0">
                  <c:v>Points Earned Per Transaction</c:v>
                </c:pt>
                <c:pt idx="1">
                  <c:v>Number of Transactions</c:v>
                </c:pt>
              </c:strCache>
            </c:strRef>
          </c:cat>
          <c:val>
            <c:numRef>
              <c:f>Sheet1!$B$13:$B$14</c:f>
              <c:numCache>
                <c:formatCode>_-* #,##0_-;\-* #,##0_-;_-* "-"??_-;_-@_-</c:formatCode>
                <c:ptCount val="2"/>
                <c:pt idx="0">
                  <c:v>15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E-46F6-A85E-5B8FC3141D02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Sheet1!$A$13:$A$14</c:f>
              <c:strCache>
                <c:ptCount val="2"/>
                <c:pt idx="0">
                  <c:v>Points Earned Per Transaction</c:v>
                </c:pt>
                <c:pt idx="1">
                  <c:v>Number of Transactions</c:v>
                </c:pt>
              </c:strCache>
            </c:strRef>
          </c:cat>
          <c:val>
            <c:numRef>
              <c:f>Sheet1!$C$13:$C$14</c:f>
              <c:numCache>
                <c:formatCode>_-* #,##0_-;\-* #,##0_-;_-* "-"??_-;_-@_-</c:formatCode>
                <c:ptCount val="2"/>
                <c:pt idx="0">
                  <c:v>21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E-46F6-A85E-5B8FC3141D02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SCENE Enthusiasts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Sheet1!$A$13:$A$14</c:f>
              <c:strCache>
                <c:ptCount val="2"/>
                <c:pt idx="0">
                  <c:v>Points Earned Per Transaction</c:v>
                </c:pt>
                <c:pt idx="1">
                  <c:v>Number of Transactions</c:v>
                </c:pt>
              </c:strCache>
            </c:strRef>
          </c:cat>
          <c:val>
            <c:numRef>
              <c:f>Sheet1!$D$13:$D$14</c:f>
              <c:numCache>
                <c:formatCode>_-* #,##0_-;\-* #,##0_-;_-* "-"??_-;_-@_-</c:formatCode>
                <c:ptCount val="2"/>
                <c:pt idx="0">
                  <c:v>118</c:v>
                </c:pt>
                <c:pt idx="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DE-46F6-A85E-5B8FC3141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4005648"/>
        <c:axId val="914002320"/>
      </c:barChart>
      <c:catAx>
        <c:axId val="9140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2320"/>
        <c:crosses val="autoZero"/>
        <c:auto val="1"/>
        <c:lblAlgn val="ctr"/>
        <c:lblOffset val="100"/>
        <c:noMultiLvlLbl val="0"/>
      </c:catAx>
      <c:valAx>
        <c:axId val="91400232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9140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18706068690766"/>
          <c:y val="0.9197592466679827"/>
          <c:w val="0.82209114320073962"/>
          <c:h val="7.817983836106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cap="all" baseline="0">
                <a:effectLst/>
              </a:rPr>
              <a:t>Age and Points balance</a:t>
            </a:r>
            <a:endParaRPr lang="en-CA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20850708924104E-2"/>
          <c:y val="0.14086225670714025"/>
          <c:w val="0.9388379204892966"/>
          <c:h val="0.7000377558781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Sheet1!$A$15:$A$16</c:f>
              <c:strCache>
                <c:ptCount val="2"/>
                <c:pt idx="0">
                  <c:v>Total Points Balance</c:v>
                </c:pt>
                <c:pt idx="1">
                  <c:v>Average Age</c:v>
                </c:pt>
              </c:strCache>
            </c:strRef>
          </c:cat>
          <c:val>
            <c:numRef>
              <c:f>Sheet1!$B$15:$B$16</c:f>
              <c:numCache>
                <c:formatCode>_-* #,##0_-;\-* #,##0_-;_-* "-"??_-;_-@_-</c:formatCode>
                <c:ptCount val="2"/>
                <c:pt idx="0">
                  <c:v>7051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A-4951-8323-2D14A64DB2EE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1806020066889632E-2"/>
                  <c:y val="-5.5594162612925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2-4D20-AF35-CA290AFB51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Total Points Balance</c:v>
                </c:pt>
                <c:pt idx="1">
                  <c:v>Average Age</c:v>
                </c:pt>
              </c:strCache>
            </c:strRef>
          </c:cat>
          <c:val>
            <c:numRef>
              <c:f>Sheet1!$C$15:$C$16</c:f>
              <c:numCache>
                <c:formatCode>_-* #,##0_-;\-* #,##0_-;_-* "-"??_-;_-@_-</c:formatCode>
                <c:ptCount val="2"/>
                <c:pt idx="0">
                  <c:v>11368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A-4951-8323-2D14A64DB2EE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SCENE Enthusiasts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Sheet1!$A$15:$A$16</c:f>
              <c:strCache>
                <c:ptCount val="2"/>
                <c:pt idx="0">
                  <c:v>Total Points Balance</c:v>
                </c:pt>
                <c:pt idx="1">
                  <c:v>Average Age</c:v>
                </c:pt>
              </c:strCache>
            </c:strRef>
          </c:cat>
          <c:val>
            <c:numRef>
              <c:f>Sheet1!$D$15:$D$16</c:f>
              <c:numCache>
                <c:formatCode>_-* #,##0_-;\-* #,##0_-;_-* "-"??_-;_-@_-</c:formatCode>
                <c:ptCount val="2"/>
                <c:pt idx="0">
                  <c:v>30527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3A-4951-8323-2D14A64D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4005648"/>
        <c:axId val="914002320"/>
      </c:barChart>
      <c:catAx>
        <c:axId val="9140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2320"/>
        <c:crosses val="autoZero"/>
        <c:auto val="1"/>
        <c:lblAlgn val="ctr"/>
        <c:lblOffset val="100"/>
        <c:noMultiLvlLbl val="0"/>
      </c:catAx>
      <c:valAx>
        <c:axId val="914002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182016163893343"/>
          <c:w val="1"/>
          <c:h val="7.817983836106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1C-41C4-8D37-7A246D2528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Proportion of People</c:v>
              </c:pt>
            </c:strLit>
          </c:cat>
          <c:val>
            <c:numRef>
              <c:f>Sheet1!$P$11</c:f>
              <c:numCache>
                <c:formatCode>0%</c:formatCode>
                <c:ptCount val="1"/>
                <c:pt idx="0">
                  <c:v>0.85050774986638167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1C4-8D37-7A246D2528F2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Proportion of People</c:v>
              </c:pt>
            </c:strLit>
          </c:cat>
          <c:val>
            <c:numRef>
              <c:f>Sheet1!$P$12</c:f>
              <c:numCache>
                <c:formatCode>0%</c:formatCode>
                <c:ptCount val="1"/>
                <c:pt idx="0">
                  <c:v>7.6322822020309988E-2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C-41C4-8D37-7A246D2528F2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SCENE Enthusiasts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Proportion of People</c:v>
              </c:pt>
            </c:strLit>
          </c:cat>
          <c:val>
            <c:numRef>
              <c:f>Sheet1!$P$13</c:f>
              <c:numCache>
                <c:formatCode>0%</c:formatCode>
                <c:ptCount val="1"/>
                <c:pt idx="0">
                  <c:v>7.3169428113308385E-2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C-41C4-8D37-7A246D2528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3748848"/>
        <c:axId val="963749264"/>
      </c:barChart>
      <c:catAx>
        <c:axId val="96374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49264"/>
        <c:crosses val="autoZero"/>
        <c:auto val="1"/>
        <c:lblAlgn val="ctr"/>
        <c:lblOffset val="100"/>
        <c:noMultiLvlLbl val="0"/>
      </c:catAx>
      <c:valAx>
        <c:axId val="963749264"/>
        <c:scaling>
          <c:orientation val="minMax"/>
          <c:max val="1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37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Transactions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20850708924104E-2"/>
          <c:y val="0.14086225670714025"/>
          <c:w val="0.9388379204892966"/>
          <c:h val="0.7000377558781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Enthusiast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Sheet1!$A$13:$A$14</c:f>
              <c:strCache>
                <c:ptCount val="2"/>
                <c:pt idx="0">
                  <c:v>Points Earned Per Transaction</c:v>
                </c:pt>
                <c:pt idx="1">
                  <c:v>Number of Transactions</c:v>
                </c:pt>
              </c:strCache>
            </c:strRef>
          </c:cat>
          <c:val>
            <c:numRef>
              <c:f>Sheet1!$G$13:$G$14</c:f>
              <c:numCache>
                <c:formatCode>_-* #,##0_-;\-* #,##0_-;_-* "-"??_-;_-@_-</c:formatCode>
                <c:ptCount val="2"/>
                <c:pt idx="0">
                  <c:v>213</c:v>
                </c:pt>
                <c:pt idx="1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2-4308-99FD-15C056E14C8E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Sheet1!$A$13:$A$14</c:f>
              <c:strCache>
                <c:ptCount val="2"/>
                <c:pt idx="0">
                  <c:v>Points Earned Per Transaction</c:v>
                </c:pt>
                <c:pt idx="1">
                  <c:v>Number of Transactions</c:v>
                </c:pt>
              </c:strCache>
            </c:strRef>
          </c:cat>
          <c:val>
            <c:numRef>
              <c:f>Sheet1!$H$13:$H$14</c:f>
              <c:numCache>
                <c:formatCode>_-* #,##0_-;\-* #,##0_-;_-* "-"??_-;_-@_-</c:formatCode>
                <c:ptCount val="2"/>
                <c:pt idx="0">
                  <c:v>19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2-4308-99FD-15C056E14C8E}"/>
            </c:ext>
          </c:extLst>
        </c:ser>
        <c:ser>
          <c:idx val="2"/>
          <c:order val="2"/>
          <c:tx>
            <c:strRef>
              <c:f>Sheet1!$I$12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Sheet1!$A$13:$A$14</c:f>
              <c:strCache>
                <c:ptCount val="2"/>
                <c:pt idx="0">
                  <c:v>Points Earned Per Transaction</c:v>
                </c:pt>
                <c:pt idx="1">
                  <c:v>Number of Transactions</c:v>
                </c:pt>
              </c:strCache>
            </c:strRef>
          </c:cat>
          <c:val>
            <c:numRef>
              <c:f>Sheet1!$I$13:$I$14</c:f>
              <c:numCache>
                <c:formatCode>_-* #,##0_-;\-* #,##0_-;_-* "-"??_-;_-@_-</c:formatCode>
                <c:ptCount val="2"/>
                <c:pt idx="0">
                  <c:v>14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2-4308-99FD-15C056E14C8E}"/>
            </c:ext>
          </c:extLst>
        </c:ser>
        <c:ser>
          <c:idx val="3"/>
          <c:order val="3"/>
          <c:tx>
            <c:strRef>
              <c:f>Sheet1!$J$12</c:f>
              <c:strCache>
                <c:ptCount val="1"/>
                <c:pt idx="0">
                  <c:v>Disengaged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Sheet1!$A$13:$A$14</c:f>
              <c:strCache>
                <c:ptCount val="2"/>
                <c:pt idx="0">
                  <c:v>Points Earned Per Transaction</c:v>
                </c:pt>
                <c:pt idx="1">
                  <c:v>Number of Transactions</c:v>
                </c:pt>
              </c:strCache>
            </c:strRef>
          </c:cat>
          <c:val>
            <c:numRef>
              <c:f>Sheet1!$J$13:$J$14</c:f>
              <c:numCache>
                <c:formatCode>_-* #,##0_-;\-* #,##0_-;_-* "-"??_-;_-@_-</c:formatCode>
                <c:ptCount val="2"/>
                <c:pt idx="0">
                  <c:v>17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2-4308-99FD-15C056E14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4005648"/>
        <c:axId val="914002320"/>
      </c:barChart>
      <c:catAx>
        <c:axId val="9140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2320"/>
        <c:crosses val="autoZero"/>
        <c:auto val="1"/>
        <c:lblAlgn val="ctr"/>
        <c:lblOffset val="100"/>
        <c:noMultiLvlLbl val="0"/>
      </c:catAx>
      <c:valAx>
        <c:axId val="91400232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9140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777756973119286"/>
          <c:y val="0.91975898410188262"/>
          <c:w val="0.56361002434145047"/>
          <c:h val="7.8452431939731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cap="all" baseline="0">
                <a:effectLst/>
              </a:rPr>
              <a:t>Age and portfolio balance</a:t>
            </a:r>
            <a:endParaRPr lang="en-CA" sz="1600">
              <a:effectLst/>
            </a:endParaRPr>
          </a:p>
        </c:rich>
      </c:tx>
      <c:layout>
        <c:manualLayout>
          <c:xMode val="edge"/>
          <c:yMode val="edge"/>
          <c:x val="0.238786939877617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11852281006676E-2"/>
          <c:y val="0.1177941857613819"/>
          <c:w val="0.9388379204892966"/>
          <c:h val="0.700037755878152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Sheet1!$A$16</c:f>
              <c:strCache>
                <c:ptCount val="1"/>
                <c:pt idx="0">
                  <c:v>Average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Sheet1!$G$12:$J$12</c:f>
              <c:strCache>
                <c:ptCount val="4"/>
                <c:pt idx="0">
                  <c:v>Enthusiast</c:v>
                </c:pt>
                <c:pt idx="1">
                  <c:v>Mature</c:v>
                </c:pt>
                <c:pt idx="2">
                  <c:v>Youth</c:v>
                </c:pt>
                <c:pt idx="3">
                  <c:v>Disengaged</c:v>
                </c:pt>
              </c:strCache>
            </c:strRef>
          </c:cat>
          <c:val>
            <c:numRef>
              <c:f>Sheet1!$G$16:$J$16</c:f>
              <c:numCache>
                <c:formatCode>_-* #,##0_-;\-* #,##0_-;_-* "-"??_-;_-@_-</c:formatCode>
                <c:ptCount val="4"/>
                <c:pt idx="0">
                  <c:v>34</c:v>
                </c:pt>
                <c:pt idx="1">
                  <c:v>42</c:v>
                </c:pt>
                <c:pt idx="2">
                  <c:v>24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C26-BDFA-AFF23B13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4005648"/>
        <c:axId val="914002320"/>
      </c:barChart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Total Portfolio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3347228011671504E-2"/>
                  <c:y val="-3.8610038610038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D7-4C26-BDFA-AFF23B13D141}"/>
                </c:ext>
              </c:extLst>
            </c:dLbl>
            <c:dLbl>
              <c:idx val="1"/>
              <c:layout>
                <c:manualLayout>
                  <c:x val="2.2231485341114403E-2"/>
                  <c:y val="-6.435006435006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4C26-BDFA-AFF23B13D141}"/>
                </c:ext>
              </c:extLst>
            </c:dLbl>
            <c:dLbl>
              <c:idx val="2"/>
              <c:layout>
                <c:manualLayout>
                  <c:x val="3.3347228011671531E-2"/>
                  <c:y val="-5.1480051480051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D7-4C26-BDFA-AFF23B13D141}"/>
                </c:ext>
              </c:extLst>
            </c:dLbl>
            <c:dLbl>
              <c:idx val="3"/>
              <c:layout>
                <c:manualLayout>
                  <c:x val="-2.5010421008753749E-2"/>
                  <c:y val="-3.8610038610038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D7-4C26-BDFA-AFF23B13D1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Sheet1!$G$12:$J$12</c:f>
              <c:strCache>
                <c:ptCount val="4"/>
                <c:pt idx="0">
                  <c:v>Enthusiast</c:v>
                </c:pt>
                <c:pt idx="1">
                  <c:v>Mature</c:v>
                </c:pt>
                <c:pt idx="2">
                  <c:v>Youth</c:v>
                </c:pt>
                <c:pt idx="3">
                  <c:v>Disengaged</c:v>
                </c:pt>
              </c:strCache>
            </c:strRef>
          </c:cat>
          <c:val>
            <c:numRef>
              <c:f>Sheet1!$G$15:$J$15</c:f>
              <c:numCache>
                <c:formatCode>_-* #,##0_-;\-* #,##0_-;_-* "-"??_-;_-@_-</c:formatCode>
                <c:ptCount val="4"/>
                <c:pt idx="0">
                  <c:v>4849</c:v>
                </c:pt>
                <c:pt idx="1">
                  <c:v>2580</c:v>
                </c:pt>
                <c:pt idx="2">
                  <c:v>3183</c:v>
                </c:pt>
                <c:pt idx="3">
                  <c:v>18830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7-4C26-BDFA-AFF23B13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90512"/>
        <c:axId val="908280160"/>
      </c:lineChart>
      <c:catAx>
        <c:axId val="9140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2320"/>
        <c:crosses val="autoZero"/>
        <c:auto val="1"/>
        <c:lblAlgn val="ctr"/>
        <c:lblOffset val="100"/>
        <c:noMultiLvlLbl val="0"/>
      </c:catAx>
      <c:valAx>
        <c:axId val="914002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5648"/>
        <c:crosses val="autoZero"/>
        <c:crossBetween val="between"/>
      </c:valAx>
      <c:valAx>
        <c:axId val="9082801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90512"/>
        <c:crosses val="max"/>
        <c:crossBetween val="between"/>
      </c:valAx>
      <c:catAx>
        <c:axId val="76669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828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2182016163893343"/>
          <c:w val="1"/>
          <c:h val="7.817983836106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935355</xdr:colOff>
      <xdr:row>27</xdr:row>
      <xdr:rowOff>57150</xdr:rowOff>
    </xdr:from>
    <xdr:to>
      <xdr:col>5</xdr:col>
      <xdr:colOff>531495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5EB0C-46DA-49E9-9CE7-5BDAC795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872490</xdr:colOff>
      <xdr:row>42</xdr:row>
      <xdr:rowOff>131445</xdr:rowOff>
    </xdr:from>
    <xdr:to>
      <xdr:col>5</xdr:col>
      <xdr:colOff>476250</xdr:colOff>
      <xdr:row>57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C5AD9-8786-4C66-A6E1-F350F3DA3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672465</xdr:colOff>
      <xdr:row>58</xdr:row>
      <xdr:rowOff>68580</xdr:rowOff>
    </xdr:from>
    <xdr:to>
      <xdr:col>5</xdr:col>
      <xdr:colOff>276225</xdr:colOff>
      <xdr:row>73</xdr:row>
      <xdr:rowOff>78105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EA7A55-34A4-49BC-BBD0-68AEB4035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569595</xdr:colOff>
      <xdr:row>74</xdr:row>
      <xdr:rowOff>45720</xdr:rowOff>
    </xdr:from>
    <xdr:to>
      <xdr:col>5</xdr:col>
      <xdr:colOff>350520</xdr:colOff>
      <xdr:row>89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6286F4-546D-4CF8-A9E4-B533E0112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615315</xdr:colOff>
      <xdr:row>22</xdr:row>
      <xdr:rowOff>114300</xdr:rowOff>
    </xdr:from>
    <xdr:to>
      <xdr:col>14</xdr:col>
      <xdr:colOff>123825</xdr:colOff>
      <xdr:row>37</xdr:row>
      <xdr:rowOff>131445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682A9C-1817-46D7-B654-9C9BD8DA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544830</xdr:colOff>
      <xdr:row>38</xdr:row>
      <xdr:rowOff>112395</xdr:rowOff>
    </xdr:from>
    <xdr:to>
      <xdr:col>13</xdr:col>
      <xdr:colOff>586740</xdr:colOff>
      <xdr:row>53</xdr:row>
      <xdr:rowOff>139065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645296-FAC4-4CCA-80E7-D7F1652B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896301</xdr:colOff>
      <xdr:row>57</xdr:row>
      <xdr:rowOff>9523</xdr:rowOff>
    </xdr:from>
    <xdr:to>
      <xdr:col>16</xdr:col>
      <xdr:colOff>329565</xdr:colOff>
      <xdr:row>62</xdr:row>
      <xdr:rowOff>36195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0DA1A7-42AB-4096-9B66-F23CB84AD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180975</xdr:colOff>
      <xdr:row>19</xdr:row>
      <xdr:rowOff>0</xdr:rowOff>
    </xdr:from>
    <xdr:to>
      <xdr:col>23</xdr:col>
      <xdr:colOff>474345</xdr:colOff>
      <xdr:row>34</xdr:row>
      <xdr:rowOff>20955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F865F1-9D79-4C29-8349-C819000F1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177165</xdr:colOff>
      <xdr:row>35</xdr:row>
      <xdr:rowOff>38099</xdr:rowOff>
    </xdr:from>
    <xdr:to>
      <xdr:col>23</xdr:col>
      <xdr:colOff>472440</xdr:colOff>
      <xdr:row>51</xdr:row>
      <xdr:rowOff>104774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A5BC27-C7BE-47BA-B482-AAB8BF8E5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758190</xdr:colOff>
      <xdr:row>62</xdr:row>
      <xdr:rowOff>112395</xdr:rowOff>
    </xdr:from>
    <xdr:to>
      <xdr:col>16</xdr:col>
      <xdr:colOff>202884</xdr:colOff>
      <xdr:row>67</xdr:row>
      <xdr:rowOff>144782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AC4362C-5F84-4D28-ACCC-C4C776877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497205</xdr:colOff>
      <xdr:row>68</xdr:row>
      <xdr:rowOff>160020</xdr:rowOff>
    </xdr:from>
    <xdr:to>
      <xdr:col>13</xdr:col>
      <xdr:colOff>339090</xdr:colOff>
      <xdr:row>84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D91BDF1-A5AF-4C34-8F2A-AD6E371FD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95250</xdr:colOff>
      <xdr:row>53</xdr:row>
      <xdr:rowOff>0</xdr:rowOff>
    </xdr:from>
    <xdr:to>
      <xdr:col>25</xdr:col>
      <xdr:colOff>55245</xdr:colOff>
      <xdr:row>68</xdr:row>
      <xdr:rowOff>13335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2F3297-9B04-4EB3-88B0-71484986A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68</xdr:row>
      <xdr:rowOff>165735</xdr:rowOff>
    </xdr:from>
    <xdr:to>
      <xdr:col>25</xdr:col>
      <xdr:colOff>127635</xdr:colOff>
      <xdr:row>83</xdr:row>
      <xdr:rowOff>175260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8FFD39D-7932-4059-8542-13DE322AA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95250</xdr:colOff>
      <xdr:row>85</xdr:row>
      <xdr:rowOff>55245</xdr:rowOff>
    </xdr:from>
    <xdr:to>
      <xdr:col>25</xdr:col>
      <xdr:colOff>53340</xdr:colOff>
      <xdr:row>100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065CA5-AA4C-4B23-8C91-D97A002CB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18</xdr:row>
      <xdr:rowOff>49530</xdr:rowOff>
    </xdr:from>
    <xdr:to>
      <xdr:col>9</xdr:col>
      <xdr:colOff>424815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6B52F-1C48-45FC-8B47-7CF6E853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2F51-548A-4859-996D-C63EF4988929}">
  <dimension ref="A1:X22"/>
  <sheetViews>
    <sheetView showGridLines="0" tabSelected="1" workbookViewId="0">
      <selection activeCell="G7" sqref="G7"/>
    </sheetView>
  </sheetViews>
  <sheetFormatPr defaultRowHeight="14.4" x14ac:dyDescent="0.3"/>
  <cols>
    <col min="1" max="1" width="32.33203125" bestFit="1" customWidth="1"/>
    <col min="2" max="3" width="10.33203125" bestFit="1" customWidth="1"/>
    <col min="4" max="4" width="16.77734375" bestFit="1" customWidth="1"/>
    <col min="5" max="5" width="10.33203125" customWidth="1"/>
    <col min="6" max="6" width="26.88671875" bestFit="1" customWidth="1"/>
    <col min="7" max="7" width="10.33203125" bestFit="1" customWidth="1"/>
    <col min="8" max="8" width="9.33203125" bestFit="1" customWidth="1"/>
    <col min="9" max="10" width="11.33203125" bestFit="1" customWidth="1"/>
  </cols>
  <sheetData>
    <row r="1" spans="1:24" x14ac:dyDescent="0.3">
      <c r="A1">
        <v>1</v>
      </c>
      <c r="B1">
        <v>15913</v>
      </c>
    </row>
    <row r="2" spans="1:24" x14ac:dyDescent="0.3">
      <c r="A2">
        <v>2</v>
      </c>
      <c r="B2">
        <v>1428</v>
      </c>
      <c r="C2">
        <f>SUM(B1:B2)</f>
        <v>17341</v>
      </c>
    </row>
    <row r="3" spans="1:24" x14ac:dyDescent="0.3">
      <c r="A3">
        <v>3</v>
      </c>
      <c r="B3">
        <v>1369</v>
      </c>
    </row>
    <row r="4" spans="1:24" x14ac:dyDescent="0.3">
      <c r="C4">
        <f>C2/SUM(B1:B3)</f>
        <v>0.9268305718866916</v>
      </c>
    </row>
    <row r="7" spans="1:24" x14ac:dyDescent="0.3">
      <c r="C7">
        <f>14/66</f>
        <v>0.21212121212121213</v>
      </c>
      <c r="V7" t="s">
        <v>0</v>
      </c>
      <c r="W7" s="1">
        <v>15913</v>
      </c>
      <c r="X7" s="2">
        <f>W7/SUM($O$11:$O$13)</f>
        <v>0.85050774986638167</v>
      </c>
    </row>
    <row r="8" spans="1:24" x14ac:dyDescent="0.3">
      <c r="C8">
        <f>1-C7</f>
        <v>0.78787878787878785</v>
      </c>
      <c r="V8" t="s">
        <v>4</v>
      </c>
      <c r="W8" s="1">
        <v>1428</v>
      </c>
      <c r="X8" s="2">
        <f t="shared" ref="X8:X9" si="0">W8/SUM($O$11:$O$13)</f>
        <v>7.6322822020309988E-2</v>
      </c>
    </row>
    <row r="9" spans="1:24" x14ac:dyDescent="0.3">
      <c r="E9" s="1">
        <f>E10*D10</f>
        <v>797497.50599999994</v>
      </c>
      <c r="I9" t="s">
        <v>5</v>
      </c>
      <c r="J9" s="4">
        <f>J10*Q14</f>
        <v>208069.48484848486</v>
      </c>
      <c r="P9" t="s">
        <v>17</v>
      </c>
      <c r="V9" t="s">
        <v>1</v>
      </c>
      <c r="W9" s="1">
        <v>1369</v>
      </c>
      <c r="X9" s="2">
        <f t="shared" si="0"/>
        <v>7.3169428113308385E-2</v>
      </c>
    </row>
    <row r="10" spans="1:24" x14ac:dyDescent="0.3">
      <c r="C10" t="s">
        <v>18</v>
      </c>
      <c r="D10" s="1">
        <v>3235284</v>
      </c>
      <c r="E10" s="6">
        <f>85%*29%</f>
        <v>0.24649999999999997</v>
      </c>
      <c r="I10" t="s">
        <v>18</v>
      </c>
      <c r="J10" s="1">
        <v>980899</v>
      </c>
      <c r="P10" t="s">
        <v>16</v>
      </c>
      <c r="Q10" t="s">
        <v>3</v>
      </c>
    </row>
    <row r="11" spans="1:24" x14ac:dyDescent="0.3">
      <c r="B11" s="24" t="s">
        <v>2</v>
      </c>
      <c r="C11" s="24"/>
      <c r="D11" s="24"/>
      <c r="G11" s="24" t="s">
        <v>3</v>
      </c>
      <c r="H11" s="24"/>
      <c r="I11" s="24"/>
      <c r="J11" s="24"/>
      <c r="N11" t="s">
        <v>0</v>
      </c>
      <c r="O11" s="1">
        <v>15913</v>
      </c>
      <c r="P11" s="2">
        <f>O11/SUM($O$11:$O$13)</f>
        <v>0.85050774986638167</v>
      </c>
      <c r="Q11" s="2">
        <f>4/66</f>
        <v>6.0606060606060608E-2</v>
      </c>
    </row>
    <row r="12" spans="1:24" x14ac:dyDescent="0.3">
      <c r="B12" s="23" t="s">
        <v>19</v>
      </c>
      <c r="C12" s="23" t="s">
        <v>20</v>
      </c>
      <c r="D12" s="23" t="s">
        <v>21</v>
      </c>
      <c r="G12" s="23" t="s">
        <v>22</v>
      </c>
      <c r="H12" s="23" t="s">
        <v>20</v>
      </c>
      <c r="I12" s="23" t="s">
        <v>19</v>
      </c>
      <c r="J12" s="23" t="s">
        <v>23</v>
      </c>
      <c r="N12" t="s">
        <v>4</v>
      </c>
      <c r="O12" s="1">
        <v>1428</v>
      </c>
      <c r="P12" s="2">
        <f t="shared" ref="P12:P13" si="1">O12/SUM($O$11:$O$13)</f>
        <v>7.6322822020309988E-2</v>
      </c>
      <c r="Q12" s="2">
        <f>14/66</f>
        <v>0.21212121212121213</v>
      </c>
    </row>
    <row r="13" spans="1:24" x14ac:dyDescent="0.3">
      <c r="A13" t="s">
        <v>8</v>
      </c>
      <c r="B13" s="1">
        <v>15</v>
      </c>
      <c r="C13" s="1">
        <v>21</v>
      </c>
      <c r="D13" s="1">
        <v>118</v>
      </c>
      <c r="E13" s="1"/>
      <c r="F13" t="s">
        <v>8</v>
      </c>
      <c r="G13" s="1">
        <v>213</v>
      </c>
      <c r="H13" s="1">
        <v>19</v>
      </c>
      <c r="I13" s="1">
        <v>14</v>
      </c>
      <c r="J13" s="1">
        <v>17</v>
      </c>
      <c r="N13" t="s">
        <v>1</v>
      </c>
      <c r="O13" s="1">
        <v>1369</v>
      </c>
      <c r="P13" s="2">
        <f t="shared" si="1"/>
        <v>7.3169428113308385E-2</v>
      </c>
      <c r="Q13" s="2">
        <f>34/66</f>
        <v>0.51515151515151514</v>
      </c>
    </row>
    <row r="14" spans="1:24" x14ac:dyDescent="0.3">
      <c r="A14" t="s">
        <v>6</v>
      </c>
      <c r="B14" s="1">
        <v>37</v>
      </c>
      <c r="C14" s="1">
        <v>47</v>
      </c>
      <c r="D14" s="1">
        <v>251</v>
      </c>
      <c r="E14" s="1"/>
      <c r="F14" t="s">
        <v>6</v>
      </c>
      <c r="G14" s="1">
        <v>213</v>
      </c>
      <c r="H14" s="1">
        <v>35</v>
      </c>
      <c r="I14" s="1">
        <v>19</v>
      </c>
      <c r="J14" s="1">
        <v>29</v>
      </c>
      <c r="N14" t="s">
        <v>5</v>
      </c>
      <c r="Q14" s="2">
        <f>14/66</f>
        <v>0.21212121212121213</v>
      </c>
    </row>
    <row r="15" spans="1:24" x14ac:dyDescent="0.3">
      <c r="A15" t="s">
        <v>7</v>
      </c>
      <c r="B15" s="1">
        <v>7051</v>
      </c>
      <c r="C15" s="1">
        <v>11368</v>
      </c>
      <c r="D15" s="1">
        <v>30527</v>
      </c>
      <c r="E15" s="1"/>
      <c r="F15" t="s">
        <v>10</v>
      </c>
      <c r="G15" s="1">
        <v>4849</v>
      </c>
      <c r="H15" s="1">
        <v>2580</v>
      </c>
      <c r="I15" s="1">
        <v>3183</v>
      </c>
      <c r="J15" s="1">
        <v>18830</v>
      </c>
    </row>
    <row r="16" spans="1:24" x14ac:dyDescent="0.3">
      <c r="A16" t="s">
        <v>9</v>
      </c>
      <c r="B16" s="1">
        <v>24</v>
      </c>
      <c r="C16" s="1">
        <v>49</v>
      </c>
      <c r="D16" s="1">
        <v>28</v>
      </c>
      <c r="E16" s="1"/>
      <c r="F16" t="s">
        <v>9</v>
      </c>
      <c r="G16" s="1">
        <v>34</v>
      </c>
      <c r="H16" s="1">
        <v>42</v>
      </c>
      <c r="I16" s="1">
        <v>24</v>
      </c>
      <c r="J16" s="1">
        <v>32</v>
      </c>
    </row>
    <row r="17" spans="1:10" x14ac:dyDescent="0.3">
      <c r="A17" t="s">
        <v>15</v>
      </c>
      <c r="B17" s="1">
        <v>15913</v>
      </c>
      <c r="C17" s="1">
        <v>1428</v>
      </c>
      <c r="D17" s="1">
        <v>1369</v>
      </c>
      <c r="F17" t="s">
        <v>15</v>
      </c>
      <c r="G17" s="1">
        <v>4</v>
      </c>
      <c r="H17" s="1">
        <v>14</v>
      </c>
      <c r="I17" s="1">
        <v>34</v>
      </c>
      <c r="J17" s="1">
        <v>14</v>
      </c>
    </row>
    <row r="19" spans="1:10" x14ac:dyDescent="0.3">
      <c r="A19" t="s">
        <v>13</v>
      </c>
      <c r="B19" s="1">
        <f>B13*B14</f>
        <v>555</v>
      </c>
      <c r="C19" s="1">
        <f t="shared" ref="C19:D19" si="2">C13*C14</f>
        <v>987</v>
      </c>
      <c r="D19" s="1">
        <f t="shared" si="2"/>
        <v>29618</v>
      </c>
      <c r="F19" t="s">
        <v>13</v>
      </c>
      <c r="G19" s="1">
        <f>G13*G14</f>
        <v>45369</v>
      </c>
      <c r="H19" s="1">
        <f t="shared" ref="H19:I19" si="3">H13*H14</f>
        <v>665</v>
      </c>
      <c r="I19" s="1">
        <f t="shared" si="3"/>
        <v>266</v>
      </c>
      <c r="J19" s="1">
        <f t="shared" ref="J19" si="4">J13*J14</f>
        <v>493</v>
      </c>
    </row>
    <row r="20" spans="1:10" x14ac:dyDescent="0.3">
      <c r="A20" t="s">
        <v>12</v>
      </c>
      <c r="B20" s="3">
        <f>B15/B17</f>
        <v>0.44309683906240183</v>
      </c>
      <c r="C20" s="3">
        <f t="shared" ref="C20:D20" si="5">C15/C17</f>
        <v>7.9607843137254903</v>
      </c>
      <c r="D20" s="3">
        <f t="shared" si="5"/>
        <v>22.298758217677136</v>
      </c>
      <c r="F20" t="s">
        <v>12</v>
      </c>
      <c r="G20" s="1">
        <f>G15/G17</f>
        <v>1212.25</v>
      </c>
      <c r="H20" s="1">
        <f t="shared" ref="H20:I20" si="6">H15/H17</f>
        <v>184.28571428571428</v>
      </c>
      <c r="I20" s="1">
        <f t="shared" si="6"/>
        <v>93.617647058823536</v>
      </c>
      <c r="J20" s="1">
        <f t="shared" ref="J20" si="7">J15/J17</f>
        <v>1345</v>
      </c>
    </row>
    <row r="21" spans="1:10" x14ac:dyDescent="0.3">
      <c r="A21" t="s">
        <v>11</v>
      </c>
      <c r="B21" s="4">
        <f>B19-B20</f>
        <v>554.55690316093762</v>
      </c>
      <c r="C21" s="4">
        <f t="shared" ref="C21:D21" si="8">C19-C20</f>
        <v>979.03921568627447</v>
      </c>
      <c r="D21" s="4">
        <f t="shared" si="8"/>
        <v>29595.701241782324</v>
      </c>
      <c r="F21" t="s">
        <v>11</v>
      </c>
      <c r="G21" s="4">
        <f>G19-G20</f>
        <v>44156.75</v>
      </c>
      <c r="H21" s="4">
        <f t="shared" ref="H21" si="9">H19-H20</f>
        <v>480.71428571428572</v>
      </c>
      <c r="I21" s="4">
        <f t="shared" ref="I21" si="10">I19-I20</f>
        <v>172.38235294117646</v>
      </c>
      <c r="J21" s="4">
        <f>J19-J20</f>
        <v>-852</v>
      </c>
    </row>
    <row r="22" spans="1:10" x14ac:dyDescent="0.3">
      <c r="A22" s="21" t="s">
        <v>14</v>
      </c>
      <c r="B22" s="22">
        <f>B21/B19</f>
        <v>0.99920162731700468</v>
      </c>
      <c r="C22" s="22">
        <f t="shared" ref="C22:D22" si="11">C21/C19</f>
        <v>0.99193436239744126</v>
      </c>
      <c r="D22" s="22">
        <f t="shared" si="11"/>
        <v>0.99924712140530503</v>
      </c>
      <c r="F22" s="21" t="s">
        <v>14</v>
      </c>
      <c r="G22" s="22">
        <f>G21/G19</f>
        <v>0.97328021336154646</v>
      </c>
      <c r="H22" s="22">
        <f t="shared" ref="H22" si="12">H21/H19</f>
        <v>0.72287862513426426</v>
      </c>
      <c r="I22" s="22">
        <f t="shared" ref="I22:J22" si="13">I21/I19</f>
        <v>0.64805395842547542</v>
      </c>
      <c r="J22" s="22">
        <f t="shared" si="13"/>
        <v>-1.7281947261663286</v>
      </c>
    </row>
  </sheetData>
  <mergeCells count="2">
    <mergeCell ref="B11:D11"/>
    <mergeCell ref="G11:J11"/>
  </mergeCells>
  <pageMargins left="0.7" right="0.7" top="0.75" bottom="0.75" header="0.3" footer="0.3"/>
  <pageSetup orientation="portrait" r:id="rId1"/>
  <ignoredErrors>
    <ignoredError sqref="C2" formulaRange="1"/>
    <ignoredError sqref="Q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BBF-A058-4356-94A0-CD97C84EB203}">
  <dimension ref="B3:M28"/>
  <sheetViews>
    <sheetView showGridLines="0" workbookViewId="0">
      <selection activeCell="C21" sqref="C21"/>
    </sheetView>
  </sheetViews>
  <sheetFormatPr defaultRowHeight="14.4" x14ac:dyDescent="0.3"/>
  <cols>
    <col min="2" max="2" width="20.44140625" bestFit="1" customWidth="1"/>
    <col min="3" max="3" width="11.33203125" bestFit="1" customWidth="1"/>
    <col min="5" max="5" width="20.44140625" bestFit="1" customWidth="1"/>
    <col min="6" max="6" width="11.33203125" bestFit="1" customWidth="1"/>
  </cols>
  <sheetData>
    <row r="3" spans="2:9" x14ac:dyDescent="0.3">
      <c r="B3" s="16" t="s">
        <v>24</v>
      </c>
    </row>
    <row r="4" spans="2:9" x14ac:dyDescent="0.3">
      <c r="I4" s="4"/>
    </row>
    <row r="5" spans="2:9" x14ac:dyDescent="0.3">
      <c r="B5" s="5" t="s">
        <v>25</v>
      </c>
      <c r="C5" s="7">
        <v>3235284</v>
      </c>
      <c r="E5" s="11" t="s">
        <v>30</v>
      </c>
      <c r="F5" s="12">
        <v>980899</v>
      </c>
      <c r="I5" s="1"/>
    </row>
    <row r="6" spans="2:9" x14ac:dyDescent="0.3">
      <c r="B6" s="5"/>
      <c r="C6" s="5"/>
      <c r="E6" s="11"/>
      <c r="F6" s="11"/>
    </row>
    <row r="7" spans="2:9" x14ac:dyDescent="0.3">
      <c r="B7" s="5" t="s">
        <v>26</v>
      </c>
      <c r="C7" s="7">
        <f>C5*85%</f>
        <v>2749991.4</v>
      </c>
      <c r="E7" s="11" t="s">
        <v>31</v>
      </c>
      <c r="F7" s="12">
        <f>F5*21%</f>
        <v>205988.78999999998</v>
      </c>
    </row>
    <row r="8" spans="2:9" x14ac:dyDescent="0.3">
      <c r="B8" s="5" t="s">
        <v>27</v>
      </c>
      <c r="C8" s="8"/>
      <c r="E8" s="11" t="s">
        <v>27</v>
      </c>
      <c r="F8" s="13"/>
    </row>
    <row r="9" spans="2:9" x14ac:dyDescent="0.3">
      <c r="B9" s="5" t="s">
        <v>28</v>
      </c>
      <c r="C9" s="9">
        <v>8.5000000000000006E-2</v>
      </c>
      <c r="E9" s="11" t="s">
        <v>28</v>
      </c>
      <c r="F9" s="14">
        <v>0.06</v>
      </c>
    </row>
    <row r="10" spans="2:9" x14ac:dyDescent="0.3">
      <c r="B10" s="5"/>
      <c r="C10" s="5"/>
      <c r="E10" s="11"/>
      <c r="F10" s="11"/>
    </row>
    <row r="11" spans="2:9" x14ac:dyDescent="0.3">
      <c r="B11" s="5" t="s">
        <v>29</v>
      </c>
      <c r="C11" s="10">
        <f>C7*C9</f>
        <v>233749.269</v>
      </c>
      <c r="E11" s="11" t="s">
        <v>29</v>
      </c>
      <c r="F11" s="15">
        <f>(F7*F9)+(M26*M28)</f>
        <v>12359.327399999998</v>
      </c>
    </row>
    <row r="14" spans="2:9" x14ac:dyDescent="0.3">
      <c r="B14" s="17" t="s">
        <v>35</v>
      </c>
      <c r="C14" s="18">
        <f>SUM(C11,F11)</f>
        <v>246108.59640000001</v>
      </c>
    </row>
    <row r="15" spans="2:9" x14ac:dyDescent="0.3">
      <c r="B15" s="16" t="s">
        <v>34</v>
      </c>
      <c r="C15" s="19">
        <f>1000000-C14</f>
        <v>753891.40359999996</v>
      </c>
    </row>
    <row r="16" spans="2:9" x14ac:dyDescent="0.3">
      <c r="B16" t="s">
        <v>18</v>
      </c>
      <c r="C16" s="20">
        <f>SUM(C14:C15)</f>
        <v>1000000</v>
      </c>
    </row>
    <row r="26" spans="12:13" x14ac:dyDescent="0.3">
      <c r="L26" s="11" t="s">
        <v>32</v>
      </c>
      <c r="M26" s="12">
        <f>52%*F5</f>
        <v>510067.48000000004</v>
      </c>
    </row>
    <row r="27" spans="12:13" x14ac:dyDescent="0.3">
      <c r="L27" s="11" t="s">
        <v>33</v>
      </c>
      <c r="M27" s="13"/>
    </row>
    <row r="28" spans="12:13" x14ac:dyDescent="0.3">
      <c r="L28" s="11" t="s">
        <v>28</v>
      </c>
      <c r="M28" s="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Valay Shah</dc:creator>
  <cp:lastModifiedBy>Valay Shah</cp:lastModifiedBy>
  <dcterms:created xsi:type="dcterms:W3CDTF">2021-04-14T14:32:38Z</dcterms:created>
  <dcterms:modified xsi:type="dcterms:W3CDTF">2021-05-02T14:53:10Z</dcterms:modified>
</cp:coreProperties>
</file>