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Завдання 1" sheetId="1" r:id="rId1"/>
    <sheet name="Завдання 2" sheetId="2" r:id="rId2"/>
    <sheet name="Завдання 3" sheetId="7" r:id="rId3"/>
    <sheet name="Симуляція" sheetId="8" r:id="rId4"/>
  </sheets>
  <calcPr calcId="124519"/>
</workbook>
</file>

<file path=xl/calcChain.xml><?xml version="1.0" encoding="utf-8"?>
<calcChain xmlns="http://schemas.openxmlformats.org/spreadsheetml/2006/main">
  <c r="C26" i="2"/>
  <c r="S27" i="8"/>
  <c r="P23"/>
  <c r="P24" s="1"/>
  <c r="P22"/>
  <c r="L23"/>
  <c r="L22"/>
  <c r="H24"/>
  <c r="H23"/>
  <c r="H22"/>
  <c r="B24"/>
  <c r="B23"/>
  <c r="B21"/>
  <c r="E23"/>
  <c r="E22"/>
  <c r="E24"/>
  <c r="B20"/>
  <c r="D16"/>
  <c r="D14"/>
  <c r="D13"/>
  <c r="D15"/>
  <c r="D12"/>
  <c r="H4"/>
  <c r="K4"/>
  <c r="K3"/>
  <c r="H3"/>
  <c r="B3"/>
  <c r="E3"/>
  <c r="B4"/>
  <c r="E4"/>
  <c r="B1" i="7"/>
  <c r="L24" i="8" l="1"/>
  <c r="S22" s="1"/>
  <c r="S25" s="1"/>
  <c r="H6"/>
  <c r="B6"/>
  <c r="B15" s="1"/>
  <c r="B14"/>
  <c r="G1" i="7"/>
  <c r="H7" i="8" l="1"/>
  <c r="C16"/>
  <c r="C12"/>
  <c r="C14"/>
  <c r="C15"/>
  <c r="C13"/>
  <c r="B12"/>
  <c r="B16"/>
  <c r="B7"/>
  <c r="S23" s="1"/>
  <c r="S26" s="1"/>
  <c r="B13"/>
  <c r="H22" i="7"/>
  <c r="H21"/>
  <c r="E2"/>
  <c r="E1"/>
  <c r="B5"/>
  <c r="B4"/>
  <c r="T2" i="2"/>
  <c r="T3"/>
  <c r="T4"/>
  <c r="T5"/>
  <c r="T1"/>
  <c r="B34" i="1"/>
  <c r="B32"/>
  <c r="E30"/>
  <c r="E29"/>
  <c r="B30"/>
  <c r="B29"/>
  <c r="B19"/>
  <c r="B25"/>
  <c r="B24"/>
  <c r="B23"/>
  <c r="B22"/>
  <c r="B21"/>
  <c r="B20"/>
  <c r="B18"/>
  <c r="B17"/>
  <c r="B16"/>
  <c r="B15"/>
  <c r="B14"/>
  <c r="A12"/>
  <c r="A13" s="1"/>
  <c r="A14" s="1"/>
  <c r="A15" s="1"/>
  <c r="A16" s="1"/>
  <c r="A17" s="1"/>
  <c r="A18" s="1"/>
  <c r="A11"/>
  <c r="A10"/>
  <c r="A9"/>
  <c r="H40" i="7"/>
  <c r="H37"/>
  <c r="H36"/>
  <c r="P14"/>
  <c r="P12"/>
  <c r="H39" s="1"/>
  <c r="P10"/>
  <c r="P11"/>
  <c r="E7"/>
  <c r="B7"/>
  <c r="K21" l="1"/>
  <c r="H49" s="1"/>
  <c r="K37"/>
  <c r="P13"/>
  <c r="K40"/>
  <c r="A19" i="1"/>
  <c r="H42" i="7" l="1"/>
  <c r="H48" s="1"/>
  <c r="H51" s="1"/>
  <c r="A20" i="1"/>
  <c r="A21" s="1"/>
  <c r="A22" s="1"/>
  <c r="A23" s="1"/>
  <c r="A24" s="1"/>
  <c r="A25" s="1"/>
  <c r="S38" i="2" l="1"/>
  <c r="S34"/>
  <c r="S37"/>
  <c r="S36"/>
  <c r="S35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O38" l="1"/>
  <c r="O37"/>
  <c r="O36"/>
  <c r="O35"/>
  <c r="O33"/>
  <c r="O32"/>
  <c r="O31"/>
  <c r="O34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C38"/>
  <c r="C37"/>
  <c r="C36"/>
  <c r="C35"/>
  <c r="C34"/>
  <c r="C33"/>
  <c r="C32"/>
  <c r="C31"/>
  <c r="C30"/>
  <c r="C29"/>
  <c r="C28"/>
  <c r="C27"/>
  <c r="C25"/>
  <c r="C24"/>
  <c r="C23"/>
  <c r="C22"/>
  <c r="C21"/>
  <c r="C20"/>
  <c r="C19"/>
  <c r="C18"/>
  <c r="C17"/>
  <c r="C16"/>
  <c r="C15"/>
  <c r="C14"/>
  <c r="C13"/>
  <c r="C12"/>
  <c r="C11"/>
  <c r="C10"/>
  <c r="Q3"/>
  <c r="Q4" s="1"/>
  <c r="Q5" s="1"/>
  <c r="Q2"/>
  <c r="R11" l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N13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12"/>
  <c r="N11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J1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F1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A10"/>
</calcChain>
</file>

<file path=xl/sharedStrings.xml><?xml version="1.0" encoding="utf-8"?>
<sst xmlns="http://schemas.openxmlformats.org/spreadsheetml/2006/main" count="151" uniqueCount="89">
  <si>
    <t>Ic, A</t>
  </si>
  <si>
    <t>Uзв</t>
  </si>
  <si>
    <t>Uвс</t>
  </si>
  <si>
    <t>Ic</t>
  </si>
  <si>
    <t>b</t>
  </si>
  <si>
    <t>Записати в таблицю 10 значень струму стоку для 10-ти значень напруги Uзв з діапазону від 0 до 2.1В</t>
  </si>
  <si>
    <t>Визначити величину порогової напруги транзистора та константу b з формули Ic=b2∙(Uзв-Uп)2</t>
  </si>
  <si>
    <t>Iс1</t>
  </si>
  <si>
    <t>Ic2</t>
  </si>
  <si>
    <t>Uп</t>
  </si>
  <si>
    <t>Uзв1</t>
  </si>
  <si>
    <t>Uзв2</t>
  </si>
  <si>
    <t>Варіюючи напругу Uзв (джерело V1) в діапазоні від 1.7 до 2.1 В з кроком 0.1 В</t>
  </si>
  <si>
    <t>та варіюючи напругу Uвс (джерело V2) в діапазоні від 0 до 5 В з кроком 0.05 В,</t>
  </si>
  <si>
    <t>одержавши сімейство вихідних статичних характеристик транзистора</t>
  </si>
  <si>
    <t>Перевірити, що для всіх кривих зупинка росту струму стоку (насичення) наступає за умови Uвс &gt; Uзв – Uп</t>
  </si>
  <si>
    <r>
      <t>визначте залежність I</t>
    </r>
    <r>
      <rPr>
        <vertAlign val="subscript"/>
        <sz val="14"/>
        <color rgb="FF000000"/>
        <rFont val="Calibri"/>
        <family val="2"/>
        <charset val="204"/>
        <scheme val="minor"/>
      </rPr>
      <t>с</t>
    </r>
    <r>
      <rPr>
        <sz val="14"/>
        <color rgb="FF000000"/>
        <rFont val="Calibri"/>
        <family val="2"/>
        <charset val="204"/>
        <scheme val="minor"/>
      </rPr>
      <t>(U</t>
    </r>
    <r>
      <rPr>
        <vertAlign val="subscript"/>
        <sz val="14"/>
        <color rgb="FF000000"/>
        <rFont val="Calibri"/>
        <family val="2"/>
        <charset val="204"/>
        <scheme val="minor"/>
      </rPr>
      <t>вс</t>
    </r>
    <r>
      <rPr>
        <sz val="14"/>
        <color rgb="FF000000"/>
        <rFont val="Calibri"/>
        <family val="2"/>
        <charset val="204"/>
        <scheme val="minor"/>
      </rPr>
      <t xml:space="preserve">) для різних значень напруг на затворі, </t>
    </r>
  </si>
  <si>
    <t>Uзв, В</t>
  </si>
  <si>
    <t>R1, Ом</t>
  </si>
  <si>
    <t>R2, Ом</t>
  </si>
  <si>
    <t>Rc, Ом</t>
  </si>
  <si>
    <t>C1, Ф</t>
  </si>
  <si>
    <t>C2, Ф</t>
  </si>
  <si>
    <t>Це будуть параметри робочої точки спокою вашого підсилювача, які визначають його коефіцієнт підсилення</t>
  </si>
  <si>
    <t>Uвс1: 20 мВ та частота 1 КГц</t>
  </si>
  <si>
    <t>На один канал двохканального осцилографа виведіть вхідну гармонічну напругу з джерела V1, а на інший канал виведіть підсилений гармонічний сигнал на виході</t>
  </si>
  <si>
    <t>Переконайтесь, що схема зсуває фазу сигналу на 180 градусів</t>
  </si>
  <si>
    <t>Визначте коефіцієнт підсилення за напругою, як відношення амплітуди гармонічного сигналу на виході до амплітуди гармонічного сигналу на вході</t>
  </si>
  <si>
    <t>Знайдіть значення амплітуди гармонічного сигналу на вході, при якій починається спотворення форми вихідного сигналу на виході (форма вихідного сигналу починає відрізнятися від синусоїдальної).</t>
  </si>
  <si>
    <t>Порівняйте розраховане значення з коефіцієнтом передачі за напругою, який раніше був визначений експериментально</t>
  </si>
  <si>
    <r>
      <t xml:space="preserve">Визначте передаточну провідність транзистора </t>
    </r>
    <r>
      <rPr>
        <i/>
        <sz val="12"/>
        <color rgb="FF000000"/>
        <rFont val="Calibri"/>
        <family val="2"/>
        <charset val="204"/>
        <scheme val="minor"/>
      </rPr>
      <t>g</t>
    </r>
    <r>
      <rPr>
        <i/>
        <vertAlign val="subscript"/>
        <sz val="7.15"/>
        <color rgb="FF000000"/>
        <rFont val="Calibri"/>
        <family val="2"/>
        <charset val="204"/>
        <scheme val="minor"/>
      </rPr>
      <t xml:space="preserve">m </t>
    </r>
    <r>
      <rPr>
        <sz val="12"/>
        <color rgb="FF000000"/>
        <rFont val="Calibri"/>
        <family val="2"/>
        <charset val="204"/>
        <scheme val="minor"/>
      </rPr>
      <t>для обраної робочої точки спокою</t>
    </r>
  </si>
  <si>
    <t>Збільшіть напругу між затвором і витоком на ∆Uзв(це може бути 0.05…0.2 В на ваш вибір) шляхом збільшення опору резистору R2</t>
  </si>
  <si>
    <r>
      <t>Далі знайдіть нове значення струму стоку I</t>
    </r>
    <r>
      <rPr>
        <vertAlign val="subscript"/>
        <sz val="7.15"/>
        <color rgb="FF000000"/>
        <rFont val="Calibri"/>
        <family val="2"/>
        <charset val="204"/>
        <scheme val="minor"/>
      </rPr>
      <t>с1</t>
    </r>
    <r>
      <rPr>
        <sz val="12"/>
        <color rgb="FF000000"/>
        <rFont val="Calibri"/>
        <family val="2"/>
        <charset val="204"/>
        <scheme val="minor"/>
      </rPr>
      <t>(U</t>
    </r>
    <r>
      <rPr>
        <vertAlign val="subscript"/>
        <sz val="7.15"/>
        <color rgb="FF000000"/>
        <rFont val="Calibri"/>
        <family val="2"/>
        <charset val="204"/>
        <scheme val="minor"/>
      </rPr>
      <t>зв0</t>
    </r>
    <r>
      <rPr>
        <sz val="12"/>
        <color rgb="FF000000"/>
        <rFont val="Calibri"/>
        <family val="2"/>
        <charset val="204"/>
        <scheme val="minor"/>
      </rPr>
      <t>+∆Uзв)</t>
    </r>
  </si>
  <si>
    <r>
      <t>Далі розрахуйте ∆Iс= I</t>
    </r>
    <r>
      <rPr>
        <vertAlign val="subscript"/>
        <sz val="7.15"/>
        <color rgb="FF000000"/>
        <rFont val="Calibri"/>
        <family val="2"/>
        <charset val="204"/>
        <scheme val="minor"/>
      </rPr>
      <t>с1</t>
    </r>
    <r>
      <rPr>
        <sz val="12"/>
        <color rgb="FF000000"/>
        <rFont val="Calibri"/>
        <family val="2"/>
        <charset val="204"/>
        <scheme val="minor"/>
      </rPr>
      <t>- I</t>
    </r>
    <r>
      <rPr>
        <vertAlign val="subscript"/>
        <sz val="7.15"/>
        <color rgb="FF000000"/>
        <rFont val="Calibri"/>
        <family val="2"/>
        <charset val="204"/>
        <scheme val="minor"/>
      </rPr>
      <t>с0</t>
    </r>
  </si>
  <si>
    <t>Після цього знайдіть передаточну провідність за формулою gm=∆Iс/∆Uзв</t>
  </si>
  <si>
    <r>
      <t>Передаточну провідність також можна розрахувати за формулою gm=b∙</t>
    </r>
    <r>
      <rPr>
        <sz val="11"/>
        <color rgb="FF000000"/>
        <rFont val="Calibri"/>
        <family val="2"/>
        <charset val="204"/>
        <scheme val="minor"/>
      </rPr>
      <t>(</t>
    </r>
    <r>
      <rPr>
        <sz val="12"/>
        <color rgb="FF000000"/>
        <rFont val="Calibri"/>
        <family val="2"/>
        <charset val="204"/>
        <scheme val="minor"/>
      </rPr>
      <t>Uзв0-Uп</t>
    </r>
    <r>
      <rPr>
        <sz val="11"/>
        <color rgb="FF000000"/>
        <rFont val="Calibri"/>
        <family val="2"/>
        <charset val="204"/>
        <scheme val="minor"/>
      </rPr>
      <t>)</t>
    </r>
  </si>
  <si>
    <t>Виміряйте та запишіть напругу між витоком і затвором Uзв0 (напруга на резисторі R2) при відсутності вхідного сигналу</t>
  </si>
  <si>
    <t>Виміряйте та запишіть напругу між витоком і стоком Uвс0 при відсутності вхідного сигналу</t>
  </si>
  <si>
    <t>Виміряйте струм стоку Iс0 при відсутності вхідного сигналу</t>
  </si>
  <si>
    <r>
      <t xml:space="preserve">Розрахуйте теоретичний коефіцієнт підсилення за напругою даної схеми за формулою </t>
    </r>
    <r>
      <rPr>
        <sz val="11"/>
        <color theme="1"/>
        <rFont val="Cambria"/>
        <family val="1"/>
        <charset val="204"/>
      </rPr>
      <t>KU=uвих/uвх=-R3∙gm</t>
    </r>
  </si>
  <si>
    <t>Uнас</t>
  </si>
  <si>
    <t>практично</t>
  </si>
  <si>
    <t>V2, В</t>
  </si>
  <si>
    <t>V1, В</t>
  </si>
  <si>
    <t>Практичні значення:</t>
  </si>
  <si>
    <t>Ku</t>
  </si>
  <si>
    <t>було</t>
  </si>
  <si>
    <t>стало</t>
  </si>
  <si>
    <t>gm</t>
  </si>
  <si>
    <t xml:space="preserve">gm </t>
  </si>
  <si>
    <t xml:space="preserve">Ku </t>
  </si>
  <si>
    <t>f, Гц</t>
  </si>
  <si>
    <t>Uвхm</t>
  </si>
  <si>
    <t>gm=∆Iс/∆Uзв</t>
  </si>
  <si>
    <t>gm=b∙(Uзв0-Uп)</t>
  </si>
  <si>
    <t>Ku = -R3 * ∆Iс/∆Uзв</t>
  </si>
  <si>
    <t>теоретично</t>
  </si>
  <si>
    <t>Uвихm</t>
  </si>
  <si>
    <t>експериментально</t>
  </si>
  <si>
    <t>δ, %</t>
  </si>
  <si>
    <t>відносно Ku = -R3 * ∆Iс/∆Uзв</t>
  </si>
  <si>
    <t>Завдання 1:</t>
  </si>
  <si>
    <t>Ic1, А</t>
  </si>
  <si>
    <t>Uзв1, В</t>
  </si>
  <si>
    <t>Ic2, A</t>
  </si>
  <si>
    <t>Uзв2, В</t>
  </si>
  <si>
    <t>Uп, В</t>
  </si>
  <si>
    <t>Завдання 2:</t>
  </si>
  <si>
    <t>Uзв - Uп</t>
  </si>
  <si>
    <t>Uвс &gt; Uзв - Uп</t>
  </si>
  <si>
    <t>Uвс нас</t>
  </si>
  <si>
    <t>~ Uзв - Uп</t>
  </si>
  <si>
    <t>Завдання 3:</t>
  </si>
  <si>
    <t>R1, Oм</t>
  </si>
  <si>
    <t>Робоча точка спокою:</t>
  </si>
  <si>
    <t>Uзв0, В</t>
  </si>
  <si>
    <t>Uвс0, В</t>
  </si>
  <si>
    <t>Ic0, А</t>
  </si>
  <si>
    <t>Ku:</t>
  </si>
  <si>
    <t>Uвс нас - напруга, при якій досягаємо насичення, з графіку</t>
  </si>
  <si>
    <r>
      <rPr>
        <b/>
        <sz val="11"/>
        <color rgb="FF3F3F3F"/>
        <rFont val="Calibri"/>
        <family val="2"/>
        <charset val="204"/>
      </rPr>
      <t>∆</t>
    </r>
    <r>
      <rPr>
        <b/>
        <sz val="11"/>
        <color rgb="FF3F3F3F"/>
        <rFont val="Calibri"/>
        <family val="2"/>
        <charset val="1"/>
        <scheme val="minor"/>
      </rPr>
      <t>Uзв, В</t>
    </r>
  </si>
  <si>
    <r>
      <rPr>
        <b/>
        <sz val="11"/>
        <color rgb="FF3F3F3F"/>
        <rFont val="Calibri"/>
        <family val="2"/>
        <charset val="204"/>
      </rPr>
      <t>∆</t>
    </r>
    <r>
      <rPr>
        <b/>
        <sz val="11"/>
        <color rgb="FF3F3F3F"/>
        <rFont val="Calibri"/>
        <family val="2"/>
        <charset val="1"/>
        <scheme val="minor"/>
      </rPr>
      <t>Ic, A</t>
    </r>
  </si>
  <si>
    <t>Ku = -R3 * b∙(Uзв0-Uп)</t>
  </si>
  <si>
    <t>якщо зменшити точність значень:</t>
  </si>
  <si>
    <t>Uвихm, мВ</t>
  </si>
  <si>
    <t>Uвхm, мВ</t>
  </si>
  <si>
    <t>Urc0, В</t>
  </si>
  <si>
    <r>
      <rPr>
        <b/>
        <sz val="11"/>
        <color rgb="FF3F3F3F"/>
        <rFont val="Calibri"/>
        <family val="2"/>
        <charset val="204"/>
      </rPr>
      <t>∆</t>
    </r>
    <r>
      <rPr>
        <b/>
        <sz val="11"/>
        <color rgb="FF3F3F3F"/>
        <rFont val="Calibri"/>
        <family val="2"/>
        <charset val="1"/>
        <scheme val="minor"/>
      </rPr>
      <t>Uзв,В</t>
    </r>
  </si>
  <si>
    <t>∆Ic, А</t>
  </si>
</sst>
</file>

<file path=xl/styles.xml><?xml version="1.0" encoding="utf-8"?>
<styleSheet xmlns="http://schemas.openxmlformats.org/spreadsheetml/2006/main">
  <numFmts count="4">
    <numFmt numFmtId="164" formatCode="0.000"/>
    <numFmt numFmtId="166" formatCode="0.0"/>
    <numFmt numFmtId="167" formatCode="0.0000"/>
    <numFmt numFmtId="168" formatCode="0.000000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4"/>
      <color rgb="FF000000"/>
      <name val="Calibri"/>
      <family val="2"/>
      <charset val="204"/>
      <scheme val="minor"/>
    </font>
    <font>
      <vertAlign val="subscript"/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7.15"/>
      <color rgb="FF000000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vertAlign val="subscript"/>
      <sz val="7.15"/>
      <color rgb="FF000000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rgb="FF3F3F3F"/>
      <name val="Calibri"/>
      <family val="2"/>
      <charset val="204"/>
    </font>
    <font>
      <b/>
      <sz val="11"/>
      <color rgb="FF3F3F3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3" fillId="4" borderId="2" applyNumberFormat="0" applyFont="0" applyAlignment="0" applyProtection="0"/>
    <xf numFmtId="0" fontId="2" fillId="5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6" borderId="0" applyNumberFormat="0" applyBorder="0" applyAlignment="0" applyProtection="0"/>
  </cellStyleXfs>
  <cellXfs count="48">
    <xf numFmtId="0" fontId="0" fillId="0" borderId="0" xfId="0"/>
    <xf numFmtId="0" fontId="5" fillId="3" borderId="1" xfId="2"/>
    <xf numFmtId="0" fontId="2" fillId="5" borderId="1" xfId="4" applyBorder="1"/>
    <xf numFmtId="0" fontId="0" fillId="0" borderId="0" xfId="0" applyFont="1"/>
    <xf numFmtId="164" fontId="5" fillId="3" borderId="1" xfId="2" applyNumberFormat="1"/>
    <xf numFmtId="0" fontId="2" fillId="4" borderId="2" xfId="3" applyFont="1"/>
    <xf numFmtId="0" fontId="5" fillId="4" borderId="2" xfId="3" applyFont="1"/>
    <xf numFmtId="1" fontId="5" fillId="3" borderId="1" xfId="2" applyNumberFormat="1"/>
    <xf numFmtId="2" fontId="5" fillId="3" borderId="1" xfId="2" applyNumberFormat="1"/>
    <xf numFmtId="166" fontId="4" fillId="2" borderId="1" xfId="1" applyNumberFormat="1" applyBorder="1"/>
    <xf numFmtId="0" fontId="0" fillId="0" borderId="0" xfId="0"/>
    <xf numFmtId="0" fontId="0" fillId="0" borderId="5" xfId="0" applyBorder="1" applyAlignment="1"/>
    <xf numFmtId="167" fontId="5" fillId="3" borderId="1" xfId="2" applyNumberFormat="1"/>
    <xf numFmtId="0" fontId="0" fillId="0" borderId="0" xfId="0"/>
    <xf numFmtId="168" fontId="0" fillId="0" borderId="0" xfId="0" applyNumberFormat="1"/>
    <xf numFmtId="167" fontId="4" fillId="2" borderId="1" xfId="1" applyNumberFormat="1" applyBorder="1"/>
    <xf numFmtId="0" fontId="1" fillId="5" borderId="1" xfId="4" applyFont="1" applyBorder="1"/>
    <xf numFmtId="0" fontId="1" fillId="5" borderId="2" xfId="4" applyFont="1" applyBorder="1"/>
    <xf numFmtId="0" fontId="1" fillId="4" borderId="2" xfId="3" applyFont="1"/>
    <xf numFmtId="0" fontId="0" fillId="0" borderId="0" xfId="0" applyAlignment="1"/>
    <xf numFmtId="0" fontId="21" fillId="3" borderId="1" xfId="2" applyFont="1"/>
    <xf numFmtId="0" fontId="19" fillId="0" borderId="0" xfId="5"/>
    <xf numFmtId="0" fontId="19" fillId="0" borderId="0" xfId="5" applyAlignment="1"/>
    <xf numFmtId="164" fontId="0" fillId="0" borderId="0" xfId="0" applyNumberFormat="1"/>
    <xf numFmtId="0" fontId="18" fillId="6" borderId="1" xfId="6" applyBorder="1"/>
    <xf numFmtId="164" fontId="4" fillId="2" borderId="1" xfId="1" applyNumberFormat="1" applyBorder="1"/>
    <xf numFmtId="0" fontId="4" fillId="4" borderId="2" xfId="3" applyFont="1" applyAlignment="1">
      <alignment horizontal="center"/>
    </xf>
    <xf numFmtId="0" fontId="7" fillId="4" borderId="2" xfId="3" applyFont="1" applyAlignment="1">
      <alignment horizontal="center"/>
    </xf>
    <xf numFmtId="0" fontId="6" fillId="4" borderId="2" xfId="3" applyFont="1" applyAlignment="1">
      <alignment horizontal="center"/>
    </xf>
    <xf numFmtId="0" fontId="5" fillId="3" borderId="1" xfId="2" applyAlignment="1">
      <alignment horizontal="center" vertical="top"/>
    </xf>
    <xf numFmtId="0" fontId="8" fillId="4" borderId="2" xfId="3" applyFont="1" applyAlignment="1">
      <alignment horizontal="center"/>
    </xf>
    <xf numFmtId="0" fontId="10" fillId="4" borderId="2" xfId="3" applyFont="1" applyAlignment="1">
      <alignment horizontal="center"/>
    </xf>
    <xf numFmtId="0" fontId="11" fillId="4" borderId="2" xfId="3" applyFont="1" applyAlignment="1">
      <alignment horizontal="center"/>
    </xf>
    <xf numFmtId="0" fontId="17" fillId="4" borderId="2" xfId="3" applyFont="1" applyAlignment="1">
      <alignment horizontal="center"/>
    </xf>
    <xf numFmtId="0" fontId="5" fillId="3" borderId="3" xfId="2" applyBorder="1" applyAlignment="1">
      <alignment horizontal="center"/>
    </xf>
    <xf numFmtId="0" fontId="5" fillId="3" borderId="4" xfId="2" applyBorder="1" applyAlignment="1">
      <alignment horizontal="center"/>
    </xf>
    <xf numFmtId="0" fontId="19" fillId="0" borderId="5" xfId="5" applyBorder="1" applyAlignment="1">
      <alignment horizontal="center"/>
    </xf>
    <xf numFmtId="0" fontId="19" fillId="0" borderId="0" xfId="5" applyBorder="1" applyAlignment="1">
      <alignment horizontal="center"/>
    </xf>
    <xf numFmtId="0" fontId="19" fillId="0" borderId="0" xfId="5" applyAlignment="1">
      <alignment horizontal="center"/>
    </xf>
    <xf numFmtId="0" fontId="11" fillId="4" borderId="6" xfId="3" applyFont="1" applyBorder="1" applyAlignment="1">
      <alignment horizontal="center"/>
    </xf>
    <xf numFmtId="0" fontId="11" fillId="4" borderId="8" xfId="3" applyFont="1" applyBorder="1" applyAlignment="1">
      <alignment horizontal="center"/>
    </xf>
    <xf numFmtId="0" fontId="11" fillId="4" borderId="7" xfId="3" applyFont="1" applyBorder="1" applyAlignment="1">
      <alignment horizontal="center"/>
    </xf>
    <xf numFmtId="0" fontId="5" fillId="3" borderId="1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4" borderId="6" xfId="3" applyFont="1" applyBorder="1" applyAlignment="1">
      <alignment horizontal="center"/>
    </xf>
    <xf numFmtId="0" fontId="0" fillId="4" borderId="7" xfId="3" applyFont="1" applyBorder="1" applyAlignment="1">
      <alignment horizontal="center"/>
    </xf>
    <xf numFmtId="0" fontId="0" fillId="4" borderId="2" xfId="3" applyFont="1" applyAlignment="1">
      <alignment horizontal="center"/>
    </xf>
  </cellXfs>
  <cellStyles count="7">
    <cellStyle name="40% - Акцент3" xfId="4" builtinId="39"/>
    <cellStyle name="Акцент3" xfId="6" builtinId="37"/>
    <cellStyle name="Вывод" xfId="2" builtinId="21"/>
    <cellStyle name="Обычный" xfId="0" builtinId="0"/>
    <cellStyle name="Пояснение" xfId="5" builtinId="53"/>
    <cellStyle name="Примечание" xfId="3" builtinId="1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Ic(Uзв)</c:v>
          </c:tx>
          <c:cat>
            <c:numRef>
              <c:f>'Завдання 1'!$A$4:$A$25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</c:numCache>
            </c:numRef>
          </c:cat>
          <c:val>
            <c:numRef>
              <c:f>'Завдання 1'!$B$4:$B$25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1E-8</c:v>
                </c:pt>
                <c:pt idx="11">
                  <c:v>7.0000000000000005E-8</c:v>
                </c:pt>
                <c:pt idx="12">
                  <c:v>3.7E-7</c:v>
                </c:pt>
                <c:pt idx="13">
                  <c:v>1.95E-6</c:v>
                </c:pt>
                <c:pt idx="14">
                  <c:v>9.9799999999999993E-6</c:v>
                </c:pt>
                <c:pt idx="15">
                  <c:v>1.22E-4</c:v>
                </c:pt>
                <c:pt idx="16">
                  <c:v>4.8999999999999998E-4</c:v>
                </c:pt>
                <c:pt idx="17">
                  <c:v>1.6490000000000001E-3</c:v>
                </c:pt>
                <c:pt idx="18">
                  <c:v>4.5999999999999999E-3</c:v>
                </c:pt>
                <c:pt idx="19">
                  <c:v>0.01</c:v>
                </c:pt>
                <c:pt idx="20">
                  <c:v>1.89E-2</c:v>
                </c:pt>
                <c:pt idx="21">
                  <c:v>3.1800000000000002E-2</c:v>
                </c:pt>
              </c:numCache>
            </c:numRef>
          </c:val>
        </c:ser>
        <c:marker val="1"/>
        <c:axId val="144751616"/>
        <c:axId val="144757504"/>
      </c:lineChart>
      <c:catAx>
        <c:axId val="144751616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144757504"/>
        <c:crosses val="autoZero"/>
        <c:auto val="1"/>
        <c:lblAlgn val="ctr"/>
        <c:lblOffset val="100"/>
      </c:catAx>
      <c:valAx>
        <c:axId val="14475750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4475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v>1,7</c:v>
          </c:tx>
          <c:marker>
            <c:symbol val="none"/>
          </c:marker>
          <c:cat>
            <c:numRef>
              <c:f>'Завдання 2'!$B$10:$B$30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'Завдання 2'!$C$10:$C$30</c:f>
              <c:numCache>
                <c:formatCode>General</c:formatCode>
                <c:ptCount val="21"/>
                <c:pt idx="0">
                  <c:v>1.8600000000000001E-5</c:v>
                </c:pt>
                <c:pt idx="1">
                  <c:v>3.3719999999999996E-4</c:v>
                </c:pt>
                <c:pt idx="2">
                  <c:v>6.1600000000000001E-4</c:v>
                </c:pt>
                <c:pt idx="3">
                  <c:v>8.4800000000000001E-4</c:v>
                </c:pt>
                <c:pt idx="4">
                  <c:v>1.0199999999999999E-3</c:v>
                </c:pt>
                <c:pt idx="5">
                  <c:v>1.134E-3</c:v>
                </c:pt>
                <c:pt idx="6">
                  <c:v>1.207E-3</c:v>
                </c:pt>
                <c:pt idx="7">
                  <c:v>1.253E-3</c:v>
                </c:pt>
                <c:pt idx="8">
                  <c:v>1.2849999999999999E-3</c:v>
                </c:pt>
                <c:pt idx="9">
                  <c:v>1.305E-3</c:v>
                </c:pt>
                <c:pt idx="10">
                  <c:v>1.32E-3</c:v>
                </c:pt>
                <c:pt idx="11">
                  <c:v>1.33E-3</c:v>
                </c:pt>
                <c:pt idx="12">
                  <c:v>1.34E-3</c:v>
                </c:pt>
                <c:pt idx="13">
                  <c:v>1.346E-3</c:v>
                </c:pt>
                <c:pt idx="14">
                  <c:v>1.3519999999999999E-3</c:v>
                </c:pt>
                <c:pt idx="15">
                  <c:v>1.356E-3</c:v>
                </c:pt>
                <c:pt idx="16">
                  <c:v>1.361E-3</c:v>
                </c:pt>
                <c:pt idx="17">
                  <c:v>1.3649999999999999E-3</c:v>
                </c:pt>
                <c:pt idx="18">
                  <c:v>1.3679999999999999E-3</c:v>
                </c:pt>
                <c:pt idx="19">
                  <c:v>1.3729999999999999E-3</c:v>
                </c:pt>
                <c:pt idx="20">
                  <c:v>1.3759999999999998E-3</c:v>
                </c:pt>
              </c:numCache>
            </c:numRef>
          </c:val>
        </c:ser>
        <c:ser>
          <c:idx val="1"/>
          <c:order val="1"/>
          <c:tx>
            <c:v>1,8</c:v>
          </c:tx>
          <c:marker>
            <c:symbol val="none"/>
          </c:marker>
          <c:cat>
            <c:numRef>
              <c:f>'Завдання 2'!$B$10:$B$30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'Завдання 2'!$G$10:$G$30</c:f>
              <c:numCache>
                <c:formatCode>General</c:formatCode>
                <c:ptCount val="21"/>
                <c:pt idx="0">
                  <c:v>2.3E-5</c:v>
                </c:pt>
                <c:pt idx="1">
                  <c:v>4.17E-4</c:v>
                </c:pt>
                <c:pt idx="2">
                  <c:v>8.0199999999999998E-4</c:v>
                </c:pt>
                <c:pt idx="3">
                  <c:v>1.173E-3</c:v>
                </c:pt>
                <c:pt idx="4">
                  <c:v>1.539E-3</c:v>
                </c:pt>
                <c:pt idx="5">
                  <c:v>1.8699999999999999E-3</c:v>
                </c:pt>
                <c:pt idx="6">
                  <c:v>2.1930000000000001E-3</c:v>
                </c:pt>
                <c:pt idx="7">
                  <c:v>2.48E-3</c:v>
                </c:pt>
                <c:pt idx="8">
                  <c:v>2.7469999999999999E-3</c:v>
                </c:pt>
                <c:pt idx="9">
                  <c:v>2.9729999999999999E-3</c:v>
                </c:pt>
                <c:pt idx="10">
                  <c:v>3.1619999999999999E-3</c:v>
                </c:pt>
                <c:pt idx="11">
                  <c:v>3.3119999999999998E-3</c:v>
                </c:pt>
                <c:pt idx="12">
                  <c:v>3.4249999999999997E-3</c:v>
                </c:pt>
                <c:pt idx="13">
                  <c:v>3.5079999999999998E-3</c:v>
                </c:pt>
                <c:pt idx="14">
                  <c:v>3.5689999999999997E-3</c:v>
                </c:pt>
                <c:pt idx="15">
                  <c:v>3.6179999999999997E-3</c:v>
                </c:pt>
                <c:pt idx="16">
                  <c:v>3.6549999999999998E-3</c:v>
                </c:pt>
                <c:pt idx="17">
                  <c:v>3.6849999999999999E-3</c:v>
                </c:pt>
                <c:pt idx="18">
                  <c:v>3.7079999999999999E-3</c:v>
                </c:pt>
                <c:pt idx="19">
                  <c:v>3.728E-3</c:v>
                </c:pt>
                <c:pt idx="20">
                  <c:v>3.7449999999999996E-3</c:v>
                </c:pt>
              </c:numCache>
            </c:numRef>
          </c:val>
        </c:ser>
        <c:ser>
          <c:idx val="2"/>
          <c:order val="2"/>
          <c:tx>
            <c:v>1,9</c:v>
          </c:tx>
          <c:marker>
            <c:symbol val="none"/>
          </c:marker>
          <c:cat>
            <c:numRef>
              <c:f>'Завдання 2'!$B$10:$B$30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'Завдання 2'!$K$10:$K$30</c:f>
              <c:numCache>
                <c:formatCode>General</c:formatCode>
                <c:ptCount val="21"/>
                <c:pt idx="0">
                  <c:v>2.55E-5</c:v>
                </c:pt>
                <c:pt idx="1">
                  <c:v>4.6099999999999998E-4</c:v>
                </c:pt>
                <c:pt idx="2">
                  <c:v>8.9399999999999994E-4</c:v>
                </c:pt>
                <c:pt idx="3">
                  <c:v>1.3239999999999999E-3</c:v>
                </c:pt>
                <c:pt idx="4">
                  <c:v>1.753E-3</c:v>
                </c:pt>
                <c:pt idx="5">
                  <c:v>2.1709999999999998E-3</c:v>
                </c:pt>
                <c:pt idx="6">
                  <c:v>2.5919999999999997E-3</c:v>
                </c:pt>
                <c:pt idx="7">
                  <c:v>3.009E-3</c:v>
                </c:pt>
                <c:pt idx="8">
                  <c:v>3.421E-3</c:v>
                </c:pt>
                <c:pt idx="9">
                  <c:v>3.8269999999999997E-3</c:v>
                </c:pt>
                <c:pt idx="10">
                  <c:v>8.4200000000000004E-3</c:v>
                </c:pt>
                <c:pt idx="11">
                  <c:v>8.5100000000000002E-3</c:v>
                </c:pt>
                <c:pt idx="12">
                  <c:v>8.5700000000000012E-3</c:v>
                </c:pt>
                <c:pt idx="13">
                  <c:v>8.6199999999999992E-3</c:v>
                </c:pt>
                <c:pt idx="14">
                  <c:v>8.660000000000001E-3</c:v>
                </c:pt>
                <c:pt idx="15">
                  <c:v>8.6999999999999994E-3</c:v>
                </c:pt>
                <c:pt idx="16">
                  <c:v>8.7200000000000003E-3</c:v>
                </c:pt>
                <c:pt idx="17">
                  <c:v>8.7500000000000008E-3</c:v>
                </c:pt>
                <c:pt idx="18">
                  <c:v>8.7799999999999996E-3</c:v>
                </c:pt>
                <c:pt idx="19">
                  <c:v>8.8000000000000005E-3</c:v>
                </c:pt>
                <c:pt idx="20">
                  <c:v>8.8100000000000001E-3</c:v>
                </c:pt>
              </c:numCache>
            </c:numRef>
          </c:val>
        </c:ser>
        <c:ser>
          <c:idx val="3"/>
          <c:order val="3"/>
          <c:tx>
            <c:v>2</c:v>
          </c:tx>
          <c:marker>
            <c:symbol val="none"/>
          </c:marker>
          <c:cat>
            <c:numRef>
              <c:f>'Завдання 2'!$B$10:$B$30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'Завдання 2'!$O$10:$O$30</c:f>
              <c:numCache>
                <c:formatCode>General</c:formatCode>
                <c:ptCount val="21"/>
                <c:pt idx="0">
                  <c:v>2.6999999999999999E-5</c:v>
                </c:pt>
                <c:pt idx="1">
                  <c:v>4.7999999999999996E-4</c:v>
                </c:pt>
                <c:pt idx="2">
                  <c:v>9.3099999999999997E-4</c:v>
                </c:pt>
                <c:pt idx="3">
                  <c:v>1.382E-3</c:v>
                </c:pt>
                <c:pt idx="4">
                  <c:v>1.833E-3</c:v>
                </c:pt>
                <c:pt idx="5">
                  <c:v>2.2769999999999999E-3</c:v>
                </c:pt>
                <c:pt idx="6">
                  <c:v>2.725E-3</c:v>
                </c:pt>
                <c:pt idx="7">
                  <c:v>3.173E-3</c:v>
                </c:pt>
                <c:pt idx="8">
                  <c:v>3.62E-3</c:v>
                </c:pt>
                <c:pt idx="9">
                  <c:v>1.6160000000000001E-2</c:v>
                </c:pt>
                <c:pt idx="10">
                  <c:v>1.6469999999999999E-2</c:v>
                </c:pt>
                <c:pt idx="11">
                  <c:v>1.669E-2</c:v>
                </c:pt>
                <c:pt idx="12">
                  <c:v>1.685E-2</c:v>
                </c:pt>
                <c:pt idx="13">
                  <c:v>1.6969999999999999E-2</c:v>
                </c:pt>
                <c:pt idx="14">
                  <c:v>1.7090000000000001E-2</c:v>
                </c:pt>
                <c:pt idx="15">
                  <c:v>1.719E-2</c:v>
                </c:pt>
                <c:pt idx="16">
                  <c:v>1.728E-2</c:v>
                </c:pt>
                <c:pt idx="17">
                  <c:v>1.7350000000000001E-2</c:v>
                </c:pt>
                <c:pt idx="18">
                  <c:v>1.7420000000000001E-2</c:v>
                </c:pt>
                <c:pt idx="19">
                  <c:v>1.7729999999999999E-2</c:v>
                </c:pt>
                <c:pt idx="20">
                  <c:v>1.7660000000000002E-2</c:v>
                </c:pt>
              </c:numCache>
            </c:numRef>
          </c:val>
        </c:ser>
        <c:ser>
          <c:idx val="4"/>
          <c:order val="4"/>
          <c:tx>
            <c:v>2,1</c:v>
          </c:tx>
          <c:marker>
            <c:symbol val="none"/>
          </c:marker>
          <c:cat>
            <c:numRef>
              <c:f>'Завдання 2'!$B$10:$B$30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'Завдання 2'!$S$10:$S$30</c:f>
              <c:numCache>
                <c:formatCode>General</c:formatCode>
                <c:ptCount val="21"/>
                <c:pt idx="0">
                  <c:v>2.8199999999999998E-5</c:v>
                </c:pt>
                <c:pt idx="1">
                  <c:v>4.8999999999999998E-4</c:v>
                </c:pt>
                <c:pt idx="2">
                  <c:v>9.5099999999999991E-4</c:v>
                </c:pt>
                <c:pt idx="3">
                  <c:v>1.41E-3</c:v>
                </c:pt>
                <c:pt idx="4">
                  <c:v>1.872E-3</c:v>
                </c:pt>
                <c:pt idx="5">
                  <c:v>2.3259999999999999E-3</c:v>
                </c:pt>
                <c:pt idx="6">
                  <c:v>2.7849999999999997E-3</c:v>
                </c:pt>
                <c:pt idx="7">
                  <c:v>3.2450000000000001E-3</c:v>
                </c:pt>
                <c:pt idx="8">
                  <c:v>3.7039999999999998E-3</c:v>
                </c:pt>
                <c:pt idx="9">
                  <c:v>2.708E-2</c:v>
                </c:pt>
                <c:pt idx="10">
                  <c:v>2.793E-2</c:v>
                </c:pt>
                <c:pt idx="11">
                  <c:v>2.8570000000000002E-2</c:v>
                </c:pt>
                <c:pt idx="12">
                  <c:v>2.9050000000000003E-2</c:v>
                </c:pt>
                <c:pt idx="13">
                  <c:v>2.9430000000000001E-2</c:v>
                </c:pt>
                <c:pt idx="14">
                  <c:v>2.9750000000000002E-2</c:v>
                </c:pt>
                <c:pt idx="15">
                  <c:v>3.0010000000000002E-2</c:v>
                </c:pt>
                <c:pt idx="16">
                  <c:v>3.022E-2</c:v>
                </c:pt>
                <c:pt idx="17">
                  <c:v>3.039E-2</c:v>
                </c:pt>
                <c:pt idx="18">
                  <c:v>3.0550000000000001E-2</c:v>
                </c:pt>
                <c:pt idx="19">
                  <c:v>3.0720000000000001E-2</c:v>
                </c:pt>
                <c:pt idx="20">
                  <c:v>3.0850000000000002E-2</c:v>
                </c:pt>
              </c:numCache>
            </c:numRef>
          </c:val>
        </c:ser>
        <c:marker val="1"/>
        <c:axId val="144941440"/>
        <c:axId val="144942976"/>
      </c:lineChart>
      <c:catAx>
        <c:axId val="14494144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144942976"/>
        <c:crosses val="autoZero"/>
        <c:auto val="1"/>
        <c:lblAlgn val="ctr"/>
        <c:lblOffset val="100"/>
      </c:catAx>
      <c:valAx>
        <c:axId val="1449429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44941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31</xdr:row>
      <xdr:rowOff>38100</xdr:rowOff>
    </xdr:from>
    <xdr:to>
      <xdr:col>4</xdr:col>
      <xdr:colOff>666750</xdr:colOff>
      <xdr:row>32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7400" y="5953125"/>
          <a:ext cx="1304925" cy="2952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9525</xdr:colOff>
      <xdr:row>28</xdr:row>
      <xdr:rowOff>19050</xdr:rowOff>
    </xdr:from>
    <xdr:to>
      <xdr:col>9</xdr:col>
      <xdr:colOff>257175</xdr:colOff>
      <xdr:row>30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48125" y="5362575"/>
          <a:ext cx="2219325" cy="4667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</xdr:col>
      <xdr:colOff>750793</xdr:colOff>
      <xdr:row>1</xdr:row>
      <xdr:rowOff>179294</xdr:rowOff>
    </xdr:from>
    <xdr:to>
      <xdr:col>16</xdr:col>
      <xdr:colOff>593910</xdr:colOff>
      <xdr:row>24</xdr:row>
      <xdr:rowOff>179294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2721</xdr:colOff>
      <xdr:row>8</xdr:row>
      <xdr:rowOff>13607</xdr:rowOff>
    </xdr:from>
    <xdr:to>
      <xdr:col>35</xdr:col>
      <xdr:colOff>593912</xdr:colOff>
      <xdr:row>37</xdr:row>
      <xdr:rowOff>179295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topLeftCell="A4" zoomScale="85" zoomScaleNormal="85" workbookViewId="0">
      <selection activeCell="T22" sqref="T22"/>
    </sheetView>
  </sheetViews>
  <sheetFormatPr defaultRowHeight="15"/>
  <cols>
    <col min="2" max="2" width="10" bestFit="1" customWidth="1"/>
    <col min="3" max="3" width="11.28515625" bestFit="1" customWidth="1"/>
    <col min="4" max="4" width="10" bestFit="1" customWidth="1"/>
    <col min="5" max="5" width="11" bestFit="1" customWidth="1"/>
    <col min="7" max="7" width="11.28515625" bestFit="1" customWidth="1"/>
  </cols>
  <sheetData>
    <row r="1" spans="1:14">
      <c r="A1" s="26" t="s">
        <v>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3" spans="1:14">
      <c r="A3" s="1" t="s">
        <v>17</v>
      </c>
      <c r="B3" s="1" t="s">
        <v>0</v>
      </c>
      <c r="D3" s="10"/>
      <c r="E3" s="10"/>
    </row>
    <row r="4" spans="1:14">
      <c r="A4" s="1">
        <v>0</v>
      </c>
      <c r="B4" s="1">
        <v>0</v>
      </c>
      <c r="D4" s="10"/>
      <c r="E4" s="10"/>
    </row>
    <row r="5" spans="1:14">
      <c r="A5" s="1">
        <v>0.1</v>
      </c>
      <c r="B5" s="1">
        <v>0</v>
      </c>
      <c r="D5" s="10"/>
      <c r="E5" s="10"/>
    </row>
    <row r="6" spans="1:14">
      <c r="A6" s="1">
        <v>0.2</v>
      </c>
      <c r="B6" s="1">
        <v>0</v>
      </c>
      <c r="D6" s="10"/>
      <c r="E6" s="10"/>
    </row>
    <row r="7" spans="1:14">
      <c r="A7" s="1">
        <v>0.3</v>
      </c>
      <c r="B7" s="1">
        <v>0</v>
      </c>
      <c r="D7" s="10"/>
      <c r="E7" s="10"/>
    </row>
    <row r="8" spans="1:14">
      <c r="A8" s="1">
        <v>0.4</v>
      </c>
      <c r="B8" s="1">
        <v>0</v>
      </c>
      <c r="D8" s="10"/>
      <c r="E8" s="10"/>
    </row>
    <row r="9" spans="1:14">
      <c r="A9" s="1">
        <f xml:space="preserve"> 500 * 10 ^-3</f>
        <v>0.5</v>
      </c>
      <c r="B9" s="1">
        <v>0</v>
      </c>
      <c r="D9" s="10"/>
      <c r="E9" s="10"/>
    </row>
    <row r="10" spans="1:14">
      <c r="A10" s="1">
        <f t="shared" ref="A10:A25" si="0" xml:space="preserve"> A9 + (100*10^-3)</f>
        <v>0.6</v>
      </c>
      <c r="B10" s="1">
        <v>0</v>
      </c>
      <c r="D10" s="10"/>
      <c r="E10" s="10"/>
    </row>
    <row r="11" spans="1:14">
      <c r="A11" s="1">
        <f t="shared" si="0"/>
        <v>0.7</v>
      </c>
      <c r="B11" s="1">
        <v>0</v>
      </c>
      <c r="D11" s="10"/>
      <c r="E11" s="10"/>
    </row>
    <row r="12" spans="1:14">
      <c r="A12" s="1">
        <f t="shared" si="0"/>
        <v>0.79999999999999993</v>
      </c>
      <c r="B12" s="1">
        <v>0</v>
      </c>
      <c r="D12" s="10"/>
      <c r="E12" s="10"/>
    </row>
    <row r="13" spans="1:14">
      <c r="A13" s="1">
        <f t="shared" si="0"/>
        <v>0.89999999999999991</v>
      </c>
      <c r="B13" s="1">
        <v>0</v>
      </c>
      <c r="D13" s="10"/>
      <c r="E13" s="10"/>
    </row>
    <row r="14" spans="1:14">
      <c r="A14" s="1">
        <f t="shared" si="0"/>
        <v>0.99999999999999989</v>
      </c>
      <c r="B14" s="1">
        <f xml:space="preserve"> 0.01 *  10^-6</f>
        <v>1E-8</v>
      </c>
      <c r="D14" s="10"/>
      <c r="E14" s="10"/>
    </row>
    <row r="15" spans="1:14">
      <c r="A15" s="1">
        <f t="shared" si="0"/>
        <v>1.0999999999999999</v>
      </c>
      <c r="B15" s="1">
        <f xml:space="preserve"> 0.07 * 10^-6</f>
        <v>7.0000000000000005E-8</v>
      </c>
      <c r="D15" s="10"/>
      <c r="E15" s="10"/>
    </row>
    <row r="16" spans="1:14">
      <c r="A16" s="1">
        <f t="shared" si="0"/>
        <v>1.2</v>
      </c>
      <c r="B16" s="1">
        <f xml:space="preserve"> 0.37 * 10^-6</f>
        <v>3.7E-7</v>
      </c>
      <c r="D16" s="10"/>
      <c r="E16" s="10"/>
      <c r="G16" s="10"/>
      <c r="H16" s="10"/>
      <c r="I16" s="10"/>
      <c r="J16" s="10"/>
      <c r="K16" s="10"/>
      <c r="L16" s="10"/>
      <c r="M16" s="10"/>
      <c r="N16" s="10"/>
    </row>
    <row r="17" spans="1:14">
      <c r="A17" s="1">
        <f t="shared" si="0"/>
        <v>1.3</v>
      </c>
      <c r="B17" s="1">
        <f xml:space="preserve"> 1.95 * 10^-6</f>
        <v>1.95E-6</v>
      </c>
      <c r="D17" s="10"/>
      <c r="E17" s="10"/>
      <c r="G17" s="10"/>
      <c r="H17" s="10"/>
      <c r="I17" s="10"/>
      <c r="J17" s="10"/>
      <c r="K17" s="10"/>
      <c r="L17" s="10"/>
      <c r="M17" s="10"/>
      <c r="N17" s="10"/>
    </row>
    <row r="18" spans="1:14">
      <c r="A18" s="1">
        <f t="shared" si="0"/>
        <v>1.4000000000000001</v>
      </c>
      <c r="B18" s="1">
        <f xml:space="preserve"> 9.98 * 10^-6</f>
        <v>9.9799999999999993E-6</v>
      </c>
      <c r="D18" s="10"/>
      <c r="E18" s="10"/>
      <c r="G18" s="10"/>
      <c r="H18" s="10"/>
      <c r="I18" s="10"/>
      <c r="J18" s="10"/>
      <c r="K18" s="10"/>
      <c r="L18" s="10"/>
      <c r="M18" s="10"/>
      <c r="N18" s="10"/>
    </row>
    <row r="19" spans="1:14">
      <c r="A19" s="1">
        <f t="shared" si="0"/>
        <v>1.5000000000000002</v>
      </c>
      <c r="B19" s="1">
        <f xml:space="preserve"> 0.122 * 10^-3</f>
        <v>1.22E-4</v>
      </c>
      <c r="D19" s="10"/>
      <c r="E19" s="10"/>
      <c r="G19" s="10"/>
      <c r="H19" s="10"/>
      <c r="I19" s="10"/>
      <c r="J19" s="10"/>
      <c r="K19" s="10"/>
      <c r="L19" s="10"/>
      <c r="M19" s="10"/>
      <c r="N19" s="10"/>
    </row>
    <row r="20" spans="1:14">
      <c r="A20" s="1">
        <f t="shared" si="0"/>
        <v>1.6000000000000003</v>
      </c>
      <c r="B20" s="1">
        <f xml:space="preserve"> 0.49 * 10^-3</f>
        <v>4.8999999999999998E-4</v>
      </c>
      <c r="C20" s="14"/>
      <c r="D20" s="10"/>
      <c r="E20" s="10"/>
      <c r="G20" s="10"/>
      <c r="H20" s="10"/>
      <c r="I20" s="10"/>
      <c r="J20" s="10"/>
      <c r="K20" s="10"/>
      <c r="L20" s="10"/>
      <c r="M20" s="10"/>
      <c r="N20" s="10"/>
    </row>
    <row r="21" spans="1:14">
      <c r="A21" s="1">
        <f t="shared" si="0"/>
        <v>1.7000000000000004</v>
      </c>
      <c r="B21" s="1">
        <f xml:space="preserve"> 1.649 * 10^-3</f>
        <v>1.6490000000000001E-3</v>
      </c>
      <c r="D21" s="10"/>
      <c r="E21" s="10"/>
      <c r="G21" s="10"/>
      <c r="H21" s="10"/>
      <c r="I21" s="10"/>
      <c r="J21" s="10"/>
      <c r="K21" s="10"/>
      <c r="L21" s="10"/>
      <c r="M21" s="10"/>
      <c r="N21" s="10"/>
    </row>
    <row r="22" spans="1:14">
      <c r="A22" s="1">
        <f t="shared" si="0"/>
        <v>1.8000000000000005</v>
      </c>
      <c r="B22" s="1">
        <f xml:space="preserve"> 4.6 * 10^-3</f>
        <v>4.5999999999999999E-3</v>
      </c>
      <c r="D22" s="10"/>
      <c r="E22" s="10"/>
      <c r="G22" s="10"/>
      <c r="H22" s="10"/>
      <c r="I22" s="10"/>
      <c r="J22" s="10"/>
      <c r="K22" s="10"/>
      <c r="L22" s="10"/>
      <c r="M22" s="10"/>
      <c r="N22" s="10"/>
    </row>
    <row r="23" spans="1:14">
      <c r="A23" s="1">
        <f t="shared" si="0"/>
        <v>1.9000000000000006</v>
      </c>
      <c r="B23" s="1">
        <f xml:space="preserve"> 10 * 10^-3</f>
        <v>0.01</v>
      </c>
      <c r="D23" s="10"/>
      <c r="E23" s="10"/>
      <c r="G23" s="10"/>
      <c r="H23" s="10"/>
      <c r="I23" s="10"/>
      <c r="J23" s="10"/>
      <c r="K23" s="10"/>
      <c r="L23" s="10"/>
      <c r="M23" s="10"/>
      <c r="N23" s="10"/>
    </row>
    <row r="24" spans="1:14">
      <c r="A24" s="1">
        <f t="shared" si="0"/>
        <v>2.0000000000000004</v>
      </c>
      <c r="B24" s="1">
        <f xml:space="preserve"> 18.9 * 10^-3</f>
        <v>1.89E-2</v>
      </c>
      <c r="D24" s="10"/>
      <c r="E24" s="10"/>
    </row>
    <row r="25" spans="1:14">
      <c r="A25" s="1">
        <f t="shared" si="0"/>
        <v>2.1000000000000005</v>
      </c>
      <c r="B25" s="1">
        <f xml:space="preserve"> 31.8 * 10^-3</f>
        <v>3.1800000000000002E-2</v>
      </c>
      <c r="D25" s="10"/>
      <c r="E25" s="10"/>
    </row>
    <row r="27" spans="1:14" ht="15.75">
      <c r="A27" s="27" t="s">
        <v>6</v>
      </c>
      <c r="B27" s="28"/>
      <c r="C27" s="28"/>
      <c r="D27" s="28"/>
      <c r="E27" s="28"/>
      <c r="F27" s="28"/>
      <c r="G27" s="28"/>
      <c r="H27" s="28"/>
      <c r="I27" s="28"/>
      <c r="J27" s="28"/>
    </row>
    <row r="29" spans="1:14">
      <c r="A29" s="1" t="s">
        <v>7</v>
      </c>
      <c r="B29" s="1">
        <f xml:space="preserve"> B19</f>
        <v>1.22E-4</v>
      </c>
      <c r="D29" s="1" t="s">
        <v>8</v>
      </c>
      <c r="E29" s="1">
        <f xml:space="preserve"> B20</f>
        <v>4.8999999999999998E-4</v>
      </c>
      <c r="G29" s="10"/>
    </row>
    <row r="30" spans="1:14">
      <c r="A30" s="1" t="s">
        <v>10</v>
      </c>
      <c r="B30" s="1">
        <f xml:space="preserve"> A19</f>
        <v>1.5000000000000002</v>
      </c>
      <c r="D30" s="1" t="s">
        <v>11</v>
      </c>
      <c r="E30" s="1">
        <f xml:space="preserve"> A20</f>
        <v>1.6000000000000003</v>
      </c>
    </row>
    <row r="32" spans="1:14">
      <c r="A32" s="1" t="s">
        <v>9</v>
      </c>
      <c r="B32" s="9">
        <f xml:space="preserve"> 2 * B30 - E30</f>
        <v>1.4000000000000001</v>
      </c>
    </row>
    <row r="34" spans="1:2">
      <c r="A34" s="1" t="s">
        <v>4</v>
      </c>
      <c r="B34" s="15">
        <f xml:space="preserve"> ( 2 * E29) / ((E30-B32) * (E30-B32))</f>
        <v>2.4499999999999956E-2</v>
      </c>
    </row>
  </sheetData>
  <mergeCells count="2">
    <mergeCell ref="A1:K1"/>
    <mergeCell ref="A27:J27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8"/>
  <sheetViews>
    <sheetView topLeftCell="A4" zoomScale="75" zoomScaleNormal="75" workbookViewId="0">
      <selection activeCell="S46" sqref="S46"/>
    </sheetView>
  </sheetViews>
  <sheetFormatPr defaultRowHeight="15"/>
  <cols>
    <col min="1" max="2" width="9.28515625" bestFit="1" customWidth="1"/>
    <col min="3" max="3" width="11.28515625" bestFit="1" customWidth="1"/>
    <col min="5" max="6" width="9.28515625" bestFit="1" customWidth="1"/>
    <col min="7" max="7" width="11.28515625" bestFit="1" customWidth="1"/>
    <col min="11" max="11" width="10.28515625" bestFit="1" customWidth="1"/>
    <col min="15" max="15" width="11.28515625" bestFit="1" customWidth="1"/>
    <col min="19" max="19" width="10.28515625" bestFit="1" customWidth="1"/>
  </cols>
  <sheetData>
    <row r="1" spans="1:20" ht="18.75">
      <c r="A1" s="30" t="s">
        <v>12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P1" s="1" t="s">
        <v>1</v>
      </c>
      <c r="Q1" s="1">
        <v>1.7</v>
      </c>
      <c r="S1" s="1" t="s">
        <v>40</v>
      </c>
      <c r="T1" s="1">
        <f xml:space="preserve"> Q1 - 1.4</f>
        <v>0.30000000000000004</v>
      </c>
    </row>
    <row r="2" spans="1:20" ht="18.7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P2" s="1" t="s">
        <v>1</v>
      </c>
      <c r="Q2" s="1">
        <f xml:space="preserve"> Q1 + 0.1</f>
        <v>1.8</v>
      </c>
      <c r="S2" s="1" t="s">
        <v>40</v>
      </c>
      <c r="T2" s="1">
        <f t="shared" ref="T2:T5" si="0" xml:space="preserve"> Q2 - 1.4</f>
        <v>0.40000000000000013</v>
      </c>
    </row>
    <row r="3" spans="1:20" ht="20.25">
      <c r="A3" s="30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P3" s="1" t="s">
        <v>1</v>
      </c>
      <c r="Q3" s="1">
        <f xml:space="preserve"> Q2 + 0.1</f>
        <v>1.9000000000000001</v>
      </c>
      <c r="S3" s="1" t="s">
        <v>40</v>
      </c>
      <c r="T3" s="1">
        <f t="shared" si="0"/>
        <v>0.50000000000000022</v>
      </c>
    </row>
    <row r="4" spans="1:20" ht="18.75">
      <c r="A4" s="31" t="s">
        <v>14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P4" s="1" t="s">
        <v>1</v>
      </c>
      <c r="Q4" s="1">
        <f xml:space="preserve"> Q3 + 0.1</f>
        <v>2</v>
      </c>
      <c r="S4" s="1" t="s">
        <v>40</v>
      </c>
      <c r="T4" s="1">
        <f t="shared" si="0"/>
        <v>0.60000000000000009</v>
      </c>
    </row>
    <row r="5" spans="1:20">
      <c r="P5" s="1" t="s">
        <v>1</v>
      </c>
      <c r="Q5" s="1">
        <f xml:space="preserve"> Q4 + 0.1</f>
        <v>2.1</v>
      </c>
      <c r="S5" s="1" t="s">
        <v>40</v>
      </c>
      <c r="T5" s="1">
        <f t="shared" si="0"/>
        <v>0.70000000000000018</v>
      </c>
    </row>
    <row r="6" spans="1:20" ht="18.75">
      <c r="A6" s="30" t="s">
        <v>15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9" spans="1:20">
      <c r="A9" s="1" t="s">
        <v>1</v>
      </c>
      <c r="B9" s="1" t="s">
        <v>2</v>
      </c>
      <c r="C9" s="1" t="s">
        <v>3</v>
      </c>
      <c r="E9" s="1" t="s">
        <v>1</v>
      </c>
      <c r="F9" s="1" t="s">
        <v>2</v>
      </c>
      <c r="G9" s="1" t="s">
        <v>3</v>
      </c>
      <c r="I9" s="1" t="s">
        <v>1</v>
      </c>
      <c r="J9" s="1" t="s">
        <v>2</v>
      </c>
      <c r="K9" s="1" t="s">
        <v>3</v>
      </c>
      <c r="M9" s="1" t="s">
        <v>1</v>
      </c>
      <c r="N9" s="1" t="s">
        <v>2</v>
      </c>
      <c r="O9" s="1" t="s">
        <v>3</v>
      </c>
      <c r="Q9" s="1" t="s">
        <v>1</v>
      </c>
      <c r="R9" s="1" t="s">
        <v>2</v>
      </c>
      <c r="S9" s="1" t="s">
        <v>3</v>
      </c>
    </row>
    <row r="10" spans="1:20">
      <c r="A10" s="29">
        <f xml:space="preserve"> 1.7</f>
        <v>1.7</v>
      </c>
      <c r="B10" s="2">
        <v>0</v>
      </c>
      <c r="C10" s="1">
        <f xml:space="preserve"> 18.6 * 10 ^ -6</f>
        <v>1.8600000000000001E-5</v>
      </c>
      <c r="E10" s="29">
        <v>1.8</v>
      </c>
      <c r="F10" s="2">
        <v>0</v>
      </c>
      <c r="G10" s="1">
        <f xml:space="preserve"> 23 * 10 ^ -6</f>
        <v>2.3E-5</v>
      </c>
      <c r="I10" s="29">
        <v>1.9</v>
      </c>
      <c r="J10" s="2">
        <v>0</v>
      </c>
      <c r="K10" s="1">
        <f xml:space="preserve"> 25.5 * 10 ^ -6</f>
        <v>2.55E-5</v>
      </c>
      <c r="M10" s="29">
        <v>2</v>
      </c>
      <c r="N10" s="2">
        <v>0</v>
      </c>
      <c r="O10" s="1">
        <f xml:space="preserve"> 27 * 10 ^ -6</f>
        <v>2.6999999999999999E-5</v>
      </c>
      <c r="Q10" s="29">
        <v>2.1</v>
      </c>
      <c r="R10" s="2">
        <v>0</v>
      </c>
      <c r="S10" s="1">
        <f xml:space="preserve"> 28.2 * 10 ^ -6</f>
        <v>2.8199999999999998E-5</v>
      </c>
    </row>
    <row r="11" spans="1:20">
      <c r="A11" s="29"/>
      <c r="B11" s="2">
        <f t="shared" ref="B11:B30" si="1" xml:space="preserve"> B10 + 0.05</f>
        <v>0.05</v>
      </c>
      <c r="C11" s="1">
        <f xml:space="preserve"> 337.2 * 10 ^ -6</f>
        <v>3.3719999999999996E-4</v>
      </c>
      <c r="E11" s="29"/>
      <c r="F11" s="2">
        <f t="shared" ref="F11:F30" si="2" xml:space="preserve"> F10 + 0.05</f>
        <v>0.05</v>
      </c>
      <c r="G11" s="1">
        <f xml:space="preserve"> 417 * 10 ^ -6</f>
        <v>4.17E-4</v>
      </c>
      <c r="I11" s="29"/>
      <c r="J11" s="2">
        <f t="shared" ref="J11:J30" si="3" xml:space="preserve"> J10 + 0.05</f>
        <v>0.05</v>
      </c>
      <c r="K11" s="1">
        <f xml:space="preserve"> 461 * 10 ^ -6</f>
        <v>4.6099999999999998E-4</v>
      </c>
      <c r="M11" s="29"/>
      <c r="N11" s="2">
        <f t="shared" ref="N11:N30" si="4" xml:space="preserve"> N10 + 0.05</f>
        <v>0.05</v>
      </c>
      <c r="O11" s="1">
        <f xml:space="preserve"> 480 * 10 ^ -6</f>
        <v>4.7999999999999996E-4</v>
      </c>
      <c r="Q11" s="29"/>
      <c r="R11" s="2">
        <f t="shared" ref="R11:R30" si="5" xml:space="preserve"> R10 + 0.05</f>
        <v>0.05</v>
      </c>
      <c r="S11" s="1">
        <f xml:space="preserve"> 490 * 10^-6</f>
        <v>4.8999999999999998E-4</v>
      </c>
    </row>
    <row r="12" spans="1:20">
      <c r="A12" s="29"/>
      <c r="B12" s="2">
        <f t="shared" si="1"/>
        <v>0.1</v>
      </c>
      <c r="C12" s="1">
        <f xml:space="preserve"> 616 * 10 ^ -6</f>
        <v>6.1600000000000001E-4</v>
      </c>
      <c r="E12" s="29"/>
      <c r="F12" s="2">
        <f t="shared" si="2"/>
        <v>0.1</v>
      </c>
      <c r="G12" s="1">
        <f xml:space="preserve"> 802 * 10 ^ -6</f>
        <v>8.0199999999999998E-4</v>
      </c>
      <c r="I12" s="29"/>
      <c r="J12" s="2">
        <f t="shared" si="3"/>
        <v>0.1</v>
      </c>
      <c r="K12" s="1">
        <f xml:space="preserve"> 894 * 10 ^ -6</f>
        <v>8.9399999999999994E-4</v>
      </c>
      <c r="M12" s="29"/>
      <c r="N12" s="2">
        <f t="shared" si="4"/>
        <v>0.1</v>
      </c>
      <c r="O12" s="1">
        <f xml:space="preserve"> 931 * 10 ^ -6</f>
        <v>9.3099999999999997E-4</v>
      </c>
      <c r="Q12" s="29"/>
      <c r="R12" s="2">
        <f t="shared" si="5"/>
        <v>0.1</v>
      </c>
      <c r="S12" s="1">
        <f xml:space="preserve"> 951 * 10^-6</f>
        <v>9.5099999999999991E-4</v>
      </c>
    </row>
    <row r="13" spans="1:20">
      <c r="A13" s="29"/>
      <c r="B13" s="2">
        <f t="shared" si="1"/>
        <v>0.15000000000000002</v>
      </c>
      <c r="C13" s="1">
        <f xml:space="preserve"> 848 * 10 ^ -6</f>
        <v>8.4800000000000001E-4</v>
      </c>
      <c r="E13" s="29"/>
      <c r="F13" s="2">
        <f t="shared" si="2"/>
        <v>0.15000000000000002</v>
      </c>
      <c r="G13" s="1">
        <f xml:space="preserve"> 1173 * 10 ^ -6</f>
        <v>1.173E-3</v>
      </c>
      <c r="I13" s="29"/>
      <c r="J13" s="2">
        <f t="shared" si="3"/>
        <v>0.15000000000000002</v>
      </c>
      <c r="K13" s="1">
        <f xml:space="preserve"> 1324 * 10 ^ -6</f>
        <v>1.3239999999999999E-3</v>
      </c>
      <c r="M13" s="29"/>
      <c r="N13" s="2">
        <f t="shared" si="4"/>
        <v>0.15000000000000002</v>
      </c>
      <c r="O13" s="1">
        <f xml:space="preserve"> 1382 * 10 ^ -6</f>
        <v>1.382E-3</v>
      </c>
      <c r="Q13" s="29"/>
      <c r="R13" s="2">
        <f t="shared" si="5"/>
        <v>0.15000000000000002</v>
      </c>
      <c r="S13" s="1">
        <f xml:space="preserve"> 1410 * 10^-6</f>
        <v>1.41E-3</v>
      </c>
    </row>
    <row r="14" spans="1:20">
      <c r="A14" s="29"/>
      <c r="B14" s="2">
        <f t="shared" si="1"/>
        <v>0.2</v>
      </c>
      <c r="C14" s="1">
        <f xml:space="preserve"> 1020 * 10 ^ -6</f>
        <v>1.0199999999999999E-3</v>
      </c>
      <c r="E14" s="29"/>
      <c r="F14" s="2">
        <f t="shared" si="2"/>
        <v>0.2</v>
      </c>
      <c r="G14" s="1">
        <f xml:space="preserve"> 1539 * 10 ^ -6</f>
        <v>1.539E-3</v>
      </c>
      <c r="I14" s="29"/>
      <c r="J14" s="2">
        <f t="shared" si="3"/>
        <v>0.2</v>
      </c>
      <c r="K14" s="1">
        <f xml:space="preserve"> 1753 * 10 ^ -6</f>
        <v>1.753E-3</v>
      </c>
      <c r="M14" s="29"/>
      <c r="N14" s="2">
        <f t="shared" si="4"/>
        <v>0.2</v>
      </c>
      <c r="O14" s="1">
        <f xml:space="preserve"> 1833 * 10 ^ -6</f>
        <v>1.833E-3</v>
      </c>
      <c r="Q14" s="29"/>
      <c r="R14" s="2">
        <f t="shared" si="5"/>
        <v>0.2</v>
      </c>
      <c r="S14" s="1">
        <f xml:space="preserve"> 1872 * 10^-6</f>
        <v>1.872E-3</v>
      </c>
    </row>
    <row r="15" spans="1:20">
      <c r="A15" s="29"/>
      <c r="B15" s="2">
        <f t="shared" si="1"/>
        <v>0.25</v>
      </c>
      <c r="C15" s="1">
        <f xml:space="preserve"> 1134 * 10 ^ -6</f>
        <v>1.134E-3</v>
      </c>
      <c r="E15" s="29"/>
      <c r="F15" s="2">
        <f t="shared" si="2"/>
        <v>0.25</v>
      </c>
      <c r="G15" s="1">
        <f xml:space="preserve"> 1870 * 10 ^ -6</f>
        <v>1.8699999999999999E-3</v>
      </c>
      <c r="I15" s="29"/>
      <c r="J15" s="2">
        <f t="shared" si="3"/>
        <v>0.25</v>
      </c>
      <c r="K15" s="1">
        <f xml:space="preserve"> 2171 * 10 ^ -6</f>
        <v>2.1709999999999998E-3</v>
      </c>
      <c r="M15" s="29"/>
      <c r="N15" s="2">
        <f t="shared" si="4"/>
        <v>0.25</v>
      </c>
      <c r="O15" s="1">
        <f xml:space="preserve"> 2277 * 10 ^ -6</f>
        <v>2.2769999999999999E-3</v>
      </c>
      <c r="Q15" s="29"/>
      <c r="R15" s="2">
        <f t="shared" si="5"/>
        <v>0.25</v>
      </c>
      <c r="S15" s="1">
        <f xml:space="preserve"> 2326 * 10^-6</f>
        <v>2.3259999999999999E-3</v>
      </c>
    </row>
    <row r="16" spans="1:20">
      <c r="A16" s="29"/>
      <c r="B16" s="5">
        <f t="shared" si="1"/>
        <v>0.3</v>
      </c>
      <c r="C16" s="6">
        <f>1207 * 10 ^ -6</f>
        <v>1.207E-3</v>
      </c>
      <c r="E16" s="29"/>
      <c r="F16" s="2">
        <f t="shared" si="2"/>
        <v>0.3</v>
      </c>
      <c r="G16" s="1">
        <f xml:space="preserve"> 2193 * 10 ^ -6</f>
        <v>2.1930000000000001E-3</v>
      </c>
      <c r="I16" s="29"/>
      <c r="J16" s="2">
        <f t="shared" si="3"/>
        <v>0.3</v>
      </c>
      <c r="K16" s="1">
        <f xml:space="preserve"> 2592 * 10 ^ -6</f>
        <v>2.5919999999999997E-3</v>
      </c>
      <c r="M16" s="29"/>
      <c r="N16" s="2">
        <f t="shared" si="4"/>
        <v>0.3</v>
      </c>
      <c r="O16" s="1">
        <f xml:space="preserve"> 2725 * 10 ^ -6</f>
        <v>2.725E-3</v>
      </c>
      <c r="Q16" s="29"/>
      <c r="R16" s="2">
        <f t="shared" si="5"/>
        <v>0.3</v>
      </c>
      <c r="S16" s="1">
        <f xml:space="preserve"> 2785 * 10^-6</f>
        <v>2.7849999999999997E-3</v>
      </c>
    </row>
    <row r="17" spans="1:19">
      <c r="A17" s="29"/>
      <c r="B17" s="16">
        <f t="shared" si="1"/>
        <v>0.35</v>
      </c>
      <c r="C17" s="1">
        <f xml:space="preserve"> 1253 * 10 ^ -6</f>
        <v>1.253E-3</v>
      </c>
      <c r="E17" s="29"/>
      <c r="F17" s="2">
        <f t="shared" si="2"/>
        <v>0.35</v>
      </c>
      <c r="G17" s="1">
        <f xml:space="preserve"> 2480 * 10 ^ -6</f>
        <v>2.48E-3</v>
      </c>
      <c r="I17" s="29"/>
      <c r="J17" s="2">
        <f t="shared" si="3"/>
        <v>0.35</v>
      </c>
      <c r="K17" s="1">
        <f xml:space="preserve"> 3009 * 10 ^ -6</f>
        <v>3.009E-3</v>
      </c>
      <c r="M17" s="29"/>
      <c r="N17" s="2">
        <f t="shared" si="4"/>
        <v>0.35</v>
      </c>
      <c r="O17" s="1">
        <f xml:space="preserve"> 3173 * 10 ^ -6</f>
        <v>3.173E-3</v>
      </c>
      <c r="Q17" s="29"/>
      <c r="R17" s="2">
        <f t="shared" si="5"/>
        <v>0.35</v>
      </c>
      <c r="S17" s="1">
        <f xml:space="preserve"> 3245 * 10^-6</f>
        <v>3.2450000000000001E-3</v>
      </c>
    </row>
    <row r="18" spans="1:19">
      <c r="A18" s="29"/>
      <c r="B18" s="17">
        <f t="shared" si="1"/>
        <v>0.39999999999999997</v>
      </c>
      <c r="C18" s="1">
        <f xml:space="preserve"> 1285 * 10 ^ -6</f>
        <v>1.2849999999999999E-3</v>
      </c>
      <c r="E18" s="29"/>
      <c r="F18" s="5">
        <f t="shared" si="2"/>
        <v>0.39999999999999997</v>
      </c>
      <c r="G18" s="6">
        <f xml:space="preserve"> 2747 * 10 ^ -6</f>
        <v>2.7469999999999999E-3</v>
      </c>
      <c r="I18" s="29"/>
      <c r="J18" s="2">
        <f t="shared" si="3"/>
        <v>0.39999999999999997</v>
      </c>
      <c r="K18" s="1">
        <f xml:space="preserve"> 3421 * 10 ^ -6</f>
        <v>3.421E-3</v>
      </c>
      <c r="M18" s="29"/>
      <c r="N18" s="2">
        <f t="shared" si="4"/>
        <v>0.39999999999999997</v>
      </c>
      <c r="O18" s="1">
        <f xml:space="preserve"> 3620 * 10 ^ -6</f>
        <v>3.62E-3</v>
      </c>
      <c r="Q18" s="29"/>
      <c r="R18" s="2">
        <f t="shared" si="5"/>
        <v>0.39999999999999997</v>
      </c>
      <c r="S18" s="1">
        <f xml:space="preserve"> 3704 * 10^-6</f>
        <v>3.7039999999999998E-3</v>
      </c>
    </row>
    <row r="19" spans="1:19">
      <c r="A19" s="29"/>
      <c r="B19" s="16">
        <f t="shared" si="1"/>
        <v>0.44999999999999996</v>
      </c>
      <c r="C19" s="1">
        <f xml:space="preserve"> 1305 * 10 ^ -6</f>
        <v>1.305E-3</v>
      </c>
      <c r="E19" s="29"/>
      <c r="F19" s="16">
        <f t="shared" si="2"/>
        <v>0.44999999999999996</v>
      </c>
      <c r="G19" s="1">
        <f xml:space="preserve"> 2973 * 10 ^ -6</f>
        <v>2.9729999999999999E-3</v>
      </c>
      <c r="I19" s="29"/>
      <c r="J19" s="2">
        <f t="shared" si="3"/>
        <v>0.44999999999999996</v>
      </c>
      <c r="K19" s="1">
        <f xml:space="preserve"> 3827 * 10 ^ -6</f>
        <v>3.8269999999999997E-3</v>
      </c>
      <c r="M19" s="29"/>
      <c r="N19" s="2">
        <f t="shared" si="4"/>
        <v>0.44999999999999996</v>
      </c>
      <c r="O19" s="1">
        <f xml:space="preserve"> 16.16 * 10 ^ -3</f>
        <v>1.6160000000000001E-2</v>
      </c>
      <c r="Q19" s="29"/>
      <c r="R19" s="2">
        <f t="shared" si="5"/>
        <v>0.44999999999999996</v>
      </c>
      <c r="S19" s="1">
        <f xml:space="preserve"> 27.08  * 10^-3</f>
        <v>2.708E-2</v>
      </c>
    </row>
    <row r="20" spans="1:19">
      <c r="A20" s="29"/>
      <c r="B20" s="16">
        <f t="shared" si="1"/>
        <v>0.49999999999999994</v>
      </c>
      <c r="C20" s="1">
        <f xml:space="preserve"> 1320 * 10 ^ -6</f>
        <v>1.32E-3</v>
      </c>
      <c r="E20" s="29"/>
      <c r="F20" s="17">
        <f t="shared" si="2"/>
        <v>0.49999999999999994</v>
      </c>
      <c r="G20" s="1">
        <f xml:space="preserve"> 3162 * 10 ^ -6</f>
        <v>3.1619999999999999E-3</v>
      </c>
      <c r="I20" s="29"/>
      <c r="J20" s="18">
        <f t="shared" si="3"/>
        <v>0.49999999999999994</v>
      </c>
      <c r="K20" s="6">
        <f xml:space="preserve"> 8.42 * 10 ^ -3</f>
        <v>8.4200000000000004E-3</v>
      </c>
      <c r="M20" s="29"/>
      <c r="N20" s="2">
        <f t="shared" si="4"/>
        <v>0.49999999999999994</v>
      </c>
      <c r="O20" s="1">
        <f xml:space="preserve"> 16.47 * 10 ^ -3</f>
        <v>1.6469999999999999E-2</v>
      </c>
      <c r="Q20" s="29"/>
      <c r="R20" s="2">
        <f t="shared" si="5"/>
        <v>0.49999999999999994</v>
      </c>
      <c r="S20" s="1">
        <f xml:space="preserve"> 27.93  * 10^-3</f>
        <v>2.793E-2</v>
      </c>
    </row>
    <row r="21" spans="1:19">
      <c r="A21" s="29"/>
      <c r="B21" s="2">
        <f t="shared" si="1"/>
        <v>0.54999999999999993</v>
      </c>
      <c r="C21" s="1">
        <f xml:space="preserve"> 1330 * 10 ^ -6</f>
        <v>1.33E-3</v>
      </c>
      <c r="E21" s="29"/>
      <c r="F21" s="16">
        <f t="shared" si="2"/>
        <v>0.54999999999999993</v>
      </c>
      <c r="G21" s="1">
        <f xml:space="preserve"> 3312 * 10 ^ -6</f>
        <v>3.3119999999999998E-3</v>
      </c>
      <c r="I21" s="29"/>
      <c r="J21" s="16">
        <f t="shared" si="3"/>
        <v>0.54999999999999993</v>
      </c>
      <c r="K21" s="1">
        <f xml:space="preserve"> 8.51 * 10 ^ -3</f>
        <v>8.5100000000000002E-3</v>
      </c>
      <c r="M21" s="29"/>
      <c r="N21" s="16">
        <f t="shared" si="4"/>
        <v>0.54999999999999993</v>
      </c>
      <c r="O21" s="1">
        <f xml:space="preserve"> 16.69 * 10 ^ -3</f>
        <v>1.669E-2</v>
      </c>
      <c r="Q21" s="29"/>
      <c r="R21" s="16">
        <f t="shared" si="5"/>
        <v>0.54999999999999993</v>
      </c>
      <c r="S21" s="1">
        <f xml:space="preserve"> 28.57  * 10^-3</f>
        <v>2.8570000000000002E-2</v>
      </c>
    </row>
    <row r="22" spans="1:19">
      <c r="A22" s="29"/>
      <c r="B22" s="2">
        <f t="shared" si="1"/>
        <v>0.6</v>
      </c>
      <c r="C22" s="1">
        <f xml:space="preserve"> 1340 * 10 ^ -6</f>
        <v>1.34E-3</v>
      </c>
      <c r="E22" s="29"/>
      <c r="F22" s="16">
        <f t="shared" si="2"/>
        <v>0.6</v>
      </c>
      <c r="G22" s="1">
        <f xml:space="preserve"> 3425 * 10 ^ -6</f>
        <v>3.4249999999999997E-3</v>
      </c>
      <c r="I22" s="29"/>
      <c r="J22" s="17">
        <f t="shared" si="3"/>
        <v>0.6</v>
      </c>
      <c r="K22" s="1">
        <f xml:space="preserve"> 8.57 * 10 ^ -3</f>
        <v>8.5700000000000012E-3</v>
      </c>
      <c r="M22" s="29"/>
      <c r="N22" s="18">
        <f t="shared" si="4"/>
        <v>0.6</v>
      </c>
      <c r="O22" s="6">
        <f xml:space="preserve"> 16.85 * 10 ^ -3</f>
        <v>1.685E-2</v>
      </c>
      <c r="Q22" s="29"/>
      <c r="R22" s="16">
        <f t="shared" si="5"/>
        <v>0.6</v>
      </c>
      <c r="S22" s="1">
        <f xml:space="preserve"> 29.05  * 10^-3</f>
        <v>2.9050000000000003E-2</v>
      </c>
    </row>
    <row r="23" spans="1:19">
      <c r="A23" s="29"/>
      <c r="B23" s="2">
        <f t="shared" si="1"/>
        <v>0.65</v>
      </c>
      <c r="C23" s="1">
        <f xml:space="preserve"> 1346 * 10 ^ -6</f>
        <v>1.346E-3</v>
      </c>
      <c r="E23" s="29"/>
      <c r="F23" s="16">
        <f t="shared" si="2"/>
        <v>0.65</v>
      </c>
      <c r="G23" s="1">
        <f xml:space="preserve"> 3508 * 10 ^ -6</f>
        <v>3.5079999999999998E-3</v>
      </c>
      <c r="I23" s="29"/>
      <c r="J23" s="16">
        <f t="shared" si="3"/>
        <v>0.65</v>
      </c>
      <c r="K23" s="1">
        <f xml:space="preserve"> 8.62 * 10 ^ -3</f>
        <v>8.6199999999999992E-3</v>
      </c>
      <c r="M23" s="29"/>
      <c r="N23" s="16">
        <f t="shared" si="4"/>
        <v>0.65</v>
      </c>
      <c r="O23" s="1">
        <f xml:space="preserve"> 16.97 * 10 ^ -3</f>
        <v>1.6969999999999999E-2</v>
      </c>
      <c r="Q23" s="29"/>
      <c r="R23" s="16">
        <f t="shared" si="5"/>
        <v>0.65</v>
      </c>
      <c r="S23" s="1">
        <f xml:space="preserve"> 29.43  * 10^-3</f>
        <v>2.9430000000000001E-2</v>
      </c>
    </row>
    <row r="24" spans="1:19">
      <c r="A24" s="29"/>
      <c r="B24" s="2">
        <f t="shared" si="1"/>
        <v>0.70000000000000007</v>
      </c>
      <c r="C24" s="1">
        <f xml:space="preserve"> 1352 * 10 ^ -6</f>
        <v>1.3519999999999999E-3</v>
      </c>
      <c r="E24" s="29"/>
      <c r="F24" s="2">
        <f t="shared" si="2"/>
        <v>0.70000000000000007</v>
      </c>
      <c r="G24" s="1">
        <f xml:space="preserve"> 3569 * 10 ^ -6</f>
        <v>3.5689999999999997E-3</v>
      </c>
      <c r="I24" s="29"/>
      <c r="J24" s="16">
        <f t="shared" si="3"/>
        <v>0.70000000000000007</v>
      </c>
      <c r="K24" s="1">
        <f xml:space="preserve"> 8.66 * 10 ^ -3</f>
        <v>8.660000000000001E-3</v>
      </c>
      <c r="M24" s="29"/>
      <c r="N24" s="17">
        <f t="shared" si="4"/>
        <v>0.70000000000000007</v>
      </c>
      <c r="O24" s="1">
        <f xml:space="preserve"> 17.09 * 10 ^ -3</f>
        <v>1.7090000000000001E-2</v>
      </c>
      <c r="Q24" s="29"/>
      <c r="R24" s="18">
        <f t="shared" si="5"/>
        <v>0.70000000000000007</v>
      </c>
      <c r="S24" s="6">
        <f xml:space="preserve"> 29.75  * 10^-3</f>
        <v>2.9750000000000002E-2</v>
      </c>
    </row>
    <row r="25" spans="1:19">
      <c r="A25" s="29"/>
      <c r="B25" s="2">
        <f t="shared" si="1"/>
        <v>0.75000000000000011</v>
      </c>
      <c r="C25" s="1">
        <f xml:space="preserve"> 1356 * 10 ^ -6</f>
        <v>1.356E-3</v>
      </c>
      <c r="E25" s="29"/>
      <c r="F25" s="2">
        <f t="shared" si="2"/>
        <v>0.75000000000000011</v>
      </c>
      <c r="G25" s="1">
        <f xml:space="preserve"> 3618 * 10 ^ -6</f>
        <v>3.6179999999999997E-3</v>
      </c>
      <c r="I25" s="29"/>
      <c r="J25" s="2">
        <f t="shared" si="3"/>
        <v>0.75000000000000011</v>
      </c>
      <c r="K25" s="1">
        <f xml:space="preserve"> 8.7 * 10 ^ -3</f>
        <v>8.6999999999999994E-3</v>
      </c>
      <c r="M25" s="29"/>
      <c r="N25" s="16">
        <f t="shared" si="4"/>
        <v>0.75000000000000011</v>
      </c>
      <c r="O25" s="1">
        <f xml:space="preserve"> 17.19 * 10 ^ -3</f>
        <v>1.719E-2</v>
      </c>
      <c r="Q25" s="29"/>
      <c r="R25" s="16">
        <f t="shared" si="5"/>
        <v>0.75000000000000011</v>
      </c>
      <c r="S25" s="1">
        <f xml:space="preserve"> 30.01  * 10^-3</f>
        <v>3.0010000000000002E-2</v>
      </c>
    </row>
    <row r="26" spans="1:19">
      <c r="A26" s="29"/>
      <c r="B26" s="2">
        <f t="shared" si="1"/>
        <v>0.80000000000000016</v>
      </c>
      <c r="C26" s="1">
        <f xml:space="preserve"> 1361 * 10 ^ -6</f>
        <v>1.361E-3</v>
      </c>
      <c r="E26" s="29"/>
      <c r="F26" s="2">
        <f t="shared" si="2"/>
        <v>0.80000000000000016</v>
      </c>
      <c r="G26" s="1">
        <f xml:space="preserve"> 3655 * 10 ^ -6</f>
        <v>3.6549999999999998E-3</v>
      </c>
      <c r="I26" s="29"/>
      <c r="J26" s="2">
        <f t="shared" si="3"/>
        <v>0.80000000000000016</v>
      </c>
      <c r="K26" s="1">
        <f xml:space="preserve"> 8.72 * 10 ^ -3</f>
        <v>8.7200000000000003E-3</v>
      </c>
      <c r="M26" s="29"/>
      <c r="N26" s="16">
        <f t="shared" si="4"/>
        <v>0.80000000000000016</v>
      </c>
      <c r="O26" s="1">
        <f xml:space="preserve"> 17.28 * 10 ^ -3</f>
        <v>1.728E-2</v>
      </c>
      <c r="Q26" s="29"/>
      <c r="R26" s="17">
        <f t="shared" si="5"/>
        <v>0.80000000000000016</v>
      </c>
      <c r="S26" s="1">
        <f xml:space="preserve"> 30.22  * 10^-3</f>
        <v>3.022E-2</v>
      </c>
    </row>
    <row r="27" spans="1:19">
      <c r="A27" s="29"/>
      <c r="B27" s="2">
        <f t="shared" si="1"/>
        <v>0.8500000000000002</v>
      </c>
      <c r="C27" s="1">
        <f xml:space="preserve"> 1365 * 10 ^ -6</f>
        <v>1.3649999999999999E-3</v>
      </c>
      <c r="E27" s="29"/>
      <c r="F27" s="2">
        <f t="shared" si="2"/>
        <v>0.8500000000000002</v>
      </c>
      <c r="G27" s="1">
        <f xml:space="preserve"> 3685 * 10 ^ -6</f>
        <v>3.6849999999999999E-3</v>
      </c>
      <c r="I27" s="29"/>
      <c r="J27" s="2">
        <f t="shared" si="3"/>
        <v>0.8500000000000002</v>
      </c>
      <c r="K27" s="1">
        <f xml:space="preserve"> 8.75 * 10 ^ -3</f>
        <v>8.7500000000000008E-3</v>
      </c>
      <c r="M27" s="29"/>
      <c r="N27" s="16">
        <f t="shared" si="4"/>
        <v>0.8500000000000002</v>
      </c>
      <c r="O27" s="1">
        <f xml:space="preserve"> 17.35 * 10 ^ -3</f>
        <v>1.7350000000000001E-2</v>
      </c>
      <c r="Q27" s="29"/>
      <c r="R27" s="16">
        <f t="shared" si="5"/>
        <v>0.8500000000000002</v>
      </c>
      <c r="S27" s="1">
        <f xml:space="preserve"> 30.39  * 10^-3</f>
        <v>3.039E-2</v>
      </c>
    </row>
    <row r="28" spans="1:19">
      <c r="A28" s="29"/>
      <c r="B28" s="2">
        <f t="shared" si="1"/>
        <v>0.90000000000000024</v>
      </c>
      <c r="C28" s="1">
        <f xml:space="preserve"> 1368 * 10 ^ -6</f>
        <v>1.3679999999999999E-3</v>
      </c>
      <c r="E28" s="29"/>
      <c r="F28" s="2">
        <f t="shared" si="2"/>
        <v>0.90000000000000024</v>
      </c>
      <c r="G28" s="1">
        <f xml:space="preserve"> 3708 * 10 ^ -6</f>
        <v>3.7079999999999999E-3</v>
      </c>
      <c r="I28" s="29"/>
      <c r="J28" s="2">
        <f t="shared" si="3"/>
        <v>0.90000000000000024</v>
      </c>
      <c r="K28" s="1">
        <f xml:space="preserve"> 8.78 * 10 ^ -3</f>
        <v>8.7799999999999996E-3</v>
      </c>
      <c r="M28" s="29"/>
      <c r="N28" s="2">
        <f t="shared" si="4"/>
        <v>0.90000000000000024</v>
      </c>
      <c r="O28" s="1">
        <f xml:space="preserve"> 17.42 * 10 ^ -3</f>
        <v>1.7420000000000001E-2</v>
      </c>
      <c r="Q28" s="29"/>
      <c r="R28" s="16">
        <f t="shared" si="5"/>
        <v>0.90000000000000024</v>
      </c>
      <c r="S28" s="1">
        <f xml:space="preserve"> 30.55  * 10^-3</f>
        <v>3.0550000000000001E-2</v>
      </c>
    </row>
    <row r="29" spans="1:19">
      <c r="A29" s="29"/>
      <c r="B29" s="2">
        <f t="shared" si="1"/>
        <v>0.95000000000000029</v>
      </c>
      <c r="C29" s="1">
        <f xml:space="preserve"> 1373 * 10 ^ -6</f>
        <v>1.3729999999999999E-3</v>
      </c>
      <c r="E29" s="29"/>
      <c r="F29" s="2">
        <f t="shared" si="2"/>
        <v>0.95000000000000029</v>
      </c>
      <c r="G29" s="1">
        <f xml:space="preserve"> 3728 * 10 ^ -6</f>
        <v>3.728E-3</v>
      </c>
      <c r="I29" s="29"/>
      <c r="J29" s="2">
        <f t="shared" si="3"/>
        <v>0.95000000000000029</v>
      </c>
      <c r="K29" s="1">
        <f xml:space="preserve"> 8.8 * 10 ^ -3</f>
        <v>8.8000000000000005E-3</v>
      </c>
      <c r="M29" s="29"/>
      <c r="N29" s="2">
        <f t="shared" si="4"/>
        <v>0.95000000000000029</v>
      </c>
      <c r="O29" s="1">
        <f xml:space="preserve"> 17.73 * 10 ^ -3</f>
        <v>1.7729999999999999E-2</v>
      </c>
      <c r="Q29" s="29"/>
      <c r="R29" s="16">
        <f t="shared" si="5"/>
        <v>0.95000000000000029</v>
      </c>
      <c r="S29" s="1">
        <f xml:space="preserve"> 30.72  * 10^-3</f>
        <v>3.0720000000000001E-2</v>
      </c>
    </row>
    <row r="30" spans="1:19">
      <c r="A30" s="29"/>
      <c r="B30" s="2">
        <f t="shared" si="1"/>
        <v>1.0000000000000002</v>
      </c>
      <c r="C30" s="1">
        <f xml:space="preserve"> 1376 * 10 ^ -6</f>
        <v>1.3759999999999998E-3</v>
      </c>
      <c r="E30" s="29"/>
      <c r="F30" s="2">
        <f t="shared" si="2"/>
        <v>1.0000000000000002</v>
      </c>
      <c r="G30" s="1">
        <f xml:space="preserve"> 3745 * 10 ^ -6</f>
        <v>3.7449999999999996E-3</v>
      </c>
      <c r="I30" s="29"/>
      <c r="J30" s="2">
        <f t="shared" si="3"/>
        <v>1.0000000000000002</v>
      </c>
      <c r="K30" s="1">
        <f xml:space="preserve"> 8.81 * 10 ^ -3</f>
        <v>8.8100000000000001E-3</v>
      </c>
      <c r="M30" s="29"/>
      <c r="N30" s="2">
        <f t="shared" si="4"/>
        <v>1.0000000000000002</v>
      </c>
      <c r="O30" s="1">
        <f xml:space="preserve"> 17.66 * 10 ^ -3</f>
        <v>1.7660000000000002E-2</v>
      </c>
      <c r="Q30" s="29"/>
      <c r="R30" s="16">
        <f t="shared" si="5"/>
        <v>1.0000000000000002</v>
      </c>
      <c r="S30" s="1">
        <f xml:space="preserve"> 30.85  * 10^-3</f>
        <v>3.0850000000000002E-2</v>
      </c>
    </row>
    <row r="31" spans="1:19">
      <c r="A31" s="29"/>
      <c r="B31" s="1">
        <v>1.5</v>
      </c>
      <c r="C31" s="1">
        <f xml:space="preserve"> 1385 * 10 ^ -6</f>
        <v>1.3849999999999999E-3</v>
      </c>
      <c r="E31" s="29"/>
      <c r="F31" s="1">
        <v>1.5</v>
      </c>
      <c r="G31" s="1">
        <f xml:space="preserve"> 3822 * 10 ^ -6</f>
        <v>3.8219999999999999E-3</v>
      </c>
      <c r="I31" s="29"/>
      <c r="J31" s="1">
        <v>1.5</v>
      </c>
      <c r="K31" s="1">
        <f xml:space="preserve"> 8.96 * 10 ^ -3</f>
        <v>8.9600000000000009E-3</v>
      </c>
      <c r="M31" s="29"/>
      <c r="N31" s="1">
        <v>1.5</v>
      </c>
      <c r="O31" s="1">
        <f xml:space="preserve"> 18.14 * 10 ^ -3</f>
        <v>1.814E-2</v>
      </c>
      <c r="Q31" s="29"/>
      <c r="R31" s="1">
        <v>1.5</v>
      </c>
      <c r="S31" s="1">
        <f xml:space="preserve"> 31.84  * 10^-3</f>
        <v>3.184E-2</v>
      </c>
    </row>
    <row r="32" spans="1:19">
      <c r="A32" s="29"/>
      <c r="B32" s="1">
        <v>2</v>
      </c>
      <c r="C32" s="1">
        <f xml:space="preserve"> 1405 * 10 ^ -6</f>
        <v>1.405E-3</v>
      </c>
      <c r="E32" s="29"/>
      <c r="F32" s="1">
        <v>2</v>
      </c>
      <c r="G32" s="1">
        <f xml:space="preserve"> 3871 * 10 ^ -6</f>
        <v>3.8709999999999999E-3</v>
      </c>
      <c r="I32" s="29"/>
      <c r="J32" s="1">
        <v>2</v>
      </c>
      <c r="K32" s="1">
        <f xml:space="preserve"> 9.08 * 10 ^ -3</f>
        <v>9.0799999999999995E-3</v>
      </c>
      <c r="M32" s="29"/>
      <c r="N32" s="1">
        <v>2</v>
      </c>
      <c r="O32" s="1">
        <f xml:space="preserve"> 18.44 * 10 ^ -3</f>
        <v>1.8440000000000002E-2</v>
      </c>
      <c r="Q32" s="29"/>
      <c r="R32" s="1">
        <v>2</v>
      </c>
      <c r="S32" s="1">
        <f xml:space="preserve"> 32.52  * 10^-3</f>
        <v>3.2520000000000007E-2</v>
      </c>
    </row>
    <row r="33" spans="1:19">
      <c r="A33" s="29"/>
      <c r="B33" s="1">
        <v>2.5</v>
      </c>
      <c r="C33" s="1">
        <f xml:space="preserve"> 1417 * 10 ^ -6</f>
        <v>1.4169999999999999E-3</v>
      </c>
      <c r="E33" s="29"/>
      <c r="F33" s="1">
        <v>2.5</v>
      </c>
      <c r="G33" s="1">
        <f xml:space="preserve"> 3920 * 10 ^ -6</f>
        <v>3.9199999999999999E-3</v>
      </c>
      <c r="I33" s="29"/>
      <c r="J33" s="1">
        <v>2.5</v>
      </c>
      <c r="K33" s="1">
        <f xml:space="preserve"> 9.22 * 10 ^ -3</f>
        <v>9.2200000000000008E-3</v>
      </c>
      <c r="M33" s="29"/>
      <c r="N33" s="1">
        <v>2.5</v>
      </c>
      <c r="O33" s="1">
        <f xml:space="preserve"> 18.75 * 10 ^ -3</f>
        <v>1.8749999999999999E-2</v>
      </c>
      <c r="Q33" s="29"/>
      <c r="R33" s="1">
        <v>2.5</v>
      </c>
      <c r="S33" s="1">
        <f xml:space="preserve"> 33.28  * 10^-3</f>
        <v>3.3280000000000004E-2</v>
      </c>
    </row>
    <row r="34" spans="1:19">
      <c r="A34" s="29"/>
      <c r="B34" s="1">
        <v>3</v>
      </c>
      <c r="C34" s="1">
        <f xml:space="preserve"> 1427 * 10 ^ -6</f>
        <v>1.4269999999999999E-3</v>
      </c>
      <c r="E34" s="29"/>
      <c r="F34" s="1">
        <v>3</v>
      </c>
      <c r="G34" s="1">
        <f xml:space="preserve"> 3950 * 10 ^ -6</f>
        <v>3.9499999999999995E-3</v>
      </c>
      <c r="I34" s="29"/>
      <c r="J34" s="1">
        <v>3</v>
      </c>
      <c r="K34" s="1">
        <f xml:space="preserve"> 9.29 * 10 ^ -3</f>
        <v>9.2899999999999996E-3</v>
      </c>
      <c r="M34" s="29"/>
      <c r="N34" s="1">
        <v>3</v>
      </c>
      <c r="O34" s="1">
        <f xml:space="preserve"> 19.06 * 10 ^ -3</f>
        <v>1.9060000000000001E-2</v>
      </c>
      <c r="Q34" s="29"/>
      <c r="R34" s="1">
        <v>3</v>
      </c>
      <c r="S34" s="1">
        <f xml:space="preserve"> 34.14  * 10^-3</f>
        <v>3.4140000000000004E-2</v>
      </c>
    </row>
    <row r="35" spans="1:19">
      <c r="A35" s="29"/>
      <c r="B35" s="1">
        <v>3.5</v>
      </c>
      <c r="C35" s="1">
        <f xml:space="preserve"> 1438 * 10 ^ -6</f>
        <v>1.438E-3</v>
      </c>
      <c r="E35" s="29"/>
      <c r="F35" s="1">
        <v>3.5</v>
      </c>
      <c r="G35" s="1">
        <f xml:space="preserve"> 3981 * 10 ^ -6</f>
        <v>3.9810000000000002E-3</v>
      </c>
      <c r="I35" s="29"/>
      <c r="J35" s="1">
        <v>3.5</v>
      </c>
      <c r="K35" s="1">
        <f xml:space="preserve"> 9.45 * 10 ^ -3</f>
        <v>9.4500000000000001E-3</v>
      </c>
      <c r="M35" s="29"/>
      <c r="N35" s="1">
        <v>3.5</v>
      </c>
      <c r="O35" s="1">
        <f xml:space="preserve"> 19.45 * 10 ^ -3</f>
        <v>1.9449999999999999E-2</v>
      </c>
      <c r="Q35" s="29"/>
      <c r="R35" s="1">
        <v>3.5</v>
      </c>
      <c r="S35" s="1">
        <f xml:space="preserve"> 34.66  * 10^-3</f>
        <v>3.4659999999999996E-2</v>
      </c>
    </row>
    <row r="36" spans="1:19">
      <c r="A36" s="29"/>
      <c r="B36" s="1">
        <v>4</v>
      </c>
      <c r="C36" s="1">
        <f xml:space="preserve"> 1448 * 10 ^ -6</f>
        <v>1.4479999999999999E-3</v>
      </c>
      <c r="E36" s="29"/>
      <c r="F36" s="1">
        <v>4</v>
      </c>
      <c r="G36" s="1">
        <f xml:space="preserve"> 4.07 * 10 ^ -3</f>
        <v>4.0700000000000007E-3</v>
      </c>
      <c r="I36" s="29"/>
      <c r="J36" s="1">
        <v>4</v>
      </c>
      <c r="K36" s="1">
        <f xml:space="preserve"> 9.57 * 10 ^ -3</f>
        <v>9.5700000000000004E-3</v>
      </c>
      <c r="M36" s="29"/>
      <c r="N36" s="1">
        <v>4</v>
      </c>
      <c r="O36" s="1">
        <f xml:space="preserve"> 19.7 * 10 ^ -3</f>
        <v>1.9699999999999999E-2</v>
      </c>
      <c r="Q36" s="29"/>
      <c r="R36" s="1">
        <v>4</v>
      </c>
      <c r="S36" s="1">
        <f xml:space="preserve"> 34.95  * 10^-3</f>
        <v>3.4950000000000002E-2</v>
      </c>
    </row>
    <row r="37" spans="1:19">
      <c r="A37" s="29"/>
      <c r="B37" s="1">
        <v>4.5</v>
      </c>
      <c r="C37" s="1">
        <f xml:space="preserve"> 1457 * 10 ^ -6</f>
        <v>1.457E-3</v>
      </c>
      <c r="E37" s="29"/>
      <c r="F37" s="1">
        <v>4.5</v>
      </c>
      <c r="G37" s="1">
        <f xml:space="preserve"> 4.12 * 10 ^ -3</f>
        <v>4.1200000000000004E-3</v>
      </c>
      <c r="I37" s="29"/>
      <c r="J37" s="1">
        <v>4.5</v>
      </c>
      <c r="K37" s="1">
        <f xml:space="preserve"> 9.72 * 10 ^ -3</f>
        <v>9.7200000000000012E-3</v>
      </c>
      <c r="M37" s="29"/>
      <c r="N37" s="1">
        <v>4.5</v>
      </c>
      <c r="O37" s="1">
        <f xml:space="preserve"> 19.97 * 10 ^ -3</f>
        <v>1.9969999999999998E-2</v>
      </c>
      <c r="Q37" s="29"/>
      <c r="R37" s="1">
        <v>4.5</v>
      </c>
      <c r="S37" s="1">
        <f xml:space="preserve"> 35.09  * 10^-3</f>
        <v>3.5090000000000003E-2</v>
      </c>
    </row>
    <row r="38" spans="1:19">
      <c r="A38" s="29"/>
      <c r="B38" s="1">
        <v>5</v>
      </c>
      <c r="C38" s="1">
        <f xml:space="preserve"> 1465 * 10 ^ -6</f>
        <v>1.4649999999999999E-3</v>
      </c>
      <c r="E38" s="29"/>
      <c r="F38" s="1">
        <v>5</v>
      </c>
      <c r="G38" s="1">
        <f xml:space="preserve"> 4.15 * 10 ^ -3</f>
        <v>4.15E-3</v>
      </c>
      <c r="I38" s="29"/>
      <c r="J38" s="1">
        <v>5</v>
      </c>
      <c r="K38" s="1">
        <f xml:space="preserve"> 9.83 * 10 ^ -3</f>
        <v>9.8300000000000002E-3</v>
      </c>
      <c r="M38" s="29"/>
      <c r="N38" s="1">
        <v>5</v>
      </c>
      <c r="O38" s="1">
        <f xml:space="preserve"> 20.15 * 10 ^ -3</f>
        <v>2.0149999999999998E-2</v>
      </c>
      <c r="Q38" s="29"/>
      <c r="R38" s="1">
        <v>5</v>
      </c>
      <c r="S38" s="1">
        <f xml:space="preserve"> 35.2  * 10^-3</f>
        <v>3.5200000000000002E-2</v>
      </c>
    </row>
  </sheetData>
  <mergeCells count="10">
    <mergeCell ref="A2:M2"/>
    <mergeCell ref="A1:M1"/>
    <mergeCell ref="E10:E38"/>
    <mergeCell ref="I10:I38"/>
    <mergeCell ref="M10:M38"/>
    <mergeCell ref="Q10:Q38"/>
    <mergeCell ref="A6:M6"/>
    <mergeCell ref="A4:M4"/>
    <mergeCell ref="A10:A38"/>
    <mergeCell ref="A3:M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1"/>
  <sheetViews>
    <sheetView zoomScale="90" zoomScaleNormal="90" workbookViewId="0">
      <selection activeCell="I6" sqref="I6"/>
    </sheetView>
  </sheetViews>
  <sheetFormatPr defaultRowHeight="15"/>
  <cols>
    <col min="2" max="2" width="10.5703125" bestFit="1" customWidth="1"/>
    <col min="7" max="7" width="11" bestFit="1" customWidth="1"/>
    <col min="8" max="8" width="12" bestFit="1" customWidth="1"/>
    <col min="9" max="9" width="9.5703125" bestFit="1" customWidth="1"/>
    <col min="14" max="14" width="9.85546875" bestFit="1" customWidth="1"/>
    <col min="15" max="15" width="12.5703125" bestFit="1" customWidth="1"/>
    <col min="18" max="18" width="9" customWidth="1"/>
    <col min="19" max="19" width="10.7109375" bestFit="1" customWidth="1"/>
    <col min="20" max="20" width="10.5703125" bestFit="1" customWidth="1"/>
  </cols>
  <sheetData>
    <row r="1" spans="1:23">
      <c r="A1" s="1" t="s">
        <v>18</v>
      </c>
      <c r="B1" s="7">
        <f xml:space="preserve"> 9650 - 3600</f>
        <v>6050</v>
      </c>
      <c r="C1" s="11"/>
      <c r="D1" s="1" t="s">
        <v>66</v>
      </c>
      <c r="E1" s="1">
        <f xml:space="preserve"> 1.4</f>
        <v>1.4</v>
      </c>
      <c r="G1" s="23">
        <f xml:space="preserve"> 5 * B2 / (B1 + B2)</f>
        <v>1.8652849740932642</v>
      </c>
      <c r="I1" s="19"/>
      <c r="J1" s="19"/>
      <c r="K1" s="19"/>
      <c r="L1" s="19"/>
    </row>
    <row r="2" spans="1:23">
      <c r="A2" s="1" t="s">
        <v>19</v>
      </c>
      <c r="B2" s="7">
        <v>3600</v>
      </c>
      <c r="C2" s="11"/>
      <c r="D2" s="1" t="s">
        <v>4</v>
      </c>
      <c r="E2" s="12">
        <f xml:space="preserve"> 0.0245</f>
        <v>2.4500000000000001E-2</v>
      </c>
    </row>
    <row r="3" spans="1:23">
      <c r="A3" s="1" t="s">
        <v>20</v>
      </c>
      <c r="B3" s="7">
        <v>300</v>
      </c>
      <c r="I3" s="19"/>
      <c r="J3" s="19"/>
      <c r="K3" s="19"/>
      <c r="L3" s="19"/>
      <c r="M3" s="19"/>
      <c r="N3" s="19"/>
      <c r="R3" s="19"/>
      <c r="S3" s="19"/>
      <c r="T3" s="19"/>
      <c r="U3" s="19"/>
      <c r="V3" s="19"/>
      <c r="W3" s="19"/>
    </row>
    <row r="4" spans="1:23">
      <c r="A4" s="1" t="s">
        <v>21</v>
      </c>
      <c r="B4" s="1">
        <f xml:space="preserve"> 10 * 10^-6</f>
        <v>9.9999999999999991E-6</v>
      </c>
      <c r="L4" s="13"/>
      <c r="M4" s="13"/>
    </row>
    <row r="5" spans="1:23">
      <c r="A5" s="1" t="s">
        <v>22</v>
      </c>
      <c r="B5" s="1">
        <f xml:space="preserve"> 10 * 10^-6</f>
        <v>9.9999999999999991E-6</v>
      </c>
      <c r="L5" s="19"/>
      <c r="M5" s="19"/>
    </row>
    <row r="6" spans="1:23">
      <c r="L6" s="19"/>
      <c r="M6" s="19"/>
    </row>
    <row r="7" spans="1:23">
      <c r="A7" s="1" t="s">
        <v>43</v>
      </c>
      <c r="B7" s="1">
        <f xml:space="preserve"> 20 * 10 ^ -3</f>
        <v>0.02</v>
      </c>
      <c r="D7" s="1" t="s">
        <v>51</v>
      </c>
      <c r="E7" s="1">
        <f xml:space="preserve"> 1 * 10^3</f>
        <v>1000</v>
      </c>
      <c r="L7" s="19"/>
      <c r="M7" s="19"/>
    </row>
    <row r="8" spans="1:23">
      <c r="A8" s="1" t="s">
        <v>42</v>
      </c>
      <c r="B8" s="1">
        <v>5</v>
      </c>
      <c r="L8" s="13"/>
      <c r="M8" s="13"/>
    </row>
    <row r="9" spans="1:23">
      <c r="L9" s="13"/>
      <c r="M9" s="13"/>
      <c r="O9" s="34" t="s">
        <v>44</v>
      </c>
      <c r="P9" s="35"/>
    </row>
    <row r="10" spans="1:23">
      <c r="A10" s="33" t="s">
        <v>36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O10" s="1" t="s">
        <v>75</v>
      </c>
      <c r="P10" s="1">
        <f xml:space="preserve"> 1.87</f>
        <v>1.87</v>
      </c>
    </row>
    <row r="11" spans="1:23">
      <c r="A11" s="33" t="s">
        <v>37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O11" s="1" t="s">
        <v>76</v>
      </c>
      <c r="P11" s="1">
        <f xml:space="preserve"> 2.5</f>
        <v>2.5</v>
      </c>
    </row>
    <row r="12" spans="1:23">
      <c r="A12" s="33" t="s">
        <v>38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O12" s="1" t="s">
        <v>86</v>
      </c>
      <c r="P12" s="1">
        <f xml:space="preserve"> 2.5</f>
        <v>2.5</v>
      </c>
    </row>
    <row r="13" spans="1:23">
      <c r="A13" s="33" t="s">
        <v>23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O13" s="42" t="s">
        <v>77</v>
      </c>
      <c r="P13" s="12">
        <f xml:space="preserve"> P12 / B3</f>
        <v>8.3333333333333332E-3</v>
      </c>
      <c r="Q13" s="36" t="s">
        <v>56</v>
      </c>
      <c r="R13" s="37"/>
    </row>
    <row r="14" spans="1:2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O14" s="42"/>
      <c r="P14" s="12">
        <f xml:space="preserve"> 8.3 * 10^-3</f>
        <v>8.3000000000000001E-3</v>
      </c>
      <c r="Q14" s="36" t="s">
        <v>41</v>
      </c>
      <c r="R14" s="37"/>
    </row>
    <row r="15" spans="1:2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3">
      <c r="A16" s="33" t="s">
        <v>24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</row>
    <row r="17" spans="1:22">
      <c r="A17" s="33" t="s">
        <v>25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</row>
    <row r="18" spans="1:22">
      <c r="A18" s="33" t="s">
        <v>26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</row>
    <row r="19" spans="1:22">
      <c r="A19" s="33" t="s">
        <v>27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2">
      <c r="A21" s="3"/>
      <c r="B21" s="3"/>
      <c r="C21" s="3"/>
      <c r="D21" s="3"/>
      <c r="E21" s="3"/>
      <c r="F21" s="3"/>
      <c r="G21" s="1" t="s">
        <v>84</v>
      </c>
      <c r="H21" s="1">
        <f xml:space="preserve"> 364.7</f>
        <v>364.7</v>
      </c>
      <c r="I21" s="3"/>
      <c r="J21" s="1" t="s">
        <v>45</v>
      </c>
      <c r="K21" s="8">
        <f xml:space="preserve">  H21 / H22</f>
        <v>-17.235349716446123</v>
      </c>
      <c r="L21" s="3"/>
      <c r="M21" s="3"/>
    </row>
    <row r="22" spans="1:22">
      <c r="A22" s="3"/>
      <c r="B22" s="3"/>
      <c r="C22" s="3"/>
      <c r="D22" s="3"/>
      <c r="E22" s="3"/>
      <c r="F22" s="3"/>
      <c r="G22" s="1" t="s">
        <v>85</v>
      </c>
      <c r="H22" s="1">
        <f xml:space="preserve"> - 21.16</f>
        <v>-21.16</v>
      </c>
      <c r="I22" s="3"/>
      <c r="L22" s="3"/>
      <c r="M22" s="3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2" ht="15.75">
      <c r="A24" s="32" t="s">
        <v>28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2">
      <c r="A26" s="3"/>
      <c r="B26" s="3"/>
      <c r="C26" s="3"/>
      <c r="D26" s="3"/>
      <c r="E26" s="3"/>
      <c r="F26" s="3"/>
      <c r="G26" s="1" t="s">
        <v>85</v>
      </c>
      <c r="H26" s="1">
        <v>90</v>
      </c>
      <c r="I26" s="3"/>
      <c r="J26" s="3"/>
      <c r="K26" s="3"/>
      <c r="L26" s="3"/>
      <c r="M26" s="3"/>
    </row>
    <row r="27" spans="1:2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2" ht="15.75">
      <c r="A29" s="32" t="s">
        <v>30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22" ht="15.7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22" ht="15.75">
      <c r="A31" s="32" t="s">
        <v>32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22" ht="15.75">
      <c r="A32" s="32" t="s">
        <v>33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9" ht="15.75">
      <c r="A33" s="32" t="s">
        <v>34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19" ht="15.75">
      <c r="A34" s="32" t="s">
        <v>35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6" spans="1:19">
      <c r="F36" s="21" t="s">
        <v>46</v>
      </c>
      <c r="G36" s="1" t="s">
        <v>75</v>
      </c>
      <c r="H36" s="1">
        <f xml:space="preserve"> 1.87</f>
        <v>1.87</v>
      </c>
    </row>
    <row r="37" spans="1:19">
      <c r="F37" s="21" t="s">
        <v>47</v>
      </c>
      <c r="G37" s="1" t="s">
        <v>75</v>
      </c>
      <c r="H37" s="1">
        <f xml:space="preserve"> 2</f>
        <v>2</v>
      </c>
      <c r="J37" s="20" t="s">
        <v>87</v>
      </c>
      <c r="K37" s="1">
        <f xml:space="preserve"> H37 - H36</f>
        <v>0.12999999999999989</v>
      </c>
    </row>
    <row r="39" spans="1:19">
      <c r="F39" s="22" t="s">
        <v>46</v>
      </c>
      <c r="G39" s="1" t="s">
        <v>77</v>
      </c>
      <c r="H39" s="12">
        <f xml:space="preserve"> P12 / B3</f>
        <v>8.3333333333333332E-3</v>
      </c>
    </row>
    <row r="40" spans="1:19">
      <c r="F40" s="21" t="s">
        <v>47</v>
      </c>
      <c r="G40" s="1" t="s">
        <v>77</v>
      </c>
      <c r="H40" s="1">
        <f xml:space="preserve"> 15.5 * 10^-3</f>
        <v>1.55E-2</v>
      </c>
      <c r="J40" s="1" t="s">
        <v>88</v>
      </c>
      <c r="K40" s="12">
        <f xml:space="preserve"> H40 - H39</f>
        <v>7.1666666666666667E-3</v>
      </c>
    </row>
    <row r="41" spans="1:19">
      <c r="A41" s="3"/>
      <c r="B41" s="3"/>
      <c r="C41" s="3"/>
      <c r="D41" s="3"/>
      <c r="E41" s="3"/>
      <c r="F41" s="3"/>
      <c r="H41" s="13"/>
      <c r="I41" s="13"/>
      <c r="K41" s="3"/>
      <c r="L41" s="3"/>
      <c r="M41" s="3"/>
      <c r="N41" s="3"/>
      <c r="O41" s="3"/>
    </row>
    <row r="42" spans="1:19">
      <c r="A42" s="3"/>
      <c r="B42" s="3"/>
      <c r="C42" s="3"/>
      <c r="D42" s="3"/>
      <c r="E42" s="3"/>
      <c r="F42" s="3"/>
      <c r="G42" s="1" t="s">
        <v>48</v>
      </c>
      <c r="H42" s="4">
        <f xml:space="preserve"> K40 / K37</f>
        <v>5.5128205128205175E-2</v>
      </c>
      <c r="I42" s="36" t="s">
        <v>53</v>
      </c>
      <c r="J42" s="37"/>
      <c r="K42" s="37"/>
      <c r="N42" s="3"/>
      <c r="O42" s="3"/>
      <c r="Q42" s="13"/>
      <c r="R42" s="13"/>
      <c r="S42" s="13"/>
    </row>
    <row r="43" spans="1:19">
      <c r="G43" s="13"/>
      <c r="H43" s="13"/>
      <c r="I43" s="19"/>
      <c r="J43" s="19"/>
      <c r="K43" s="19"/>
      <c r="Q43" s="13"/>
      <c r="R43" s="13"/>
      <c r="S43" s="13"/>
    </row>
    <row r="45" spans="1:19" ht="15.75">
      <c r="A45" s="39" t="s">
        <v>39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9" ht="15.75">
      <c r="A46" s="39" t="s">
        <v>29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1"/>
    </row>
    <row r="47" spans="1:1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9">
      <c r="A48" s="3"/>
      <c r="B48" s="3"/>
      <c r="C48" s="3"/>
      <c r="D48" s="3"/>
      <c r="E48" s="3"/>
      <c r="F48" s="3"/>
      <c r="G48" s="1" t="s">
        <v>50</v>
      </c>
      <c r="H48" s="8">
        <f xml:space="preserve"> - B3 * H42</f>
        <v>-16.538461538461554</v>
      </c>
      <c r="I48" s="36" t="s">
        <v>55</v>
      </c>
      <c r="J48" s="37"/>
      <c r="K48" s="37"/>
      <c r="L48" s="13"/>
      <c r="M48" s="3"/>
      <c r="N48" s="3"/>
      <c r="O48" s="3"/>
    </row>
    <row r="49" spans="1:15">
      <c r="A49" s="13"/>
      <c r="B49" s="13"/>
      <c r="C49" s="13"/>
      <c r="D49" s="13"/>
      <c r="E49" s="13"/>
      <c r="F49" s="13"/>
      <c r="G49" s="1" t="s">
        <v>45</v>
      </c>
      <c r="H49" s="8">
        <f xml:space="preserve">  K21</f>
        <v>-17.235349716446123</v>
      </c>
      <c r="I49" s="36" t="s">
        <v>58</v>
      </c>
      <c r="J49" s="37"/>
      <c r="K49" s="37"/>
      <c r="L49" s="13"/>
      <c r="M49" s="13"/>
      <c r="N49" s="13"/>
      <c r="O49" s="13"/>
    </row>
    <row r="51" spans="1:15">
      <c r="G51" s="1" t="s">
        <v>59</v>
      </c>
      <c r="H51" s="8">
        <f xml:space="preserve"> ABS((H48 - H49) / H48) * 100</f>
        <v>4.2137424715345979</v>
      </c>
      <c r="I51" s="36" t="s">
        <v>60</v>
      </c>
      <c r="J51" s="38"/>
      <c r="K51" s="38"/>
    </row>
  </sheetData>
  <mergeCells count="25">
    <mergeCell ref="I51:K51"/>
    <mergeCell ref="A45:O45"/>
    <mergeCell ref="A46:O46"/>
    <mergeCell ref="O13:O14"/>
    <mergeCell ref="I48:K48"/>
    <mergeCell ref="I49:K49"/>
    <mergeCell ref="I42:K42"/>
    <mergeCell ref="A18:R18"/>
    <mergeCell ref="A19:R19"/>
    <mergeCell ref="A24:V24"/>
    <mergeCell ref="A29:O29"/>
    <mergeCell ref="A30:O30"/>
    <mergeCell ref="A31:O31"/>
    <mergeCell ref="A32:O32"/>
    <mergeCell ref="A33:O33"/>
    <mergeCell ref="A12:M12"/>
    <mergeCell ref="O9:P9"/>
    <mergeCell ref="A10:M10"/>
    <mergeCell ref="A11:M11"/>
    <mergeCell ref="A34:O34"/>
    <mergeCell ref="A13:M13"/>
    <mergeCell ref="A16:R16"/>
    <mergeCell ref="A17:R17"/>
    <mergeCell ref="Q13:R13"/>
    <mergeCell ref="Q14:R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7"/>
  <sheetViews>
    <sheetView zoomScale="85" zoomScaleNormal="85" workbookViewId="0">
      <selection activeCell="Q9" sqref="Q9"/>
    </sheetView>
  </sheetViews>
  <sheetFormatPr defaultRowHeight="15"/>
  <cols>
    <col min="3" max="3" width="9.85546875" bestFit="1" customWidth="1"/>
  </cols>
  <sheetData>
    <row r="1" spans="1:11">
      <c r="A1" s="13" t="s">
        <v>61</v>
      </c>
      <c r="G1" s="43" t="s">
        <v>83</v>
      </c>
      <c r="H1" s="43"/>
      <c r="I1" s="43"/>
      <c r="J1" s="43"/>
      <c r="K1" s="43"/>
    </row>
    <row r="3" spans="1:11">
      <c r="A3" s="1" t="s">
        <v>62</v>
      </c>
      <c r="B3" s="1">
        <f xml:space="preserve"> 4.004 * 10^-3</f>
        <v>4.0039999999999997E-3</v>
      </c>
      <c r="D3" s="1" t="s">
        <v>64</v>
      </c>
      <c r="E3" s="1">
        <f xml:space="preserve"> 16.007 * 10^-3</f>
        <v>1.6007E-2</v>
      </c>
      <c r="G3" s="1" t="s">
        <v>62</v>
      </c>
      <c r="H3" s="1">
        <f xml:space="preserve"> 4.004 * 10^-3</f>
        <v>4.0039999999999997E-3</v>
      </c>
      <c r="I3" s="13"/>
      <c r="J3" s="1" t="s">
        <v>64</v>
      </c>
      <c r="K3" s="1">
        <f xml:space="preserve"> 16.007 * 10^-3</f>
        <v>1.6007E-2</v>
      </c>
    </row>
    <row r="4" spans="1:11">
      <c r="A4" s="1" t="s">
        <v>63</v>
      </c>
      <c r="B4" s="1">
        <f xml:space="preserve"> 1.819</f>
        <v>1.819</v>
      </c>
      <c r="D4" s="1" t="s">
        <v>65</v>
      </c>
      <c r="E4" s="1">
        <f xml:space="preserve"> 2.046</f>
        <v>2.0459999999999998</v>
      </c>
      <c r="G4" s="1" t="s">
        <v>63</v>
      </c>
      <c r="H4" s="1">
        <f xml:space="preserve"> 1.8</f>
        <v>1.8</v>
      </c>
      <c r="I4" s="13"/>
      <c r="J4" s="1" t="s">
        <v>65</v>
      </c>
      <c r="K4" s="1">
        <f xml:space="preserve"> 2</f>
        <v>2</v>
      </c>
    </row>
    <row r="5" spans="1:11">
      <c r="G5" s="13"/>
      <c r="H5" s="13"/>
      <c r="I5" s="13"/>
      <c r="J5" s="13"/>
      <c r="K5" s="13"/>
    </row>
    <row r="6" spans="1:11">
      <c r="A6" s="1" t="s">
        <v>66</v>
      </c>
      <c r="B6" s="25">
        <f xml:space="preserve"> 2 * B4 - E4</f>
        <v>1.5920000000000001</v>
      </c>
      <c r="G6" s="1" t="s">
        <v>66</v>
      </c>
      <c r="H6" s="25">
        <f xml:space="preserve"> 2 * H4 - K4</f>
        <v>1.6</v>
      </c>
      <c r="I6" s="13"/>
      <c r="J6" s="13"/>
      <c r="K6" s="13"/>
    </row>
    <row r="7" spans="1:11">
      <c r="A7" s="1" t="s">
        <v>4</v>
      </c>
      <c r="B7" s="24">
        <f xml:space="preserve"> (2 * E3) / ((E4-B6) * (E4-B6))</f>
        <v>0.15532030507093111</v>
      </c>
      <c r="G7" s="1" t="s">
        <v>4</v>
      </c>
      <c r="H7" s="24">
        <f xml:space="preserve"> (2 * K3) / ((K4-H6) * (K4-H6))</f>
        <v>0.20008750000000011</v>
      </c>
      <c r="I7" s="13"/>
      <c r="J7" s="13"/>
      <c r="K7" s="13"/>
    </row>
    <row r="9" spans="1:11">
      <c r="A9" s="44" t="s">
        <v>67</v>
      </c>
      <c r="B9" s="44"/>
    </row>
    <row r="11" spans="1:11">
      <c r="A11" s="1" t="s">
        <v>1</v>
      </c>
      <c r="B11" s="1" t="s">
        <v>68</v>
      </c>
      <c r="C11" s="1" t="s">
        <v>71</v>
      </c>
      <c r="D11" s="1" t="s">
        <v>70</v>
      </c>
      <c r="F11" s="45" t="s">
        <v>69</v>
      </c>
      <c r="G11" s="46"/>
    </row>
    <row r="12" spans="1:11">
      <c r="A12" s="1">
        <v>1.7</v>
      </c>
      <c r="B12" s="4">
        <f xml:space="preserve"> A12 - $B$6</f>
        <v>0.10799999999999987</v>
      </c>
      <c r="C12" s="4">
        <f xml:space="preserve"> A12 - $H$6</f>
        <v>9.9999999999999867E-2</v>
      </c>
      <c r="D12" s="1">
        <f xml:space="preserve"> 0.1</f>
        <v>0.1</v>
      </c>
      <c r="F12" s="13"/>
    </row>
    <row r="13" spans="1:11">
      <c r="A13" s="1">
        <v>1.8</v>
      </c>
      <c r="B13" s="4">
        <f t="shared" ref="B13:B16" si="0" xml:space="preserve"> A13 - $B$6</f>
        <v>0.20799999999999996</v>
      </c>
      <c r="C13" s="4">
        <f t="shared" ref="C13:C16" si="1" xml:space="preserve"> A13 - $H$6</f>
        <v>0.19999999999999996</v>
      </c>
      <c r="D13" s="1">
        <f xml:space="preserve"> 0.2046</f>
        <v>0.2046</v>
      </c>
      <c r="F13" s="47" t="s">
        <v>79</v>
      </c>
      <c r="G13" s="47"/>
      <c r="H13" s="47"/>
      <c r="I13" s="47"/>
      <c r="J13" s="47"/>
      <c r="K13" s="47"/>
    </row>
    <row r="14" spans="1:11">
      <c r="A14" s="1">
        <v>1.9</v>
      </c>
      <c r="B14" s="4">
        <f t="shared" si="0"/>
        <v>0.30799999999999983</v>
      </c>
      <c r="C14" s="4">
        <f t="shared" si="1"/>
        <v>0.29999999999999982</v>
      </c>
      <c r="D14" s="1">
        <f xml:space="preserve"> 0.294</f>
        <v>0.29399999999999998</v>
      </c>
      <c r="F14" s="13"/>
    </row>
    <row r="15" spans="1:11">
      <c r="A15" s="1">
        <v>2</v>
      </c>
      <c r="B15" s="4">
        <f t="shared" si="0"/>
        <v>0.40799999999999992</v>
      </c>
      <c r="C15" s="4">
        <f t="shared" si="1"/>
        <v>0.39999999999999991</v>
      </c>
      <c r="D15" s="1">
        <f xml:space="preserve"> 0.385</f>
        <v>0.38500000000000001</v>
      </c>
      <c r="F15" s="13"/>
    </row>
    <row r="16" spans="1:11">
      <c r="A16" s="1">
        <v>2.1</v>
      </c>
      <c r="B16" s="4">
        <f t="shared" si="0"/>
        <v>0.50800000000000001</v>
      </c>
      <c r="C16" s="4">
        <f t="shared" si="1"/>
        <v>0.5</v>
      </c>
      <c r="D16" s="1">
        <f xml:space="preserve"> 0.45</f>
        <v>0.45</v>
      </c>
    </row>
    <row r="18" spans="1:22">
      <c r="A18" s="43" t="s">
        <v>72</v>
      </c>
      <c r="B18" s="43"/>
    </row>
    <row r="20" spans="1:22">
      <c r="A20" s="1" t="s">
        <v>73</v>
      </c>
      <c r="B20" s="1">
        <f xml:space="preserve"> 6.161 * 10^3</f>
        <v>6161</v>
      </c>
      <c r="D20" s="13" t="s">
        <v>74</v>
      </c>
      <c r="G20" s="13" t="s">
        <v>78</v>
      </c>
    </row>
    <row r="21" spans="1:22">
      <c r="A21" s="1" t="s">
        <v>19</v>
      </c>
      <c r="B21" s="1">
        <f xml:space="preserve"> 3.839 * 10^3</f>
        <v>3839</v>
      </c>
    </row>
    <row r="22" spans="1:22">
      <c r="A22" s="1" t="s">
        <v>20</v>
      </c>
      <c r="B22" s="1">
        <v>300</v>
      </c>
      <c r="D22" s="1" t="s">
        <v>75</v>
      </c>
      <c r="E22" s="1">
        <f xml:space="preserve"> 1.9195</f>
        <v>1.9195</v>
      </c>
      <c r="G22" s="1" t="s">
        <v>52</v>
      </c>
      <c r="H22" s="1">
        <f xml:space="preserve"> -19.972</f>
        <v>-19.972000000000001</v>
      </c>
      <c r="J22" s="21" t="s">
        <v>46</v>
      </c>
      <c r="K22" s="1" t="s">
        <v>75</v>
      </c>
      <c r="L22" s="1">
        <f xml:space="preserve"> 1.9195</f>
        <v>1.9195</v>
      </c>
      <c r="N22" s="21" t="s">
        <v>46</v>
      </c>
      <c r="O22" s="1" t="s">
        <v>77</v>
      </c>
      <c r="P22" s="1">
        <f xml:space="preserve"> 8.34 * 10^-3</f>
        <v>8.3400000000000002E-3</v>
      </c>
      <c r="R22" s="1" t="s">
        <v>48</v>
      </c>
      <c r="S22" s="1">
        <f xml:space="preserve"> P24 / L24</f>
        <v>5.2258064516128799E-2</v>
      </c>
      <c r="T22" s="36" t="s">
        <v>53</v>
      </c>
      <c r="U22" s="37"/>
      <c r="V22" s="37"/>
    </row>
    <row r="23" spans="1:22">
      <c r="A23" s="1" t="s">
        <v>21</v>
      </c>
      <c r="B23" s="1">
        <f xml:space="preserve"> 10 * 10^-6</f>
        <v>9.9999999999999991E-6</v>
      </c>
      <c r="D23" s="1" t="s">
        <v>76</v>
      </c>
      <c r="E23" s="1">
        <f xml:space="preserve"> 2.4978</f>
        <v>2.4977999999999998</v>
      </c>
      <c r="G23" s="1" t="s">
        <v>57</v>
      </c>
      <c r="H23" s="1">
        <f xml:space="preserve"> 299.68</f>
        <v>299.68</v>
      </c>
      <c r="J23" s="21" t="s">
        <v>47</v>
      </c>
      <c r="K23" s="1" t="s">
        <v>75</v>
      </c>
      <c r="L23" s="1">
        <f xml:space="preserve"> 1.935</f>
        <v>1.9350000000000001</v>
      </c>
      <c r="N23" s="21" t="s">
        <v>47</v>
      </c>
      <c r="O23" s="1" t="s">
        <v>77</v>
      </c>
      <c r="P23" s="1">
        <f xml:space="preserve"> 9.15 * 10^-3</f>
        <v>9.1500000000000001E-3</v>
      </c>
      <c r="R23" s="1" t="s">
        <v>49</v>
      </c>
      <c r="S23" s="1">
        <f xml:space="preserve"> B7 * (L22 - B6)</f>
        <v>5.0867399910729923E-2</v>
      </c>
      <c r="T23" s="36" t="s">
        <v>54</v>
      </c>
      <c r="U23" s="37"/>
      <c r="V23" s="37"/>
    </row>
    <row r="24" spans="1:22">
      <c r="A24" s="1" t="s">
        <v>22</v>
      </c>
      <c r="B24" s="1">
        <f xml:space="preserve"> 10 * 10^-6</f>
        <v>9.9999999999999991E-6</v>
      </c>
      <c r="D24" s="1" t="s">
        <v>77</v>
      </c>
      <c r="E24" s="1">
        <f xml:space="preserve"> 8.34 * 10^-3</f>
        <v>8.3400000000000002E-3</v>
      </c>
      <c r="G24" s="1" t="s">
        <v>45</v>
      </c>
      <c r="H24" s="1">
        <f xml:space="preserve"> H23 / H22</f>
        <v>-15.005007009813738</v>
      </c>
      <c r="K24" s="20" t="s">
        <v>80</v>
      </c>
      <c r="L24" s="1">
        <f xml:space="preserve"> L23 - L22</f>
        <v>1.5500000000000069E-2</v>
      </c>
      <c r="O24" s="20" t="s">
        <v>81</v>
      </c>
      <c r="P24" s="1">
        <f xml:space="preserve"> P23 - P22</f>
        <v>8.0999999999999996E-4</v>
      </c>
    </row>
    <row r="25" spans="1:22">
      <c r="R25" s="1" t="s">
        <v>45</v>
      </c>
      <c r="S25" s="1">
        <f xml:space="preserve"> -B22 * S22</f>
        <v>-15.677419354838641</v>
      </c>
      <c r="T25" s="36" t="s">
        <v>55</v>
      </c>
      <c r="U25" s="37"/>
      <c r="V25" s="37"/>
    </row>
    <row r="26" spans="1:22">
      <c r="R26" s="1" t="s">
        <v>45</v>
      </c>
      <c r="S26" s="1">
        <f xml:space="preserve"> -B22 * S23</f>
        <v>-15.260219973218977</v>
      </c>
      <c r="T26" s="36" t="s">
        <v>82</v>
      </c>
      <c r="U26" s="37"/>
      <c r="V26" s="37"/>
    </row>
    <row r="27" spans="1:22">
      <c r="R27" s="1" t="s">
        <v>45</v>
      </c>
      <c r="S27" s="1">
        <f xml:space="preserve"> H23 / H22</f>
        <v>-15.005007009813738</v>
      </c>
      <c r="T27" s="36" t="s">
        <v>58</v>
      </c>
      <c r="U27" s="37"/>
      <c r="V27" s="37"/>
    </row>
  </sheetData>
  <mergeCells count="10">
    <mergeCell ref="T25:V25"/>
    <mergeCell ref="T26:V26"/>
    <mergeCell ref="T27:V27"/>
    <mergeCell ref="G1:K1"/>
    <mergeCell ref="A9:B9"/>
    <mergeCell ref="F11:G11"/>
    <mergeCell ref="A18:B18"/>
    <mergeCell ref="F13:K13"/>
    <mergeCell ref="T23:V23"/>
    <mergeCell ref="T22:V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Завдання 1</vt:lpstr>
      <vt:lpstr>Завдання 2</vt:lpstr>
      <vt:lpstr>Завдання 3</vt:lpstr>
      <vt:lpstr>Симуляція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2018-05-05T22:27:22Z</dcterms:modified>
</cp:coreProperties>
</file>